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drawings/drawing3.xml" ContentType="application/vnd.openxmlformats-officedocument.drawing+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drawings/drawing4.xml" ContentType="application/vnd.openxmlformats-officedocument.drawing+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drawings/drawing5.xml" ContentType="application/vnd.openxmlformats-officedocument.drawing+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drawings/drawing6.xml" ContentType="application/vnd.openxmlformats-officedocument.drawing+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drawings/drawing7.xml" ContentType="application/vnd.openxmlformats-officedocument.drawing+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drawings/drawing8.xml" ContentType="application/vnd.openxmlformats-officedocument.drawing+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drawings/drawing9.xml" ContentType="application/vnd.openxmlformats-officedocument.drawing+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drawings/drawing10.xml" ContentType="application/vnd.openxmlformats-officedocument.drawing+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drawings/drawing11.xml" ContentType="application/vnd.openxmlformats-officedocument.drawing+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drawings/drawing12.xml" ContentType="application/vnd.openxmlformats-officedocument.drawing+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drawings/drawing13.xml" ContentType="application/vnd.openxmlformats-officedocument.drawing+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drawings/drawing14.xml" ContentType="application/vnd.openxmlformats-officedocument.drawing+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drawings/drawing15.xml" ContentType="application/vnd.openxmlformats-officedocument.drawing+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drawings/drawing16.xml" ContentType="application/vnd.openxmlformats-officedocument.drawing+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drawings/drawing17.xml" ContentType="application/vnd.openxmlformats-officedocument.drawing+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drawings/drawing18.xml" ContentType="application/vnd.openxmlformats-officedocument.drawing+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drawings/drawing19.xml" ContentType="application/vnd.openxmlformats-officedocument.drawing+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drawings/drawing20.xml" ContentType="application/vnd.openxmlformats-officedocument.drawing+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drawings/drawing21.xml" ContentType="application/vnd.openxmlformats-officedocument.drawing+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drawings/drawing22.xml" ContentType="application/vnd.openxmlformats-officedocument.drawing+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drawings/drawing23.xml" ContentType="application/vnd.openxmlformats-officedocument.drawing+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drawings/drawing24.xml" ContentType="application/vnd.openxmlformats-officedocument.drawing+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drawings/drawing25.xml" ContentType="application/vnd.openxmlformats-officedocument.drawing+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drawings/drawing26.xml" ContentType="application/vnd.openxmlformats-officedocument.drawing+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drawings/drawing27.xml" ContentType="application/vnd.openxmlformats-officedocument.drawing+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drawings/drawing28.xml" ContentType="application/vnd.openxmlformats-officedocument.drawing+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drawings/drawing29.xml" ContentType="application/vnd.openxmlformats-officedocument.drawing+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drawings/drawing30.xml" ContentType="application/vnd.openxmlformats-officedocument.drawing+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drawings/drawing31.xml" ContentType="application/vnd.openxmlformats-officedocument.drawing+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drawings/drawing32.xml" ContentType="application/vnd.openxmlformats-officedocument.drawing+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drawings/drawing33.xml" ContentType="application/vnd.openxmlformats-officedocument.drawing+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drawings/drawing34.xml" ContentType="application/vnd.openxmlformats-officedocument.drawing+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drawings/drawing35.xml" ContentType="application/vnd.openxmlformats-officedocument.drawing+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drawings/drawing36.xml" ContentType="application/vnd.openxmlformats-officedocument.drawing+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drawings/drawing37.xml" ContentType="application/vnd.openxmlformats-officedocument.drawing+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drawings/drawing38.xml" ContentType="application/vnd.openxmlformats-officedocument.drawing+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drawings/drawing39.xml" ContentType="application/vnd.openxmlformats-officedocument.drawing+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drawings/drawing40.xml" ContentType="application/vnd.openxmlformats-officedocument.drawing+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drawings/drawing41.xml" ContentType="application/vnd.openxmlformats-officedocument.drawing+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drawings/drawing42.xml" ContentType="application/vnd.openxmlformats-officedocument.drawing+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drawings/drawing43.xml" ContentType="application/vnd.openxmlformats-officedocument.drawing+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drawings/drawing44.xml" ContentType="application/vnd.openxmlformats-officedocument.drawing+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drawings/drawing45.xml" ContentType="application/vnd.openxmlformats-officedocument.drawing+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drawings/drawing46.xml" ContentType="application/vnd.openxmlformats-officedocument.drawing+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drawings/drawing47.xml" ContentType="application/vnd.openxmlformats-officedocument.drawing+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ctrlProps/ctrlProp2162.xml" ContentType="application/vnd.ms-excel.controlproperties+xml"/>
  <Override PartName="/xl/ctrlProps/ctrlProp2163.xml" ContentType="application/vnd.ms-excel.controlproperties+xml"/>
  <Override PartName="/xl/ctrlProps/ctrlProp2164.xml" ContentType="application/vnd.ms-excel.controlproperties+xml"/>
  <Override PartName="/xl/ctrlProps/ctrlProp2165.xml" ContentType="application/vnd.ms-excel.controlproperties+xml"/>
  <Override PartName="/xl/ctrlProps/ctrlProp2166.xml" ContentType="application/vnd.ms-excel.controlproperties+xml"/>
  <Override PartName="/xl/ctrlProps/ctrlProp2167.xml" ContentType="application/vnd.ms-excel.controlproperties+xml"/>
  <Override PartName="/xl/ctrlProps/ctrlProp2168.xml" ContentType="application/vnd.ms-excel.controlproperties+xml"/>
  <Override PartName="/xl/ctrlProps/ctrlProp2169.xml" ContentType="application/vnd.ms-excel.controlproperties+xml"/>
  <Override PartName="/xl/ctrlProps/ctrlProp2170.xml" ContentType="application/vnd.ms-excel.controlproperties+xml"/>
  <Override PartName="/xl/ctrlProps/ctrlProp2171.xml" ContentType="application/vnd.ms-excel.controlproperties+xml"/>
  <Override PartName="/xl/ctrlProps/ctrlProp2172.xml" ContentType="application/vnd.ms-excel.controlproperties+xml"/>
  <Override PartName="/xl/ctrlProps/ctrlProp2173.xml" ContentType="application/vnd.ms-excel.controlproperties+xml"/>
  <Override PartName="/xl/ctrlProps/ctrlProp2174.xml" ContentType="application/vnd.ms-excel.controlproperties+xml"/>
  <Override PartName="/xl/ctrlProps/ctrlProp2175.xml" ContentType="application/vnd.ms-excel.controlproperties+xml"/>
  <Override PartName="/xl/ctrlProps/ctrlProp2176.xml" ContentType="application/vnd.ms-excel.controlproperties+xml"/>
  <Override PartName="/xl/ctrlProps/ctrlProp2177.xml" ContentType="application/vnd.ms-excel.controlproperties+xml"/>
  <Override PartName="/xl/ctrlProps/ctrlProp2178.xml" ContentType="application/vnd.ms-excel.controlproperties+xml"/>
  <Override PartName="/xl/ctrlProps/ctrlProp2179.xml" ContentType="application/vnd.ms-excel.controlproperties+xml"/>
  <Override PartName="/xl/ctrlProps/ctrlProp2180.xml" ContentType="application/vnd.ms-excel.controlproperties+xml"/>
  <Override PartName="/xl/ctrlProps/ctrlProp2181.xml" ContentType="application/vnd.ms-excel.controlproperties+xml"/>
  <Override PartName="/xl/ctrlProps/ctrlProp2182.xml" ContentType="application/vnd.ms-excel.controlproperties+xml"/>
  <Override PartName="/xl/ctrlProps/ctrlProp2183.xml" ContentType="application/vnd.ms-excel.controlproperties+xml"/>
  <Override PartName="/xl/ctrlProps/ctrlProp2184.xml" ContentType="application/vnd.ms-excel.controlproperties+xml"/>
  <Override PartName="/xl/ctrlProps/ctrlProp2185.xml" ContentType="application/vnd.ms-excel.controlproperties+xml"/>
  <Override PartName="/xl/ctrlProps/ctrlProp2186.xml" ContentType="application/vnd.ms-excel.controlproperties+xml"/>
  <Override PartName="/xl/drawings/drawing48.xml" ContentType="application/vnd.openxmlformats-officedocument.drawing+xml"/>
  <Override PartName="/xl/ctrlProps/ctrlProp2187.xml" ContentType="application/vnd.ms-excel.controlproperties+xml"/>
  <Override PartName="/xl/ctrlProps/ctrlProp2188.xml" ContentType="application/vnd.ms-excel.controlproperties+xml"/>
  <Override PartName="/xl/ctrlProps/ctrlProp2189.xml" ContentType="application/vnd.ms-excel.controlproperties+xml"/>
  <Override PartName="/xl/ctrlProps/ctrlProp2190.xml" ContentType="application/vnd.ms-excel.controlproperties+xml"/>
  <Override PartName="/xl/ctrlProps/ctrlProp2191.xml" ContentType="application/vnd.ms-excel.controlproperties+xml"/>
  <Override PartName="/xl/ctrlProps/ctrlProp2192.xml" ContentType="application/vnd.ms-excel.controlproperties+xml"/>
  <Override PartName="/xl/ctrlProps/ctrlProp2193.xml" ContentType="application/vnd.ms-excel.controlproperties+xml"/>
  <Override PartName="/xl/ctrlProps/ctrlProp2194.xml" ContentType="application/vnd.ms-excel.controlproperties+xml"/>
  <Override PartName="/xl/ctrlProps/ctrlProp2195.xml" ContentType="application/vnd.ms-excel.controlproperties+xml"/>
  <Override PartName="/xl/ctrlProps/ctrlProp2196.xml" ContentType="application/vnd.ms-excel.controlproperties+xml"/>
  <Override PartName="/xl/ctrlProps/ctrlProp2197.xml" ContentType="application/vnd.ms-excel.controlproperties+xml"/>
  <Override PartName="/xl/ctrlProps/ctrlProp2198.xml" ContentType="application/vnd.ms-excel.controlproperties+xml"/>
  <Override PartName="/xl/ctrlProps/ctrlProp2199.xml" ContentType="application/vnd.ms-excel.controlproperties+xml"/>
  <Override PartName="/xl/ctrlProps/ctrlProp2200.xml" ContentType="application/vnd.ms-excel.controlproperties+xml"/>
  <Override PartName="/xl/ctrlProps/ctrlProp2201.xml" ContentType="application/vnd.ms-excel.controlproperties+xml"/>
  <Override PartName="/xl/ctrlProps/ctrlProp2202.xml" ContentType="application/vnd.ms-excel.controlproperties+xml"/>
  <Override PartName="/xl/ctrlProps/ctrlProp2203.xml" ContentType="application/vnd.ms-excel.controlproperties+xml"/>
  <Override PartName="/xl/ctrlProps/ctrlProp2204.xml" ContentType="application/vnd.ms-excel.controlproperties+xml"/>
  <Override PartName="/xl/ctrlProps/ctrlProp2205.xml" ContentType="application/vnd.ms-excel.controlproperties+xml"/>
  <Override PartName="/xl/ctrlProps/ctrlProp2206.xml" ContentType="application/vnd.ms-excel.controlproperties+xml"/>
  <Override PartName="/xl/ctrlProps/ctrlProp2207.xml" ContentType="application/vnd.ms-excel.controlproperties+xml"/>
  <Override PartName="/xl/ctrlProps/ctrlProp2208.xml" ContentType="application/vnd.ms-excel.controlproperties+xml"/>
  <Override PartName="/xl/ctrlProps/ctrlProp2209.xml" ContentType="application/vnd.ms-excel.controlproperties+xml"/>
  <Override PartName="/xl/ctrlProps/ctrlProp2210.xml" ContentType="application/vnd.ms-excel.controlproperties+xml"/>
  <Override PartName="/xl/ctrlProps/ctrlProp2211.xml" ContentType="application/vnd.ms-excel.controlproperties+xml"/>
  <Override PartName="/xl/ctrlProps/ctrlProp2212.xml" ContentType="application/vnd.ms-excel.controlproperties+xml"/>
  <Override PartName="/xl/ctrlProps/ctrlProp2213.xml" ContentType="application/vnd.ms-excel.controlproperties+xml"/>
  <Override PartName="/xl/ctrlProps/ctrlProp2214.xml" ContentType="application/vnd.ms-excel.controlproperties+xml"/>
  <Override PartName="/xl/ctrlProps/ctrlProp2215.xml" ContentType="application/vnd.ms-excel.controlproperties+xml"/>
  <Override PartName="/xl/ctrlProps/ctrlProp2216.xml" ContentType="application/vnd.ms-excel.controlproperties+xml"/>
  <Override PartName="/xl/ctrlProps/ctrlProp2217.xml" ContentType="application/vnd.ms-excel.controlproperties+xml"/>
  <Override PartName="/xl/ctrlProps/ctrlProp2218.xml" ContentType="application/vnd.ms-excel.controlproperties+xml"/>
  <Override PartName="/xl/ctrlProps/ctrlProp2219.xml" ContentType="application/vnd.ms-excel.controlproperties+xml"/>
  <Override PartName="/xl/ctrlProps/ctrlProp2220.xml" ContentType="application/vnd.ms-excel.controlproperties+xml"/>
  <Override PartName="/xl/ctrlProps/ctrlProp2221.xml" ContentType="application/vnd.ms-excel.controlproperties+xml"/>
  <Override PartName="/xl/ctrlProps/ctrlProp2222.xml" ContentType="application/vnd.ms-excel.controlproperties+xml"/>
  <Override PartName="/xl/ctrlProps/ctrlProp2223.xml" ContentType="application/vnd.ms-excel.controlproperties+xml"/>
  <Override PartName="/xl/drawings/drawing49.xml" ContentType="application/vnd.openxmlformats-officedocument.drawing+xml"/>
  <Override PartName="/xl/ctrlProps/ctrlProp2224.xml" ContentType="application/vnd.ms-excel.controlproperties+xml"/>
  <Override PartName="/xl/ctrlProps/ctrlProp2225.xml" ContentType="application/vnd.ms-excel.controlproperties+xml"/>
  <Override PartName="/xl/ctrlProps/ctrlProp2226.xml" ContentType="application/vnd.ms-excel.controlproperties+xml"/>
  <Override PartName="/xl/ctrlProps/ctrlProp2227.xml" ContentType="application/vnd.ms-excel.controlproperties+xml"/>
  <Override PartName="/xl/ctrlProps/ctrlProp2228.xml" ContentType="application/vnd.ms-excel.controlproperties+xml"/>
  <Override PartName="/xl/ctrlProps/ctrlProp2229.xml" ContentType="application/vnd.ms-excel.controlproperties+xml"/>
  <Override PartName="/xl/ctrlProps/ctrlProp2230.xml" ContentType="application/vnd.ms-excel.controlproperties+xml"/>
  <Override PartName="/xl/ctrlProps/ctrlProp2231.xml" ContentType="application/vnd.ms-excel.controlproperties+xml"/>
  <Override PartName="/xl/ctrlProps/ctrlProp2232.xml" ContentType="application/vnd.ms-excel.controlproperties+xml"/>
  <Override PartName="/xl/ctrlProps/ctrlProp2233.xml" ContentType="application/vnd.ms-excel.controlproperties+xml"/>
  <Override PartName="/xl/ctrlProps/ctrlProp2234.xml" ContentType="application/vnd.ms-excel.controlproperties+xml"/>
  <Override PartName="/xl/ctrlProps/ctrlProp2235.xml" ContentType="application/vnd.ms-excel.controlproperties+xml"/>
  <Override PartName="/xl/ctrlProps/ctrlProp2236.xml" ContentType="application/vnd.ms-excel.controlproperties+xml"/>
  <Override PartName="/xl/ctrlProps/ctrlProp2237.xml" ContentType="application/vnd.ms-excel.controlproperties+xml"/>
  <Override PartName="/xl/ctrlProps/ctrlProp2238.xml" ContentType="application/vnd.ms-excel.controlproperties+xml"/>
  <Override PartName="/xl/ctrlProps/ctrlProp2239.xml" ContentType="application/vnd.ms-excel.controlproperties+xml"/>
  <Override PartName="/xl/ctrlProps/ctrlProp2240.xml" ContentType="application/vnd.ms-excel.controlproperties+xml"/>
  <Override PartName="/xl/ctrlProps/ctrlProp2241.xml" ContentType="application/vnd.ms-excel.controlproperties+xml"/>
  <Override PartName="/xl/ctrlProps/ctrlProp2242.xml" ContentType="application/vnd.ms-excel.controlproperties+xml"/>
  <Override PartName="/xl/ctrlProps/ctrlProp2243.xml" ContentType="application/vnd.ms-excel.controlproperties+xml"/>
  <Override PartName="/xl/ctrlProps/ctrlProp2244.xml" ContentType="application/vnd.ms-excel.controlproperties+xml"/>
  <Override PartName="/xl/ctrlProps/ctrlProp2245.xml" ContentType="application/vnd.ms-excel.controlproperties+xml"/>
  <Override PartName="/xl/ctrlProps/ctrlProp2246.xml" ContentType="application/vnd.ms-excel.controlproperties+xml"/>
  <Override PartName="/xl/ctrlProps/ctrlProp2247.xml" ContentType="application/vnd.ms-excel.controlproperties+xml"/>
  <Override PartName="/xl/ctrlProps/ctrlProp2248.xml" ContentType="application/vnd.ms-excel.controlproperties+xml"/>
  <Override PartName="/xl/ctrlProps/ctrlProp2249.xml" ContentType="application/vnd.ms-excel.controlproperties+xml"/>
  <Override PartName="/xl/ctrlProps/ctrlProp2250.xml" ContentType="application/vnd.ms-excel.controlproperties+xml"/>
  <Override PartName="/xl/ctrlProps/ctrlProp2251.xml" ContentType="application/vnd.ms-excel.controlproperties+xml"/>
  <Override PartName="/xl/ctrlProps/ctrlProp2252.xml" ContentType="application/vnd.ms-excel.controlproperties+xml"/>
  <Override PartName="/xl/ctrlProps/ctrlProp2253.xml" ContentType="application/vnd.ms-excel.controlproperties+xml"/>
  <Override PartName="/xl/ctrlProps/ctrlProp2254.xml" ContentType="application/vnd.ms-excel.controlproperties+xml"/>
  <Override PartName="/xl/ctrlProps/ctrlProp2255.xml" ContentType="application/vnd.ms-excel.controlproperties+xml"/>
  <Override PartName="/xl/ctrlProps/ctrlProp2256.xml" ContentType="application/vnd.ms-excel.controlproperties+xml"/>
  <Override PartName="/xl/ctrlProps/ctrlProp2257.xml" ContentType="application/vnd.ms-excel.controlproperties+xml"/>
  <Override PartName="/xl/ctrlProps/ctrlProp2258.xml" ContentType="application/vnd.ms-excel.controlproperties+xml"/>
  <Override PartName="/xl/ctrlProps/ctrlProp2259.xml" ContentType="application/vnd.ms-excel.controlproperties+xml"/>
  <Override PartName="/xl/ctrlProps/ctrlProp2260.xml" ContentType="application/vnd.ms-excel.controlproperties+xml"/>
  <Override PartName="/xl/drawings/drawing50.xml" ContentType="application/vnd.openxmlformats-officedocument.drawing+xml"/>
  <Override PartName="/xl/ctrlProps/ctrlProp2261.xml" ContentType="application/vnd.ms-excel.controlproperties+xml"/>
  <Override PartName="/xl/ctrlProps/ctrlProp2262.xml" ContentType="application/vnd.ms-excel.controlproperties+xml"/>
  <Override PartName="/xl/ctrlProps/ctrlProp2263.xml" ContentType="application/vnd.ms-excel.controlproperties+xml"/>
  <Override PartName="/xl/ctrlProps/ctrlProp2264.xml" ContentType="application/vnd.ms-excel.controlproperties+xml"/>
  <Override PartName="/xl/ctrlProps/ctrlProp2265.xml" ContentType="application/vnd.ms-excel.controlproperties+xml"/>
  <Override PartName="/xl/ctrlProps/ctrlProp2266.xml" ContentType="application/vnd.ms-excel.controlproperties+xml"/>
  <Override PartName="/xl/ctrlProps/ctrlProp2267.xml" ContentType="application/vnd.ms-excel.controlproperties+xml"/>
  <Override PartName="/xl/ctrlProps/ctrlProp2268.xml" ContentType="application/vnd.ms-excel.controlproperties+xml"/>
  <Override PartName="/xl/ctrlProps/ctrlProp2269.xml" ContentType="application/vnd.ms-excel.controlproperties+xml"/>
  <Override PartName="/xl/ctrlProps/ctrlProp2270.xml" ContentType="application/vnd.ms-excel.controlproperties+xml"/>
  <Override PartName="/xl/ctrlProps/ctrlProp2271.xml" ContentType="application/vnd.ms-excel.controlproperties+xml"/>
  <Override PartName="/xl/ctrlProps/ctrlProp2272.xml" ContentType="application/vnd.ms-excel.controlproperties+xml"/>
  <Override PartName="/xl/ctrlProps/ctrlProp2273.xml" ContentType="application/vnd.ms-excel.controlproperties+xml"/>
  <Override PartName="/xl/ctrlProps/ctrlProp2274.xml" ContentType="application/vnd.ms-excel.controlproperties+xml"/>
  <Override PartName="/xl/ctrlProps/ctrlProp2275.xml" ContentType="application/vnd.ms-excel.controlproperties+xml"/>
  <Override PartName="/xl/ctrlProps/ctrlProp2276.xml" ContentType="application/vnd.ms-excel.controlproperties+xml"/>
  <Override PartName="/xl/ctrlProps/ctrlProp2277.xml" ContentType="application/vnd.ms-excel.controlproperties+xml"/>
  <Override PartName="/xl/ctrlProps/ctrlProp2278.xml" ContentType="application/vnd.ms-excel.controlproperties+xml"/>
  <Override PartName="/xl/ctrlProps/ctrlProp2279.xml" ContentType="application/vnd.ms-excel.controlproperties+xml"/>
  <Override PartName="/xl/ctrlProps/ctrlProp2280.xml" ContentType="application/vnd.ms-excel.controlproperties+xml"/>
  <Override PartName="/xl/ctrlProps/ctrlProp2281.xml" ContentType="application/vnd.ms-excel.controlproperties+xml"/>
  <Override PartName="/xl/ctrlProps/ctrlProp2282.xml" ContentType="application/vnd.ms-excel.controlproperties+xml"/>
  <Override PartName="/xl/ctrlProps/ctrlProp2283.xml" ContentType="application/vnd.ms-excel.controlproperties+xml"/>
  <Override PartName="/xl/ctrlProps/ctrlProp2284.xml" ContentType="application/vnd.ms-excel.controlproperties+xml"/>
  <Override PartName="/xl/ctrlProps/ctrlProp2285.xml" ContentType="application/vnd.ms-excel.controlproperties+xml"/>
  <Override PartName="/xl/ctrlProps/ctrlProp2286.xml" ContentType="application/vnd.ms-excel.controlproperties+xml"/>
  <Override PartName="/xl/ctrlProps/ctrlProp2287.xml" ContentType="application/vnd.ms-excel.controlproperties+xml"/>
  <Override PartName="/xl/ctrlProps/ctrlProp2288.xml" ContentType="application/vnd.ms-excel.controlproperties+xml"/>
  <Override PartName="/xl/ctrlProps/ctrlProp2289.xml" ContentType="application/vnd.ms-excel.controlproperties+xml"/>
  <Override PartName="/xl/ctrlProps/ctrlProp2290.xml" ContentType="application/vnd.ms-excel.controlproperties+xml"/>
  <Override PartName="/xl/ctrlProps/ctrlProp2291.xml" ContentType="application/vnd.ms-excel.controlproperties+xml"/>
  <Override PartName="/xl/ctrlProps/ctrlProp2292.xml" ContentType="application/vnd.ms-excel.controlproperties+xml"/>
  <Override PartName="/xl/ctrlProps/ctrlProp2293.xml" ContentType="application/vnd.ms-excel.controlproperties+xml"/>
  <Override PartName="/xl/ctrlProps/ctrlProp2294.xml" ContentType="application/vnd.ms-excel.controlproperties+xml"/>
  <Override PartName="/xl/ctrlProps/ctrlProp2295.xml" ContentType="application/vnd.ms-excel.controlproperties+xml"/>
  <Override PartName="/xl/ctrlProps/ctrlProp2296.xml" ContentType="application/vnd.ms-excel.controlproperties+xml"/>
  <Override PartName="/xl/ctrlProps/ctrlProp2297.xml" ContentType="application/vnd.ms-excel.controlproperties+xml"/>
  <Override PartName="/xl/drawings/drawing51.xml" ContentType="application/vnd.openxmlformats-officedocument.drawing+xml"/>
  <Override PartName="/xl/ctrlProps/ctrlProp2298.xml" ContentType="application/vnd.ms-excel.controlproperties+xml"/>
  <Override PartName="/xl/ctrlProps/ctrlProp2299.xml" ContentType="application/vnd.ms-excel.controlproperties+xml"/>
  <Override PartName="/xl/ctrlProps/ctrlProp2300.xml" ContentType="application/vnd.ms-excel.controlproperties+xml"/>
  <Override PartName="/xl/ctrlProps/ctrlProp2301.xml" ContentType="application/vnd.ms-excel.controlproperties+xml"/>
  <Override PartName="/xl/ctrlProps/ctrlProp2302.xml" ContentType="application/vnd.ms-excel.controlproperties+xml"/>
  <Override PartName="/xl/ctrlProps/ctrlProp2303.xml" ContentType="application/vnd.ms-excel.controlproperties+xml"/>
  <Override PartName="/xl/ctrlProps/ctrlProp2304.xml" ContentType="application/vnd.ms-excel.controlproperties+xml"/>
  <Override PartName="/xl/ctrlProps/ctrlProp2305.xml" ContentType="application/vnd.ms-excel.controlproperties+xml"/>
  <Override PartName="/xl/ctrlProps/ctrlProp2306.xml" ContentType="application/vnd.ms-excel.controlproperties+xml"/>
  <Override PartName="/xl/ctrlProps/ctrlProp2307.xml" ContentType="application/vnd.ms-excel.controlproperties+xml"/>
  <Override PartName="/xl/ctrlProps/ctrlProp2308.xml" ContentType="application/vnd.ms-excel.controlproperties+xml"/>
  <Override PartName="/xl/ctrlProps/ctrlProp2309.xml" ContentType="application/vnd.ms-excel.controlproperties+xml"/>
  <Override PartName="/xl/ctrlProps/ctrlProp2310.xml" ContentType="application/vnd.ms-excel.controlproperties+xml"/>
  <Override PartName="/xl/ctrlProps/ctrlProp2311.xml" ContentType="application/vnd.ms-excel.controlproperties+xml"/>
  <Override PartName="/xl/ctrlProps/ctrlProp2312.xml" ContentType="application/vnd.ms-excel.controlproperties+xml"/>
  <Override PartName="/xl/ctrlProps/ctrlProp2313.xml" ContentType="application/vnd.ms-excel.controlproperties+xml"/>
  <Override PartName="/xl/ctrlProps/ctrlProp2314.xml" ContentType="application/vnd.ms-excel.controlproperties+xml"/>
  <Override PartName="/xl/ctrlProps/ctrlProp2315.xml" ContentType="application/vnd.ms-excel.controlproperties+xml"/>
  <Override PartName="/xl/ctrlProps/ctrlProp2316.xml" ContentType="application/vnd.ms-excel.controlproperties+xml"/>
  <Override PartName="/xl/ctrlProps/ctrlProp2317.xml" ContentType="application/vnd.ms-excel.controlproperties+xml"/>
  <Override PartName="/xl/ctrlProps/ctrlProp2318.xml" ContentType="application/vnd.ms-excel.controlproperties+xml"/>
  <Override PartName="/xl/ctrlProps/ctrlProp2319.xml" ContentType="application/vnd.ms-excel.controlproperties+xml"/>
  <Override PartName="/xl/ctrlProps/ctrlProp2320.xml" ContentType="application/vnd.ms-excel.controlproperties+xml"/>
  <Override PartName="/xl/ctrlProps/ctrlProp2321.xml" ContentType="application/vnd.ms-excel.controlproperties+xml"/>
  <Override PartName="/xl/ctrlProps/ctrlProp2322.xml" ContentType="application/vnd.ms-excel.controlproperties+xml"/>
  <Override PartName="/xl/ctrlProps/ctrlProp2323.xml" ContentType="application/vnd.ms-excel.controlproperties+xml"/>
  <Override PartName="/xl/ctrlProps/ctrlProp2324.xml" ContentType="application/vnd.ms-excel.controlproperties+xml"/>
  <Override PartName="/xl/ctrlProps/ctrlProp2325.xml" ContentType="application/vnd.ms-excel.controlproperties+xml"/>
  <Override PartName="/xl/ctrlProps/ctrlProp2326.xml" ContentType="application/vnd.ms-excel.controlproperties+xml"/>
  <Override PartName="/xl/ctrlProps/ctrlProp2327.xml" ContentType="application/vnd.ms-excel.controlproperties+xml"/>
  <Override PartName="/xl/ctrlProps/ctrlProp2328.xml" ContentType="application/vnd.ms-excel.controlproperties+xml"/>
  <Override PartName="/xl/ctrlProps/ctrlProp2329.xml" ContentType="application/vnd.ms-excel.controlproperties+xml"/>
  <Override PartName="/xl/ctrlProps/ctrlProp2330.xml" ContentType="application/vnd.ms-excel.controlproperties+xml"/>
  <Override PartName="/xl/ctrlProps/ctrlProp2331.xml" ContentType="application/vnd.ms-excel.controlproperties+xml"/>
  <Override PartName="/xl/ctrlProps/ctrlProp2332.xml" ContentType="application/vnd.ms-excel.controlproperties+xml"/>
  <Override PartName="/xl/ctrlProps/ctrlProp2333.xml" ContentType="application/vnd.ms-excel.controlproperties+xml"/>
  <Override PartName="/xl/ctrlProps/ctrlProp2334.xml" ContentType="application/vnd.ms-excel.controlproperties+xml"/>
  <Override PartName="/xl/drawings/drawing52.xml" ContentType="application/vnd.openxmlformats-officedocument.drawing+xml"/>
  <Override PartName="/xl/ctrlProps/ctrlProp2335.xml" ContentType="application/vnd.ms-excel.controlproperties+xml"/>
  <Override PartName="/xl/ctrlProps/ctrlProp2336.xml" ContentType="application/vnd.ms-excel.controlproperties+xml"/>
  <Override PartName="/xl/ctrlProps/ctrlProp2337.xml" ContentType="application/vnd.ms-excel.controlproperties+xml"/>
  <Override PartName="/xl/ctrlProps/ctrlProp2338.xml" ContentType="application/vnd.ms-excel.controlproperties+xml"/>
  <Override PartName="/xl/ctrlProps/ctrlProp2339.xml" ContentType="application/vnd.ms-excel.controlproperties+xml"/>
  <Override PartName="/xl/ctrlProps/ctrlProp2340.xml" ContentType="application/vnd.ms-excel.controlproperties+xml"/>
  <Override PartName="/xl/ctrlProps/ctrlProp2341.xml" ContentType="application/vnd.ms-excel.controlproperties+xml"/>
  <Override PartName="/xl/ctrlProps/ctrlProp2342.xml" ContentType="application/vnd.ms-excel.controlproperties+xml"/>
  <Override PartName="/xl/ctrlProps/ctrlProp2343.xml" ContentType="application/vnd.ms-excel.controlproperties+xml"/>
  <Override PartName="/xl/ctrlProps/ctrlProp2344.xml" ContentType="application/vnd.ms-excel.controlproperties+xml"/>
  <Override PartName="/xl/ctrlProps/ctrlProp2345.xml" ContentType="application/vnd.ms-excel.controlproperties+xml"/>
  <Override PartName="/xl/ctrlProps/ctrlProp2346.xml" ContentType="application/vnd.ms-excel.controlproperties+xml"/>
  <Override PartName="/xl/ctrlProps/ctrlProp2347.xml" ContentType="application/vnd.ms-excel.controlproperties+xml"/>
  <Override PartName="/xl/ctrlProps/ctrlProp2348.xml" ContentType="application/vnd.ms-excel.controlproperties+xml"/>
  <Override PartName="/xl/ctrlProps/ctrlProp2349.xml" ContentType="application/vnd.ms-excel.controlproperties+xml"/>
  <Override PartName="/xl/ctrlProps/ctrlProp2350.xml" ContentType="application/vnd.ms-excel.controlproperties+xml"/>
  <Override PartName="/xl/ctrlProps/ctrlProp2351.xml" ContentType="application/vnd.ms-excel.controlproperties+xml"/>
  <Override PartName="/xl/ctrlProps/ctrlProp2352.xml" ContentType="application/vnd.ms-excel.controlproperties+xml"/>
  <Override PartName="/xl/ctrlProps/ctrlProp2353.xml" ContentType="application/vnd.ms-excel.controlproperties+xml"/>
  <Override PartName="/xl/ctrlProps/ctrlProp2354.xml" ContentType="application/vnd.ms-excel.controlproperties+xml"/>
  <Override PartName="/xl/ctrlProps/ctrlProp2355.xml" ContentType="application/vnd.ms-excel.controlproperties+xml"/>
  <Override PartName="/xl/ctrlProps/ctrlProp2356.xml" ContentType="application/vnd.ms-excel.controlproperties+xml"/>
  <Override PartName="/xl/ctrlProps/ctrlProp2357.xml" ContentType="application/vnd.ms-excel.controlproperties+xml"/>
  <Override PartName="/xl/ctrlProps/ctrlProp2358.xml" ContentType="application/vnd.ms-excel.controlproperties+xml"/>
  <Override PartName="/xl/ctrlProps/ctrlProp2359.xml" ContentType="application/vnd.ms-excel.controlproperties+xml"/>
  <Override PartName="/xl/ctrlProps/ctrlProp2360.xml" ContentType="application/vnd.ms-excel.controlproperties+xml"/>
  <Override PartName="/xl/ctrlProps/ctrlProp2361.xml" ContentType="application/vnd.ms-excel.controlproperties+xml"/>
  <Override PartName="/xl/ctrlProps/ctrlProp2362.xml" ContentType="application/vnd.ms-excel.controlproperties+xml"/>
  <Override PartName="/xl/ctrlProps/ctrlProp2363.xml" ContentType="application/vnd.ms-excel.controlproperties+xml"/>
  <Override PartName="/xl/ctrlProps/ctrlProp2364.xml" ContentType="application/vnd.ms-excel.controlproperties+xml"/>
  <Override PartName="/xl/ctrlProps/ctrlProp2365.xml" ContentType="application/vnd.ms-excel.controlproperties+xml"/>
  <Override PartName="/xl/ctrlProps/ctrlProp2366.xml" ContentType="application/vnd.ms-excel.controlproperties+xml"/>
  <Override PartName="/xl/ctrlProps/ctrlProp2367.xml" ContentType="application/vnd.ms-excel.controlproperties+xml"/>
  <Override PartName="/xl/ctrlProps/ctrlProp2368.xml" ContentType="application/vnd.ms-excel.controlproperties+xml"/>
  <Override PartName="/xl/ctrlProps/ctrlProp2369.xml" ContentType="application/vnd.ms-excel.controlproperties+xml"/>
  <Override PartName="/xl/ctrlProps/ctrlProp2370.xml" ContentType="application/vnd.ms-excel.controlproperties+xml"/>
  <Override PartName="/xl/ctrlProps/ctrlProp2371.xml" ContentType="application/vnd.ms-excel.controlproperties+xml"/>
  <Override PartName="/xl/drawings/drawing53.xml" ContentType="application/vnd.openxmlformats-officedocument.drawing+xml"/>
  <Override PartName="/xl/ctrlProps/ctrlProp2372.xml" ContentType="application/vnd.ms-excel.controlproperties+xml"/>
  <Override PartName="/xl/ctrlProps/ctrlProp2373.xml" ContentType="application/vnd.ms-excel.controlproperties+xml"/>
  <Override PartName="/xl/ctrlProps/ctrlProp2374.xml" ContentType="application/vnd.ms-excel.controlproperties+xml"/>
  <Override PartName="/xl/ctrlProps/ctrlProp2375.xml" ContentType="application/vnd.ms-excel.controlproperties+xml"/>
  <Override PartName="/xl/ctrlProps/ctrlProp2376.xml" ContentType="application/vnd.ms-excel.controlproperties+xml"/>
  <Override PartName="/xl/ctrlProps/ctrlProp2377.xml" ContentType="application/vnd.ms-excel.controlproperties+xml"/>
  <Override PartName="/xl/ctrlProps/ctrlProp2378.xml" ContentType="application/vnd.ms-excel.controlproperties+xml"/>
  <Override PartName="/xl/ctrlProps/ctrlProp2379.xml" ContentType="application/vnd.ms-excel.controlproperties+xml"/>
  <Override PartName="/xl/ctrlProps/ctrlProp2380.xml" ContentType="application/vnd.ms-excel.controlproperties+xml"/>
  <Override PartName="/xl/ctrlProps/ctrlProp2381.xml" ContentType="application/vnd.ms-excel.controlproperties+xml"/>
  <Override PartName="/xl/ctrlProps/ctrlProp2382.xml" ContentType="application/vnd.ms-excel.controlproperties+xml"/>
  <Override PartName="/xl/ctrlProps/ctrlProp2383.xml" ContentType="application/vnd.ms-excel.controlproperties+xml"/>
  <Override PartName="/xl/ctrlProps/ctrlProp2384.xml" ContentType="application/vnd.ms-excel.controlproperties+xml"/>
  <Override PartName="/xl/ctrlProps/ctrlProp2385.xml" ContentType="application/vnd.ms-excel.controlproperties+xml"/>
  <Override PartName="/xl/ctrlProps/ctrlProp2386.xml" ContentType="application/vnd.ms-excel.controlproperties+xml"/>
  <Override PartName="/xl/ctrlProps/ctrlProp2387.xml" ContentType="application/vnd.ms-excel.controlproperties+xml"/>
  <Override PartName="/xl/ctrlProps/ctrlProp2388.xml" ContentType="application/vnd.ms-excel.controlproperties+xml"/>
  <Override PartName="/xl/ctrlProps/ctrlProp2389.xml" ContentType="application/vnd.ms-excel.controlproperties+xml"/>
  <Override PartName="/xl/ctrlProps/ctrlProp2390.xml" ContentType="application/vnd.ms-excel.controlproperties+xml"/>
  <Override PartName="/xl/ctrlProps/ctrlProp2391.xml" ContentType="application/vnd.ms-excel.controlproperties+xml"/>
  <Override PartName="/xl/ctrlProps/ctrlProp2392.xml" ContentType="application/vnd.ms-excel.controlproperties+xml"/>
  <Override PartName="/xl/ctrlProps/ctrlProp2393.xml" ContentType="application/vnd.ms-excel.controlproperties+xml"/>
  <Override PartName="/xl/ctrlProps/ctrlProp2394.xml" ContentType="application/vnd.ms-excel.controlproperties+xml"/>
  <Override PartName="/xl/ctrlProps/ctrlProp2395.xml" ContentType="application/vnd.ms-excel.controlproperties+xml"/>
  <Override PartName="/xl/ctrlProps/ctrlProp2396.xml" ContentType="application/vnd.ms-excel.controlproperties+xml"/>
  <Override PartName="/xl/ctrlProps/ctrlProp2397.xml" ContentType="application/vnd.ms-excel.controlproperties+xml"/>
  <Override PartName="/xl/ctrlProps/ctrlProp2398.xml" ContentType="application/vnd.ms-excel.controlproperties+xml"/>
  <Override PartName="/xl/ctrlProps/ctrlProp2399.xml" ContentType="application/vnd.ms-excel.controlproperties+xml"/>
  <Override PartName="/xl/ctrlProps/ctrlProp2400.xml" ContentType="application/vnd.ms-excel.controlproperties+xml"/>
  <Override PartName="/xl/ctrlProps/ctrlProp2401.xml" ContentType="application/vnd.ms-excel.controlproperties+xml"/>
  <Override PartName="/xl/ctrlProps/ctrlProp2402.xml" ContentType="application/vnd.ms-excel.controlproperties+xml"/>
  <Override PartName="/xl/ctrlProps/ctrlProp2403.xml" ContentType="application/vnd.ms-excel.controlproperties+xml"/>
  <Override PartName="/xl/ctrlProps/ctrlProp2404.xml" ContentType="application/vnd.ms-excel.controlproperties+xml"/>
  <Override PartName="/xl/ctrlProps/ctrlProp2405.xml" ContentType="application/vnd.ms-excel.controlproperties+xml"/>
  <Override PartName="/xl/ctrlProps/ctrlProp2406.xml" ContentType="application/vnd.ms-excel.controlproperties+xml"/>
  <Override PartName="/xl/ctrlProps/ctrlProp2407.xml" ContentType="application/vnd.ms-excel.controlproperties+xml"/>
  <Override PartName="/xl/ctrlProps/ctrlProp2408.xml" ContentType="application/vnd.ms-excel.controlproperties+xml"/>
  <Override PartName="/xl/drawings/drawing54.xml" ContentType="application/vnd.openxmlformats-officedocument.drawing+xml"/>
  <Override PartName="/xl/ctrlProps/ctrlProp2409.xml" ContentType="application/vnd.ms-excel.controlproperties+xml"/>
  <Override PartName="/xl/ctrlProps/ctrlProp2410.xml" ContentType="application/vnd.ms-excel.controlproperties+xml"/>
  <Override PartName="/xl/ctrlProps/ctrlProp2411.xml" ContentType="application/vnd.ms-excel.controlproperties+xml"/>
  <Override PartName="/xl/ctrlProps/ctrlProp2412.xml" ContentType="application/vnd.ms-excel.controlproperties+xml"/>
  <Override PartName="/xl/ctrlProps/ctrlProp2413.xml" ContentType="application/vnd.ms-excel.controlproperties+xml"/>
  <Override PartName="/xl/ctrlProps/ctrlProp2414.xml" ContentType="application/vnd.ms-excel.controlproperties+xml"/>
  <Override PartName="/xl/ctrlProps/ctrlProp2415.xml" ContentType="application/vnd.ms-excel.controlproperties+xml"/>
  <Override PartName="/xl/ctrlProps/ctrlProp2416.xml" ContentType="application/vnd.ms-excel.controlproperties+xml"/>
  <Override PartName="/xl/ctrlProps/ctrlProp2417.xml" ContentType="application/vnd.ms-excel.controlproperties+xml"/>
  <Override PartName="/xl/ctrlProps/ctrlProp2418.xml" ContentType="application/vnd.ms-excel.controlproperties+xml"/>
  <Override PartName="/xl/ctrlProps/ctrlProp2419.xml" ContentType="application/vnd.ms-excel.controlproperties+xml"/>
  <Override PartName="/xl/ctrlProps/ctrlProp2420.xml" ContentType="application/vnd.ms-excel.controlproperties+xml"/>
  <Override PartName="/xl/ctrlProps/ctrlProp2421.xml" ContentType="application/vnd.ms-excel.controlproperties+xml"/>
  <Override PartName="/xl/ctrlProps/ctrlProp2422.xml" ContentType="application/vnd.ms-excel.controlproperties+xml"/>
  <Override PartName="/xl/ctrlProps/ctrlProp2423.xml" ContentType="application/vnd.ms-excel.controlproperties+xml"/>
  <Override PartName="/xl/ctrlProps/ctrlProp2424.xml" ContentType="application/vnd.ms-excel.controlproperties+xml"/>
  <Override PartName="/xl/ctrlProps/ctrlProp2425.xml" ContentType="application/vnd.ms-excel.controlproperties+xml"/>
  <Override PartName="/xl/ctrlProps/ctrlProp2426.xml" ContentType="application/vnd.ms-excel.controlproperties+xml"/>
  <Override PartName="/xl/ctrlProps/ctrlProp2427.xml" ContentType="application/vnd.ms-excel.controlproperties+xml"/>
  <Override PartName="/xl/ctrlProps/ctrlProp2428.xml" ContentType="application/vnd.ms-excel.controlproperties+xml"/>
  <Override PartName="/xl/ctrlProps/ctrlProp2429.xml" ContentType="application/vnd.ms-excel.controlproperties+xml"/>
  <Override PartName="/xl/ctrlProps/ctrlProp2430.xml" ContentType="application/vnd.ms-excel.controlproperties+xml"/>
  <Override PartName="/xl/ctrlProps/ctrlProp2431.xml" ContentType="application/vnd.ms-excel.controlproperties+xml"/>
  <Override PartName="/xl/ctrlProps/ctrlProp2432.xml" ContentType="application/vnd.ms-excel.controlproperties+xml"/>
  <Override PartName="/xl/ctrlProps/ctrlProp2433.xml" ContentType="application/vnd.ms-excel.controlproperties+xml"/>
  <Override PartName="/xl/ctrlProps/ctrlProp2434.xml" ContentType="application/vnd.ms-excel.controlproperties+xml"/>
  <Override PartName="/xl/ctrlProps/ctrlProp2435.xml" ContentType="application/vnd.ms-excel.controlproperties+xml"/>
  <Override PartName="/xl/ctrlProps/ctrlProp2436.xml" ContentType="application/vnd.ms-excel.controlproperties+xml"/>
  <Override PartName="/xl/ctrlProps/ctrlProp2437.xml" ContentType="application/vnd.ms-excel.controlproperties+xml"/>
  <Override PartName="/xl/ctrlProps/ctrlProp2438.xml" ContentType="application/vnd.ms-excel.controlproperties+xml"/>
  <Override PartName="/xl/ctrlProps/ctrlProp2439.xml" ContentType="application/vnd.ms-excel.controlproperties+xml"/>
  <Override PartName="/xl/ctrlProps/ctrlProp2440.xml" ContentType="application/vnd.ms-excel.controlproperties+xml"/>
  <Override PartName="/xl/ctrlProps/ctrlProp2441.xml" ContentType="application/vnd.ms-excel.controlproperties+xml"/>
  <Override PartName="/xl/ctrlProps/ctrlProp2442.xml" ContentType="application/vnd.ms-excel.controlproperties+xml"/>
  <Override PartName="/xl/ctrlProps/ctrlProp2443.xml" ContentType="application/vnd.ms-excel.controlproperties+xml"/>
  <Override PartName="/xl/ctrlProps/ctrlProp2444.xml" ContentType="application/vnd.ms-excel.controlproperties+xml"/>
  <Override PartName="/xl/ctrlProps/ctrlProp2445.xml" ContentType="application/vnd.ms-excel.controlproperties+xml"/>
  <Override PartName="/xl/drawings/drawing55.xml" ContentType="application/vnd.openxmlformats-officedocument.drawing+xml"/>
  <Override PartName="/xl/ctrlProps/ctrlProp2446.xml" ContentType="application/vnd.ms-excel.controlproperties+xml"/>
  <Override PartName="/xl/ctrlProps/ctrlProp2447.xml" ContentType="application/vnd.ms-excel.controlproperties+xml"/>
  <Override PartName="/xl/ctrlProps/ctrlProp2448.xml" ContentType="application/vnd.ms-excel.controlproperties+xml"/>
  <Override PartName="/xl/ctrlProps/ctrlProp2449.xml" ContentType="application/vnd.ms-excel.controlproperties+xml"/>
  <Override PartName="/xl/ctrlProps/ctrlProp2450.xml" ContentType="application/vnd.ms-excel.controlproperties+xml"/>
  <Override PartName="/xl/ctrlProps/ctrlProp2451.xml" ContentType="application/vnd.ms-excel.controlproperties+xml"/>
  <Override PartName="/xl/ctrlProps/ctrlProp2452.xml" ContentType="application/vnd.ms-excel.controlproperties+xml"/>
  <Override PartName="/xl/ctrlProps/ctrlProp2453.xml" ContentType="application/vnd.ms-excel.controlproperties+xml"/>
  <Override PartName="/xl/ctrlProps/ctrlProp2454.xml" ContentType="application/vnd.ms-excel.controlproperties+xml"/>
  <Override PartName="/xl/ctrlProps/ctrlProp2455.xml" ContentType="application/vnd.ms-excel.controlproperties+xml"/>
  <Override PartName="/xl/ctrlProps/ctrlProp2456.xml" ContentType="application/vnd.ms-excel.controlproperties+xml"/>
  <Override PartName="/xl/ctrlProps/ctrlProp2457.xml" ContentType="application/vnd.ms-excel.controlproperties+xml"/>
  <Override PartName="/xl/ctrlProps/ctrlProp2458.xml" ContentType="application/vnd.ms-excel.controlproperties+xml"/>
  <Override PartName="/xl/ctrlProps/ctrlProp2459.xml" ContentType="application/vnd.ms-excel.controlproperties+xml"/>
  <Override PartName="/xl/ctrlProps/ctrlProp2460.xml" ContentType="application/vnd.ms-excel.controlproperties+xml"/>
  <Override PartName="/xl/ctrlProps/ctrlProp2461.xml" ContentType="application/vnd.ms-excel.controlproperties+xml"/>
  <Override PartName="/xl/ctrlProps/ctrlProp2462.xml" ContentType="application/vnd.ms-excel.controlproperties+xml"/>
  <Override PartName="/xl/ctrlProps/ctrlProp2463.xml" ContentType="application/vnd.ms-excel.controlproperties+xml"/>
  <Override PartName="/xl/ctrlProps/ctrlProp2464.xml" ContentType="application/vnd.ms-excel.controlproperties+xml"/>
  <Override PartName="/xl/ctrlProps/ctrlProp2465.xml" ContentType="application/vnd.ms-excel.controlproperties+xml"/>
  <Override PartName="/xl/ctrlProps/ctrlProp2466.xml" ContentType="application/vnd.ms-excel.controlproperties+xml"/>
  <Override PartName="/xl/ctrlProps/ctrlProp2467.xml" ContentType="application/vnd.ms-excel.controlproperties+xml"/>
  <Override PartName="/xl/ctrlProps/ctrlProp2468.xml" ContentType="application/vnd.ms-excel.controlproperties+xml"/>
  <Override PartName="/xl/ctrlProps/ctrlProp2469.xml" ContentType="application/vnd.ms-excel.controlproperties+xml"/>
  <Override PartName="/xl/ctrlProps/ctrlProp2470.xml" ContentType="application/vnd.ms-excel.controlproperties+xml"/>
  <Override PartName="/xl/ctrlProps/ctrlProp2471.xml" ContentType="application/vnd.ms-excel.controlproperties+xml"/>
  <Override PartName="/xl/ctrlProps/ctrlProp2472.xml" ContentType="application/vnd.ms-excel.controlproperties+xml"/>
  <Override PartName="/xl/ctrlProps/ctrlProp2473.xml" ContentType="application/vnd.ms-excel.controlproperties+xml"/>
  <Override PartName="/xl/ctrlProps/ctrlProp2474.xml" ContentType="application/vnd.ms-excel.controlproperties+xml"/>
  <Override PartName="/xl/ctrlProps/ctrlProp2475.xml" ContentType="application/vnd.ms-excel.controlproperties+xml"/>
  <Override PartName="/xl/ctrlProps/ctrlProp2476.xml" ContentType="application/vnd.ms-excel.controlproperties+xml"/>
  <Override PartName="/xl/ctrlProps/ctrlProp2477.xml" ContentType="application/vnd.ms-excel.controlproperties+xml"/>
  <Override PartName="/xl/ctrlProps/ctrlProp2478.xml" ContentType="application/vnd.ms-excel.controlproperties+xml"/>
  <Override PartName="/xl/ctrlProps/ctrlProp2479.xml" ContentType="application/vnd.ms-excel.controlproperties+xml"/>
  <Override PartName="/xl/ctrlProps/ctrlProp2480.xml" ContentType="application/vnd.ms-excel.controlproperties+xml"/>
  <Override PartName="/xl/ctrlProps/ctrlProp2481.xml" ContentType="application/vnd.ms-excel.controlproperties+xml"/>
  <Override PartName="/xl/ctrlProps/ctrlProp2482.xml" ContentType="application/vnd.ms-excel.controlproperties+xml"/>
  <Override PartName="/xl/drawings/drawing56.xml" ContentType="application/vnd.openxmlformats-officedocument.drawing+xml"/>
  <Override PartName="/xl/ctrlProps/ctrlProp2483.xml" ContentType="application/vnd.ms-excel.controlproperties+xml"/>
  <Override PartName="/xl/ctrlProps/ctrlProp2484.xml" ContentType="application/vnd.ms-excel.controlproperties+xml"/>
  <Override PartName="/xl/ctrlProps/ctrlProp2485.xml" ContentType="application/vnd.ms-excel.controlproperties+xml"/>
  <Override PartName="/xl/ctrlProps/ctrlProp2486.xml" ContentType="application/vnd.ms-excel.controlproperties+xml"/>
  <Override PartName="/xl/ctrlProps/ctrlProp2487.xml" ContentType="application/vnd.ms-excel.controlproperties+xml"/>
  <Override PartName="/xl/ctrlProps/ctrlProp2488.xml" ContentType="application/vnd.ms-excel.controlproperties+xml"/>
  <Override PartName="/xl/ctrlProps/ctrlProp2489.xml" ContentType="application/vnd.ms-excel.controlproperties+xml"/>
  <Override PartName="/xl/ctrlProps/ctrlProp2490.xml" ContentType="application/vnd.ms-excel.controlproperties+xml"/>
  <Override PartName="/xl/ctrlProps/ctrlProp2491.xml" ContentType="application/vnd.ms-excel.controlproperties+xml"/>
  <Override PartName="/xl/ctrlProps/ctrlProp2492.xml" ContentType="application/vnd.ms-excel.controlproperties+xml"/>
  <Override PartName="/xl/ctrlProps/ctrlProp2493.xml" ContentType="application/vnd.ms-excel.controlproperties+xml"/>
  <Override PartName="/xl/ctrlProps/ctrlProp2494.xml" ContentType="application/vnd.ms-excel.controlproperties+xml"/>
  <Override PartName="/xl/ctrlProps/ctrlProp2495.xml" ContentType="application/vnd.ms-excel.controlproperties+xml"/>
  <Override PartName="/xl/ctrlProps/ctrlProp2496.xml" ContentType="application/vnd.ms-excel.controlproperties+xml"/>
  <Override PartName="/xl/ctrlProps/ctrlProp2497.xml" ContentType="application/vnd.ms-excel.controlproperties+xml"/>
  <Override PartName="/xl/ctrlProps/ctrlProp2498.xml" ContentType="application/vnd.ms-excel.controlproperties+xml"/>
  <Override PartName="/xl/ctrlProps/ctrlProp2499.xml" ContentType="application/vnd.ms-excel.controlproperties+xml"/>
  <Override PartName="/xl/ctrlProps/ctrlProp2500.xml" ContentType="application/vnd.ms-excel.controlproperties+xml"/>
  <Override PartName="/xl/ctrlProps/ctrlProp2501.xml" ContentType="application/vnd.ms-excel.controlproperties+xml"/>
  <Override PartName="/xl/ctrlProps/ctrlProp2502.xml" ContentType="application/vnd.ms-excel.controlproperties+xml"/>
  <Override PartName="/xl/ctrlProps/ctrlProp2503.xml" ContentType="application/vnd.ms-excel.controlproperties+xml"/>
  <Override PartName="/xl/ctrlProps/ctrlProp2504.xml" ContentType="application/vnd.ms-excel.controlproperties+xml"/>
  <Override PartName="/xl/ctrlProps/ctrlProp2505.xml" ContentType="application/vnd.ms-excel.controlproperties+xml"/>
  <Override PartName="/xl/ctrlProps/ctrlProp2506.xml" ContentType="application/vnd.ms-excel.controlproperties+xml"/>
  <Override PartName="/xl/ctrlProps/ctrlProp2507.xml" ContentType="application/vnd.ms-excel.controlproperties+xml"/>
  <Override PartName="/xl/ctrlProps/ctrlProp2508.xml" ContentType="application/vnd.ms-excel.controlproperties+xml"/>
  <Override PartName="/xl/ctrlProps/ctrlProp2509.xml" ContentType="application/vnd.ms-excel.controlproperties+xml"/>
  <Override PartName="/xl/ctrlProps/ctrlProp2510.xml" ContentType="application/vnd.ms-excel.controlproperties+xml"/>
  <Override PartName="/xl/ctrlProps/ctrlProp2511.xml" ContentType="application/vnd.ms-excel.controlproperties+xml"/>
  <Override PartName="/xl/ctrlProps/ctrlProp2512.xml" ContentType="application/vnd.ms-excel.controlproperties+xml"/>
  <Override PartName="/xl/ctrlProps/ctrlProp2513.xml" ContentType="application/vnd.ms-excel.controlproperties+xml"/>
  <Override PartName="/xl/ctrlProps/ctrlProp2514.xml" ContentType="application/vnd.ms-excel.controlproperties+xml"/>
  <Override PartName="/xl/ctrlProps/ctrlProp2515.xml" ContentType="application/vnd.ms-excel.controlproperties+xml"/>
  <Override PartName="/xl/ctrlProps/ctrlProp2516.xml" ContentType="application/vnd.ms-excel.controlproperties+xml"/>
  <Override PartName="/xl/ctrlProps/ctrlProp2517.xml" ContentType="application/vnd.ms-excel.controlproperties+xml"/>
  <Override PartName="/xl/ctrlProps/ctrlProp2518.xml" ContentType="application/vnd.ms-excel.controlproperties+xml"/>
  <Override PartName="/xl/ctrlProps/ctrlProp2519.xml" ContentType="application/vnd.ms-excel.controlproperties+xml"/>
  <Override PartName="/xl/drawings/drawing57.xml" ContentType="application/vnd.openxmlformats-officedocument.drawing+xml"/>
  <Override PartName="/xl/ctrlProps/ctrlProp2520.xml" ContentType="application/vnd.ms-excel.controlproperties+xml"/>
  <Override PartName="/xl/ctrlProps/ctrlProp2521.xml" ContentType="application/vnd.ms-excel.controlproperties+xml"/>
  <Override PartName="/xl/ctrlProps/ctrlProp2522.xml" ContentType="application/vnd.ms-excel.controlproperties+xml"/>
  <Override PartName="/xl/ctrlProps/ctrlProp2523.xml" ContentType="application/vnd.ms-excel.controlproperties+xml"/>
  <Override PartName="/xl/ctrlProps/ctrlProp2524.xml" ContentType="application/vnd.ms-excel.controlproperties+xml"/>
  <Override PartName="/xl/ctrlProps/ctrlProp2525.xml" ContentType="application/vnd.ms-excel.controlproperties+xml"/>
  <Override PartName="/xl/ctrlProps/ctrlProp2526.xml" ContentType="application/vnd.ms-excel.controlproperties+xml"/>
  <Override PartName="/xl/ctrlProps/ctrlProp2527.xml" ContentType="application/vnd.ms-excel.controlproperties+xml"/>
  <Override PartName="/xl/ctrlProps/ctrlProp2528.xml" ContentType="application/vnd.ms-excel.controlproperties+xml"/>
  <Override PartName="/xl/ctrlProps/ctrlProp2529.xml" ContentType="application/vnd.ms-excel.controlproperties+xml"/>
  <Override PartName="/xl/ctrlProps/ctrlProp2530.xml" ContentType="application/vnd.ms-excel.controlproperties+xml"/>
  <Override PartName="/xl/ctrlProps/ctrlProp2531.xml" ContentType="application/vnd.ms-excel.controlproperties+xml"/>
  <Override PartName="/xl/ctrlProps/ctrlProp2532.xml" ContentType="application/vnd.ms-excel.controlproperties+xml"/>
  <Override PartName="/xl/ctrlProps/ctrlProp2533.xml" ContentType="application/vnd.ms-excel.controlproperties+xml"/>
  <Override PartName="/xl/ctrlProps/ctrlProp2534.xml" ContentType="application/vnd.ms-excel.controlproperties+xml"/>
  <Override PartName="/xl/ctrlProps/ctrlProp2535.xml" ContentType="application/vnd.ms-excel.controlproperties+xml"/>
  <Override PartName="/xl/ctrlProps/ctrlProp2536.xml" ContentType="application/vnd.ms-excel.controlproperties+xml"/>
  <Override PartName="/xl/ctrlProps/ctrlProp2537.xml" ContentType="application/vnd.ms-excel.controlproperties+xml"/>
  <Override PartName="/xl/ctrlProps/ctrlProp2538.xml" ContentType="application/vnd.ms-excel.controlproperties+xml"/>
  <Override PartName="/xl/ctrlProps/ctrlProp2539.xml" ContentType="application/vnd.ms-excel.controlproperties+xml"/>
  <Override PartName="/xl/ctrlProps/ctrlProp2540.xml" ContentType="application/vnd.ms-excel.controlproperties+xml"/>
  <Override PartName="/xl/ctrlProps/ctrlProp2541.xml" ContentType="application/vnd.ms-excel.controlproperties+xml"/>
  <Override PartName="/xl/ctrlProps/ctrlProp2542.xml" ContentType="application/vnd.ms-excel.controlproperties+xml"/>
  <Override PartName="/xl/ctrlProps/ctrlProp2543.xml" ContentType="application/vnd.ms-excel.controlproperties+xml"/>
  <Override PartName="/xl/ctrlProps/ctrlProp2544.xml" ContentType="application/vnd.ms-excel.controlproperties+xml"/>
  <Override PartName="/xl/ctrlProps/ctrlProp2545.xml" ContentType="application/vnd.ms-excel.controlproperties+xml"/>
  <Override PartName="/xl/ctrlProps/ctrlProp2546.xml" ContentType="application/vnd.ms-excel.controlproperties+xml"/>
  <Override PartName="/xl/ctrlProps/ctrlProp2547.xml" ContentType="application/vnd.ms-excel.controlproperties+xml"/>
  <Override PartName="/xl/ctrlProps/ctrlProp2548.xml" ContentType="application/vnd.ms-excel.controlproperties+xml"/>
  <Override PartName="/xl/ctrlProps/ctrlProp2549.xml" ContentType="application/vnd.ms-excel.controlproperties+xml"/>
  <Override PartName="/xl/ctrlProps/ctrlProp2550.xml" ContentType="application/vnd.ms-excel.controlproperties+xml"/>
  <Override PartName="/xl/ctrlProps/ctrlProp2551.xml" ContentType="application/vnd.ms-excel.controlproperties+xml"/>
  <Override PartName="/xl/ctrlProps/ctrlProp2552.xml" ContentType="application/vnd.ms-excel.controlproperties+xml"/>
  <Override PartName="/xl/ctrlProps/ctrlProp2553.xml" ContentType="application/vnd.ms-excel.controlproperties+xml"/>
  <Override PartName="/xl/ctrlProps/ctrlProp2554.xml" ContentType="application/vnd.ms-excel.controlproperties+xml"/>
  <Override PartName="/xl/ctrlProps/ctrlProp2555.xml" ContentType="application/vnd.ms-excel.controlproperties+xml"/>
  <Override PartName="/xl/ctrlProps/ctrlProp2556.xml" ContentType="application/vnd.ms-excel.controlproperties+xml"/>
  <Override PartName="/xl/drawings/drawing58.xml" ContentType="application/vnd.openxmlformats-officedocument.drawing+xml"/>
  <Override PartName="/xl/ctrlProps/ctrlProp2557.xml" ContentType="application/vnd.ms-excel.controlproperties+xml"/>
  <Override PartName="/xl/ctrlProps/ctrlProp2558.xml" ContentType="application/vnd.ms-excel.controlproperties+xml"/>
  <Override PartName="/xl/ctrlProps/ctrlProp2559.xml" ContentType="application/vnd.ms-excel.controlproperties+xml"/>
  <Override PartName="/xl/ctrlProps/ctrlProp2560.xml" ContentType="application/vnd.ms-excel.controlproperties+xml"/>
  <Override PartName="/xl/ctrlProps/ctrlProp2561.xml" ContentType="application/vnd.ms-excel.controlproperties+xml"/>
  <Override PartName="/xl/ctrlProps/ctrlProp2562.xml" ContentType="application/vnd.ms-excel.controlproperties+xml"/>
  <Override PartName="/xl/ctrlProps/ctrlProp2563.xml" ContentType="application/vnd.ms-excel.controlproperties+xml"/>
  <Override PartName="/xl/ctrlProps/ctrlProp2564.xml" ContentType="application/vnd.ms-excel.controlproperties+xml"/>
  <Override PartName="/xl/ctrlProps/ctrlProp2565.xml" ContentType="application/vnd.ms-excel.controlproperties+xml"/>
  <Override PartName="/xl/ctrlProps/ctrlProp2566.xml" ContentType="application/vnd.ms-excel.controlproperties+xml"/>
  <Override PartName="/xl/ctrlProps/ctrlProp2567.xml" ContentType="application/vnd.ms-excel.controlproperties+xml"/>
  <Override PartName="/xl/ctrlProps/ctrlProp2568.xml" ContentType="application/vnd.ms-excel.controlproperties+xml"/>
  <Override PartName="/xl/ctrlProps/ctrlProp2569.xml" ContentType="application/vnd.ms-excel.controlproperties+xml"/>
  <Override PartName="/xl/ctrlProps/ctrlProp2570.xml" ContentType="application/vnd.ms-excel.controlproperties+xml"/>
  <Override PartName="/xl/ctrlProps/ctrlProp2571.xml" ContentType="application/vnd.ms-excel.controlproperties+xml"/>
  <Override PartName="/xl/ctrlProps/ctrlProp2572.xml" ContentType="application/vnd.ms-excel.controlproperties+xml"/>
  <Override PartName="/xl/ctrlProps/ctrlProp2573.xml" ContentType="application/vnd.ms-excel.controlproperties+xml"/>
  <Override PartName="/xl/ctrlProps/ctrlProp2574.xml" ContentType="application/vnd.ms-excel.controlproperties+xml"/>
  <Override PartName="/xl/ctrlProps/ctrlProp2575.xml" ContentType="application/vnd.ms-excel.controlproperties+xml"/>
  <Override PartName="/xl/ctrlProps/ctrlProp2576.xml" ContentType="application/vnd.ms-excel.controlproperties+xml"/>
  <Override PartName="/xl/ctrlProps/ctrlProp2577.xml" ContentType="application/vnd.ms-excel.controlproperties+xml"/>
  <Override PartName="/xl/ctrlProps/ctrlProp2578.xml" ContentType="application/vnd.ms-excel.controlproperties+xml"/>
  <Override PartName="/xl/ctrlProps/ctrlProp2579.xml" ContentType="application/vnd.ms-excel.controlproperties+xml"/>
  <Override PartName="/xl/ctrlProps/ctrlProp2580.xml" ContentType="application/vnd.ms-excel.controlproperties+xml"/>
  <Override PartName="/xl/ctrlProps/ctrlProp2581.xml" ContentType="application/vnd.ms-excel.controlproperties+xml"/>
  <Override PartName="/xl/ctrlProps/ctrlProp2582.xml" ContentType="application/vnd.ms-excel.controlproperties+xml"/>
  <Override PartName="/xl/ctrlProps/ctrlProp2583.xml" ContentType="application/vnd.ms-excel.controlproperties+xml"/>
  <Override PartName="/xl/ctrlProps/ctrlProp2584.xml" ContentType="application/vnd.ms-excel.controlproperties+xml"/>
  <Override PartName="/xl/ctrlProps/ctrlProp2585.xml" ContentType="application/vnd.ms-excel.controlproperties+xml"/>
  <Override PartName="/xl/ctrlProps/ctrlProp2586.xml" ContentType="application/vnd.ms-excel.controlproperties+xml"/>
  <Override PartName="/xl/ctrlProps/ctrlProp2587.xml" ContentType="application/vnd.ms-excel.controlproperties+xml"/>
  <Override PartName="/xl/ctrlProps/ctrlProp2588.xml" ContentType="application/vnd.ms-excel.controlproperties+xml"/>
  <Override PartName="/xl/ctrlProps/ctrlProp2589.xml" ContentType="application/vnd.ms-excel.controlproperties+xml"/>
  <Override PartName="/xl/ctrlProps/ctrlProp2590.xml" ContentType="application/vnd.ms-excel.controlproperties+xml"/>
  <Override PartName="/xl/ctrlProps/ctrlProp2591.xml" ContentType="application/vnd.ms-excel.controlproperties+xml"/>
  <Override PartName="/xl/ctrlProps/ctrlProp2592.xml" ContentType="application/vnd.ms-excel.controlproperties+xml"/>
  <Override PartName="/xl/ctrlProps/ctrlProp2593.xml" ContentType="application/vnd.ms-excel.controlproperties+xml"/>
  <Override PartName="/xl/drawings/drawing59.xml" ContentType="application/vnd.openxmlformats-officedocument.drawing+xml"/>
  <Override PartName="/xl/ctrlProps/ctrlProp2594.xml" ContentType="application/vnd.ms-excel.controlproperties+xml"/>
  <Override PartName="/xl/ctrlProps/ctrlProp2595.xml" ContentType="application/vnd.ms-excel.controlproperties+xml"/>
  <Override PartName="/xl/ctrlProps/ctrlProp2596.xml" ContentType="application/vnd.ms-excel.controlproperties+xml"/>
  <Override PartName="/xl/ctrlProps/ctrlProp2597.xml" ContentType="application/vnd.ms-excel.controlproperties+xml"/>
  <Override PartName="/xl/ctrlProps/ctrlProp2598.xml" ContentType="application/vnd.ms-excel.controlproperties+xml"/>
  <Override PartName="/xl/ctrlProps/ctrlProp2599.xml" ContentType="application/vnd.ms-excel.controlproperties+xml"/>
  <Override PartName="/xl/ctrlProps/ctrlProp2600.xml" ContentType="application/vnd.ms-excel.controlproperties+xml"/>
  <Override PartName="/xl/ctrlProps/ctrlProp2601.xml" ContentType="application/vnd.ms-excel.controlproperties+xml"/>
  <Override PartName="/xl/ctrlProps/ctrlProp2602.xml" ContentType="application/vnd.ms-excel.controlproperties+xml"/>
  <Override PartName="/xl/ctrlProps/ctrlProp2603.xml" ContentType="application/vnd.ms-excel.controlproperties+xml"/>
  <Override PartName="/xl/ctrlProps/ctrlProp2604.xml" ContentType="application/vnd.ms-excel.controlproperties+xml"/>
  <Override PartName="/xl/ctrlProps/ctrlProp2605.xml" ContentType="application/vnd.ms-excel.controlproperties+xml"/>
  <Override PartName="/xl/ctrlProps/ctrlProp2606.xml" ContentType="application/vnd.ms-excel.controlproperties+xml"/>
  <Override PartName="/xl/ctrlProps/ctrlProp2607.xml" ContentType="application/vnd.ms-excel.controlproperties+xml"/>
  <Override PartName="/xl/ctrlProps/ctrlProp2608.xml" ContentType="application/vnd.ms-excel.controlproperties+xml"/>
  <Override PartName="/xl/ctrlProps/ctrlProp2609.xml" ContentType="application/vnd.ms-excel.controlproperties+xml"/>
  <Override PartName="/xl/ctrlProps/ctrlProp2610.xml" ContentType="application/vnd.ms-excel.controlproperties+xml"/>
  <Override PartName="/xl/ctrlProps/ctrlProp2611.xml" ContentType="application/vnd.ms-excel.controlproperties+xml"/>
  <Override PartName="/xl/ctrlProps/ctrlProp2612.xml" ContentType="application/vnd.ms-excel.controlproperties+xml"/>
  <Override PartName="/xl/ctrlProps/ctrlProp2613.xml" ContentType="application/vnd.ms-excel.controlproperties+xml"/>
  <Override PartName="/xl/ctrlProps/ctrlProp2614.xml" ContentType="application/vnd.ms-excel.controlproperties+xml"/>
  <Override PartName="/xl/ctrlProps/ctrlProp2615.xml" ContentType="application/vnd.ms-excel.controlproperties+xml"/>
  <Override PartName="/xl/ctrlProps/ctrlProp2616.xml" ContentType="application/vnd.ms-excel.controlproperties+xml"/>
  <Override PartName="/xl/ctrlProps/ctrlProp2617.xml" ContentType="application/vnd.ms-excel.controlproperties+xml"/>
  <Override PartName="/xl/ctrlProps/ctrlProp2618.xml" ContentType="application/vnd.ms-excel.controlproperties+xml"/>
  <Override PartName="/xl/ctrlProps/ctrlProp2619.xml" ContentType="application/vnd.ms-excel.controlproperties+xml"/>
  <Override PartName="/xl/ctrlProps/ctrlProp2620.xml" ContentType="application/vnd.ms-excel.controlproperties+xml"/>
  <Override PartName="/xl/ctrlProps/ctrlProp2621.xml" ContentType="application/vnd.ms-excel.controlproperties+xml"/>
  <Override PartName="/xl/ctrlProps/ctrlProp2622.xml" ContentType="application/vnd.ms-excel.controlproperties+xml"/>
  <Override PartName="/xl/ctrlProps/ctrlProp2623.xml" ContentType="application/vnd.ms-excel.controlproperties+xml"/>
  <Override PartName="/xl/ctrlProps/ctrlProp2624.xml" ContentType="application/vnd.ms-excel.controlproperties+xml"/>
  <Override PartName="/xl/ctrlProps/ctrlProp2625.xml" ContentType="application/vnd.ms-excel.controlproperties+xml"/>
  <Override PartName="/xl/ctrlProps/ctrlProp2626.xml" ContentType="application/vnd.ms-excel.controlproperties+xml"/>
  <Override PartName="/xl/ctrlProps/ctrlProp2627.xml" ContentType="application/vnd.ms-excel.controlproperties+xml"/>
  <Override PartName="/xl/ctrlProps/ctrlProp2628.xml" ContentType="application/vnd.ms-excel.controlproperties+xml"/>
  <Override PartName="/xl/ctrlProps/ctrlProp2629.xml" ContentType="application/vnd.ms-excel.controlproperties+xml"/>
  <Override PartName="/xl/ctrlProps/ctrlProp2630.xml" ContentType="application/vnd.ms-excel.controlproperties+xml"/>
  <Override PartName="/xl/drawings/drawing60.xml" ContentType="application/vnd.openxmlformats-officedocument.drawing+xml"/>
  <Override PartName="/xl/ctrlProps/ctrlProp2631.xml" ContentType="application/vnd.ms-excel.controlproperties+xml"/>
  <Override PartName="/xl/ctrlProps/ctrlProp2632.xml" ContentType="application/vnd.ms-excel.controlproperties+xml"/>
  <Override PartName="/xl/ctrlProps/ctrlProp2633.xml" ContentType="application/vnd.ms-excel.controlproperties+xml"/>
  <Override PartName="/xl/ctrlProps/ctrlProp2634.xml" ContentType="application/vnd.ms-excel.controlproperties+xml"/>
  <Override PartName="/xl/ctrlProps/ctrlProp2635.xml" ContentType="application/vnd.ms-excel.controlproperties+xml"/>
  <Override PartName="/xl/ctrlProps/ctrlProp2636.xml" ContentType="application/vnd.ms-excel.controlproperties+xml"/>
  <Override PartName="/xl/ctrlProps/ctrlProp2637.xml" ContentType="application/vnd.ms-excel.controlproperties+xml"/>
  <Override PartName="/xl/ctrlProps/ctrlProp2638.xml" ContentType="application/vnd.ms-excel.controlproperties+xml"/>
  <Override PartName="/xl/ctrlProps/ctrlProp2639.xml" ContentType="application/vnd.ms-excel.controlproperties+xml"/>
  <Override PartName="/xl/ctrlProps/ctrlProp2640.xml" ContentType="application/vnd.ms-excel.controlproperties+xml"/>
  <Override PartName="/xl/ctrlProps/ctrlProp2641.xml" ContentType="application/vnd.ms-excel.controlproperties+xml"/>
  <Override PartName="/xl/ctrlProps/ctrlProp2642.xml" ContentType="application/vnd.ms-excel.controlproperties+xml"/>
  <Override PartName="/xl/ctrlProps/ctrlProp2643.xml" ContentType="application/vnd.ms-excel.controlproperties+xml"/>
  <Override PartName="/xl/ctrlProps/ctrlProp2644.xml" ContentType="application/vnd.ms-excel.controlproperties+xml"/>
  <Override PartName="/xl/ctrlProps/ctrlProp2645.xml" ContentType="application/vnd.ms-excel.controlproperties+xml"/>
  <Override PartName="/xl/ctrlProps/ctrlProp2646.xml" ContentType="application/vnd.ms-excel.controlproperties+xml"/>
  <Override PartName="/xl/ctrlProps/ctrlProp2647.xml" ContentType="application/vnd.ms-excel.controlproperties+xml"/>
  <Override PartName="/xl/ctrlProps/ctrlProp2648.xml" ContentType="application/vnd.ms-excel.controlproperties+xml"/>
  <Override PartName="/xl/ctrlProps/ctrlProp2649.xml" ContentType="application/vnd.ms-excel.controlproperties+xml"/>
  <Override PartName="/xl/ctrlProps/ctrlProp2650.xml" ContentType="application/vnd.ms-excel.controlproperties+xml"/>
  <Override PartName="/xl/ctrlProps/ctrlProp2651.xml" ContentType="application/vnd.ms-excel.controlproperties+xml"/>
  <Override PartName="/xl/ctrlProps/ctrlProp2652.xml" ContentType="application/vnd.ms-excel.controlproperties+xml"/>
  <Override PartName="/xl/ctrlProps/ctrlProp2653.xml" ContentType="application/vnd.ms-excel.controlproperties+xml"/>
  <Override PartName="/xl/ctrlProps/ctrlProp2654.xml" ContentType="application/vnd.ms-excel.controlproperties+xml"/>
  <Override PartName="/xl/ctrlProps/ctrlProp2655.xml" ContentType="application/vnd.ms-excel.controlproperties+xml"/>
  <Override PartName="/xl/ctrlProps/ctrlProp2656.xml" ContentType="application/vnd.ms-excel.controlproperties+xml"/>
  <Override PartName="/xl/ctrlProps/ctrlProp2657.xml" ContentType="application/vnd.ms-excel.controlproperties+xml"/>
  <Override PartName="/xl/ctrlProps/ctrlProp2658.xml" ContentType="application/vnd.ms-excel.controlproperties+xml"/>
  <Override PartName="/xl/ctrlProps/ctrlProp2659.xml" ContentType="application/vnd.ms-excel.controlproperties+xml"/>
  <Override PartName="/xl/ctrlProps/ctrlProp2660.xml" ContentType="application/vnd.ms-excel.controlproperties+xml"/>
  <Override PartName="/xl/ctrlProps/ctrlProp2661.xml" ContentType="application/vnd.ms-excel.controlproperties+xml"/>
  <Override PartName="/xl/ctrlProps/ctrlProp2662.xml" ContentType="application/vnd.ms-excel.controlproperties+xml"/>
  <Override PartName="/xl/ctrlProps/ctrlProp2663.xml" ContentType="application/vnd.ms-excel.controlproperties+xml"/>
  <Override PartName="/xl/ctrlProps/ctrlProp2664.xml" ContentType="application/vnd.ms-excel.controlproperties+xml"/>
  <Override PartName="/xl/ctrlProps/ctrlProp2665.xml" ContentType="application/vnd.ms-excel.controlproperties+xml"/>
  <Override PartName="/xl/ctrlProps/ctrlProp2666.xml" ContentType="application/vnd.ms-excel.controlproperties+xml"/>
  <Override PartName="/xl/ctrlProps/ctrlProp2667.xml" ContentType="application/vnd.ms-excel.controlproperties+xml"/>
  <Override PartName="/xl/drawings/drawing61.xml" ContentType="application/vnd.openxmlformats-officedocument.drawing+xml"/>
  <Override PartName="/xl/ctrlProps/ctrlProp2668.xml" ContentType="application/vnd.ms-excel.controlproperties+xml"/>
  <Override PartName="/xl/ctrlProps/ctrlProp2669.xml" ContentType="application/vnd.ms-excel.controlproperties+xml"/>
  <Override PartName="/xl/ctrlProps/ctrlProp2670.xml" ContentType="application/vnd.ms-excel.controlproperties+xml"/>
  <Override PartName="/xl/ctrlProps/ctrlProp2671.xml" ContentType="application/vnd.ms-excel.controlproperties+xml"/>
  <Override PartName="/xl/ctrlProps/ctrlProp2672.xml" ContentType="application/vnd.ms-excel.controlproperties+xml"/>
  <Override PartName="/xl/ctrlProps/ctrlProp2673.xml" ContentType="application/vnd.ms-excel.controlproperties+xml"/>
  <Override PartName="/xl/ctrlProps/ctrlProp2674.xml" ContentType="application/vnd.ms-excel.controlproperties+xml"/>
  <Override PartName="/xl/ctrlProps/ctrlProp2675.xml" ContentType="application/vnd.ms-excel.controlproperties+xml"/>
  <Override PartName="/xl/ctrlProps/ctrlProp2676.xml" ContentType="application/vnd.ms-excel.controlproperties+xml"/>
  <Override PartName="/xl/ctrlProps/ctrlProp2677.xml" ContentType="application/vnd.ms-excel.controlproperties+xml"/>
  <Override PartName="/xl/ctrlProps/ctrlProp2678.xml" ContentType="application/vnd.ms-excel.controlproperties+xml"/>
  <Override PartName="/xl/ctrlProps/ctrlProp2679.xml" ContentType="application/vnd.ms-excel.controlproperties+xml"/>
  <Override PartName="/xl/ctrlProps/ctrlProp2680.xml" ContentType="application/vnd.ms-excel.controlproperties+xml"/>
  <Override PartName="/xl/ctrlProps/ctrlProp2681.xml" ContentType="application/vnd.ms-excel.controlproperties+xml"/>
  <Override PartName="/xl/ctrlProps/ctrlProp2682.xml" ContentType="application/vnd.ms-excel.controlproperties+xml"/>
  <Override PartName="/xl/ctrlProps/ctrlProp2683.xml" ContentType="application/vnd.ms-excel.controlproperties+xml"/>
  <Override PartName="/xl/ctrlProps/ctrlProp2684.xml" ContentType="application/vnd.ms-excel.controlproperties+xml"/>
  <Override PartName="/xl/ctrlProps/ctrlProp2685.xml" ContentType="application/vnd.ms-excel.controlproperties+xml"/>
  <Override PartName="/xl/ctrlProps/ctrlProp2686.xml" ContentType="application/vnd.ms-excel.controlproperties+xml"/>
  <Override PartName="/xl/ctrlProps/ctrlProp2687.xml" ContentType="application/vnd.ms-excel.controlproperties+xml"/>
  <Override PartName="/xl/ctrlProps/ctrlProp2688.xml" ContentType="application/vnd.ms-excel.controlproperties+xml"/>
  <Override PartName="/xl/ctrlProps/ctrlProp2689.xml" ContentType="application/vnd.ms-excel.controlproperties+xml"/>
  <Override PartName="/xl/ctrlProps/ctrlProp2690.xml" ContentType="application/vnd.ms-excel.controlproperties+xml"/>
  <Override PartName="/xl/ctrlProps/ctrlProp2691.xml" ContentType="application/vnd.ms-excel.controlproperties+xml"/>
  <Override PartName="/xl/ctrlProps/ctrlProp2692.xml" ContentType="application/vnd.ms-excel.controlproperties+xml"/>
  <Override PartName="/xl/ctrlProps/ctrlProp2693.xml" ContentType="application/vnd.ms-excel.controlproperties+xml"/>
  <Override PartName="/xl/ctrlProps/ctrlProp2694.xml" ContentType="application/vnd.ms-excel.controlproperties+xml"/>
  <Override PartName="/xl/ctrlProps/ctrlProp2695.xml" ContentType="application/vnd.ms-excel.controlproperties+xml"/>
  <Override PartName="/xl/ctrlProps/ctrlProp2696.xml" ContentType="application/vnd.ms-excel.controlproperties+xml"/>
  <Override PartName="/xl/ctrlProps/ctrlProp2697.xml" ContentType="application/vnd.ms-excel.controlproperties+xml"/>
  <Override PartName="/xl/ctrlProps/ctrlProp2698.xml" ContentType="application/vnd.ms-excel.controlproperties+xml"/>
  <Override PartName="/xl/ctrlProps/ctrlProp2699.xml" ContentType="application/vnd.ms-excel.controlproperties+xml"/>
  <Override PartName="/xl/ctrlProps/ctrlProp2700.xml" ContentType="application/vnd.ms-excel.controlproperties+xml"/>
  <Override PartName="/xl/ctrlProps/ctrlProp2701.xml" ContentType="application/vnd.ms-excel.controlproperties+xml"/>
  <Override PartName="/xl/ctrlProps/ctrlProp2702.xml" ContentType="application/vnd.ms-excel.controlproperties+xml"/>
  <Override PartName="/xl/ctrlProps/ctrlProp2703.xml" ContentType="application/vnd.ms-excel.controlproperties+xml"/>
  <Override PartName="/xl/ctrlProps/ctrlProp2704.xml" ContentType="application/vnd.ms-excel.controlproperties+xml"/>
  <Override PartName="/xl/drawings/drawing62.xml" ContentType="application/vnd.openxmlformats-officedocument.drawing+xml"/>
  <Override PartName="/xl/ctrlProps/ctrlProp2705.xml" ContentType="application/vnd.ms-excel.controlproperties+xml"/>
  <Override PartName="/xl/ctrlProps/ctrlProp2706.xml" ContentType="application/vnd.ms-excel.controlproperties+xml"/>
  <Override PartName="/xl/ctrlProps/ctrlProp2707.xml" ContentType="application/vnd.ms-excel.controlproperties+xml"/>
  <Override PartName="/xl/ctrlProps/ctrlProp2708.xml" ContentType="application/vnd.ms-excel.controlproperties+xml"/>
  <Override PartName="/xl/ctrlProps/ctrlProp2709.xml" ContentType="application/vnd.ms-excel.controlproperties+xml"/>
  <Override PartName="/xl/ctrlProps/ctrlProp2710.xml" ContentType="application/vnd.ms-excel.controlproperties+xml"/>
  <Override PartName="/xl/ctrlProps/ctrlProp2711.xml" ContentType="application/vnd.ms-excel.controlproperties+xml"/>
  <Override PartName="/xl/ctrlProps/ctrlProp2712.xml" ContentType="application/vnd.ms-excel.controlproperties+xml"/>
  <Override PartName="/xl/ctrlProps/ctrlProp2713.xml" ContentType="application/vnd.ms-excel.controlproperties+xml"/>
  <Override PartName="/xl/ctrlProps/ctrlProp2714.xml" ContentType="application/vnd.ms-excel.controlproperties+xml"/>
  <Override PartName="/xl/ctrlProps/ctrlProp2715.xml" ContentType="application/vnd.ms-excel.controlproperties+xml"/>
  <Override PartName="/xl/ctrlProps/ctrlProp2716.xml" ContentType="application/vnd.ms-excel.controlproperties+xml"/>
  <Override PartName="/xl/ctrlProps/ctrlProp2717.xml" ContentType="application/vnd.ms-excel.controlproperties+xml"/>
  <Override PartName="/xl/ctrlProps/ctrlProp2718.xml" ContentType="application/vnd.ms-excel.controlproperties+xml"/>
  <Override PartName="/xl/ctrlProps/ctrlProp2719.xml" ContentType="application/vnd.ms-excel.controlproperties+xml"/>
  <Override PartName="/xl/ctrlProps/ctrlProp2720.xml" ContentType="application/vnd.ms-excel.controlproperties+xml"/>
  <Override PartName="/xl/ctrlProps/ctrlProp2721.xml" ContentType="application/vnd.ms-excel.controlproperties+xml"/>
  <Override PartName="/xl/ctrlProps/ctrlProp2722.xml" ContentType="application/vnd.ms-excel.controlproperties+xml"/>
  <Override PartName="/xl/ctrlProps/ctrlProp2723.xml" ContentType="application/vnd.ms-excel.controlproperties+xml"/>
  <Override PartName="/xl/ctrlProps/ctrlProp2724.xml" ContentType="application/vnd.ms-excel.controlproperties+xml"/>
  <Override PartName="/xl/ctrlProps/ctrlProp2725.xml" ContentType="application/vnd.ms-excel.controlproperties+xml"/>
  <Override PartName="/xl/ctrlProps/ctrlProp2726.xml" ContentType="application/vnd.ms-excel.controlproperties+xml"/>
  <Override PartName="/xl/ctrlProps/ctrlProp2727.xml" ContentType="application/vnd.ms-excel.controlproperties+xml"/>
  <Override PartName="/xl/ctrlProps/ctrlProp2728.xml" ContentType="application/vnd.ms-excel.controlproperties+xml"/>
  <Override PartName="/xl/ctrlProps/ctrlProp2729.xml" ContentType="application/vnd.ms-excel.controlproperties+xml"/>
  <Override PartName="/xl/ctrlProps/ctrlProp2730.xml" ContentType="application/vnd.ms-excel.controlproperties+xml"/>
  <Override PartName="/xl/ctrlProps/ctrlProp2731.xml" ContentType="application/vnd.ms-excel.controlproperties+xml"/>
  <Override PartName="/xl/ctrlProps/ctrlProp2732.xml" ContentType="application/vnd.ms-excel.controlproperties+xml"/>
  <Override PartName="/xl/ctrlProps/ctrlProp2733.xml" ContentType="application/vnd.ms-excel.controlproperties+xml"/>
  <Override PartName="/xl/ctrlProps/ctrlProp2734.xml" ContentType="application/vnd.ms-excel.controlproperties+xml"/>
  <Override PartName="/xl/ctrlProps/ctrlProp2735.xml" ContentType="application/vnd.ms-excel.controlproperties+xml"/>
  <Override PartName="/xl/ctrlProps/ctrlProp2736.xml" ContentType="application/vnd.ms-excel.controlproperties+xml"/>
  <Override PartName="/xl/ctrlProps/ctrlProp2737.xml" ContentType="application/vnd.ms-excel.controlproperties+xml"/>
  <Override PartName="/xl/ctrlProps/ctrlProp2738.xml" ContentType="application/vnd.ms-excel.controlproperties+xml"/>
  <Override PartName="/xl/ctrlProps/ctrlProp2739.xml" ContentType="application/vnd.ms-excel.controlproperties+xml"/>
  <Override PartName="/xl/ctrlProps/ctrlProp2740.xml" ContentType="application/vnd.ms-excel.controlproperties+xml"/>
  <Override PartName="/xl/ctrlProps/ctrlProp2741.xml" ContentType="application/vnd.ms-excel.controlproperties+xml"/>
  <Override PartName="/xl/drawings/drawing63.xml" ContentType="application/vnd.openxmlformats-officedocument.drawing+xml"/>
  <Override PartName="/xl/ctrlProps/ctrlProp2742.xml" ContentType="application/vnd.ms-excel.controlproperties+xml"/>
  <Override PartName="/xl/ctrlProps/ctrlProp2743.xml" ContentType="application/vnd.ms-excel.controlproperties+xml"/>
  <Override PartName="/xl/ctrlProps/ctrlProp2744.xml" ContentType="application/vnd.ms-excel.controlproperties+xml"/>
  <Override PartName="/xl/ctrlProps/ctrlProp2745.xml" ContentType="application/vnd.ms-excel.controlproperties+xml"/>
  <Override PartName="/xl/ctrlProps/ctrlProp2746.xml" ContentType="application/vnd.ms-excel.controlproperties+xml"/>
  <Override PartName="/xl/ctrlProps/ctrlProp2747.xml" ContentType="application/vnd.ms-excel.controlproperties+xml"/>
  <Override PartName="/xl/ctrlProps/ctrlProp2748.xml" ContentType="application/vnd.ms-excel.controlproperties+xml"/>
  <Override PartName="/xl/ctrlProps/ctrlProp2749.xml" ContentType="application/vnd.ms-excel.controlproperties+xml"/>
  <Override PartName="/xl/ctrlProps/ctrlProp2750.xml" ContentType="application/vnd.ms-excel.controlproperties+xml"/>
  <Override PartName="/xl/ctrlProps/ctrlProp2751.xml" ContentType="application/vnd.ms-excel.controlproperties+xml"/>
  <Override PartName="/xl/ctrlProps/ctrlProp2752.xml" ContentType="application/vnd.ms-excel.controlproperties+xml"/>
  <Override PartName="/xl/ctrlProps/ctrlProp2753.xml" ContentType="application/vnd.ms-excel.controlproperties+xml"/>
  <Override PartName="/xl/ctrlProps/ctrlProp2754.xml" ContentType="application/vnd.ms-excel.controlproperties+xml"/>
  <Override PartName="/xl/ctrlProps/ctrlProp2755.xml" ContentType="application/vnd.ms-excel.controlproperties+xml"/>
  <Override PartName="/xl/ctrlProps/ctrlProp2756.xml" ContentType="application/vnd.ms-excel.controlproperties+xml"/>
  <Override PartName="/xl/ctrlProps/ctrlProp2757.xml" ContentType="application/vnd.ms-excel.controlproperties+xml"/>
  <Override PartName="/xl/ctrlProps/ctrlProp2758.xml" ContentType="application/vnd.ms-excel.controlproperties+xml"/>
  <Override PartName="/xl/ctrlProps/ctrlProp2759.xml" ContentType="application/vnd.ms-excel.controlproperties+xml"/>
  <Override PartName="/xl/ctrlProps/ctrlProp2760.xml" ContentType="application/vnd.ms-excel.controlproperties+xml"/>
  <Override PartName="/xl/ctrlProps/ctrlProp2761.xml" ContentType="application/vnd.ms-excel.controlproperties+xml"/>
  <Override PartName="/xl/ctrlProps/ctrlProp2762.xml" ContentType="application/vnd.ms-excel.controlproperties+xml"/>
  <Override PartName="/xl/ctrlProps/ctrlProp2763.xml" ContentType="application/vnd.ms-excel.controlproperties+xml"/>
  <Override PartName="/xl/ctrlProps/ctrlProp2764.xml" ContentType="application/vnd.ms-excel.controlproperties+xml"/>
  <Override PartName="/xl/ctrlProps/ctrlProp2765.xml" ContentType="application/vnd.ms-excel.controlproperties+xml"/>
  <Override PartName="/xl/ctrlProps/ctrlProp2766.xml" ContentType="application/vnd.ms-excel.controlproperties+xml"/>
  <Override PartName="/xl/ctrlProps/ctrlProp2767.xml" ContentType="application/vnd.ms-excel.controlproperties+xml"/>
  <Override PartName="/xl/ctrlProps/ctrlProp2768.xml" ContentType="application/vnd.ms-excel.controlproperties+xml"/>
  <Override PartName="/xl/ctrlProps/ctrlProp2769.xml" ContentType="application/vnd.ms-excel.controlproperties+xml"/>
  <Override PartName="/xl/ctrlProps/ctrlProp2770.xml" ContentType="application/vnd.ms-excel.controlproperties+xml"/>
  <Override PartName="/xl/ctrlProps/ctrlProp2771.xml" ContentType="application/vnd.ms-excel.controlproperties+xml"/>
  <Override PartName="/xl/ctrlProps/ctrlProp2772.xml" ContentType="application/vnd.ms-excel.controlproperties+xml"/>
  <Override PartName="/xl/ctrlProps/ctrlProp2773.xml" ContentType="application/vnd.ms-excel.controlproperties+xml"/>
  <Override PartName="/xl/ctrlProps/ctrlProp2774.xml" ContentType="application/vnd.ms-excel.controlproperties+xml"/>
  <Override PartName="/xl/ctrlProps/ctrlProp2775.xml" ContentType="application/vnd.ms-excel.controlproperties+xml"/>
  <Override PartName="/xl/ctrlProps/ctrlProp2776.xml" ContentType="application/vnd.ms-excel.controlproperties+xml"/>
  <Override PartName="/xl/ctrlProps/ctrlProp2777.xml" ContentType="application/vnd.ms-excel.controlproperties+xml"/>
  <Override PartName="/xl/ctrlProps/ctrlProp2778.xml" ContentType="application/vnd.ms-excel.controlproperties+xml"/>
  <Override PartName="/xl/drawings/drawing64.xml" ContentType="application/vnd.openxmlformats-officedocument.drawing+xml"/>
  <Override PartName="/xl/ctrlProps/ctrlProp2779.xml" ContentType="application/vnd.ms-excel.controlproperties+xml"/>
  <Override PartName="/xl/ctrlProps/ctrlProp2780.xml" ContentType="application/vnd.ms-excel.controlproperties+xml"/>
  <Override PartName="/xl/ctrlProps/ctrlProp2781.xml" ContentType="application/vnd.ms-excel.controlproperties+xml"/>
  <Override PartName="/xl/ctrlProps/ctrlProp2782.xml" ContentType="application/vnd.ms-excel.controlproperties+xml"/>
  <Override PartName="/xl/ctrlProps/ctrlProp2783.xml" ContentType="application/vnd.ms-excel.controlproperties+xml"/>
  <Override PartName="/xl/ctrlProps/ctrlProp2784.xml" ContentType="application/vnd.ms-excel.controlproperties+xml"/>
  <Override PartName="/xl/ctrlProps/ctrlProp2785.xml" ContentType="application/vnd.ms-excel.controlproperties+xml"/>
  <Override PartName="/xl/ctrlProps/ctrlProp2786.xml" ContentType="application/vnd.ms-excel.controlproperties+xml"/>
  <Override PartName="/xl/ctrlProps/ctrlProp2787.xml" ContentType="application/vnd.ms-excel.controlproperties+xml"/>
  <Override PartName="/xl/ctrlProps/ctrlProp2788.xml" ContentType="application/vnd.ms-excel.controlproperties+xml"/>
  <Override PartName="/xl/ctrlProps/ctrlProp2789.xml" ContentType="application/vnd.ms-excel.controlproperties+xml"/>
  <Override PartName="/xl/ctrlProps/ctrlProp2790.xml" ContentType="application/vnd.ms-excel.controlproperties+xml"/>
  <Override PartName="/xl/ctrlProps/ctrlProp2791.xml" ContentType="application/vnd.ms-excel.controlproperties+xml"/>
  <Override PartName="/xl/ctrlProps/ctrlProp2792.xml" ContentType="application/vnd.ms-excel.controlproperties+xml"/>
  <Override PartName="/xl/ctrlProps/ctrlProp2793.xml" ContentType="application/vnd.ms-excel.controlproperties+xml"/>
  <Override PartName="/xl/ctrlProps/ctrlProp2794.xml" ContentType="application/vnd.ms-excel.controlproperties+xml"/>
  <Override PartName="/xl/ctrlProps/ctrlProp2795.xml" ContentType="application/vnd.ms-excel.controlproperties+xml"/>
  <Override PartName="/xl/ctrlProps/ctrlProp2796.xml" ContentType="application/vnd.ms-excel.controlproperties+xml"/>
  <Override PartName="/xl/ctrlProps/ctrlProp2797.xml" ContentType="application/vnd.ms-excel.controlproperties+xml"/>
  <Override PartName="/xl/ctrlProps/ctrlProp2798.xml" ContentType="application/vnd.ms-excel.controlproperties+xml"/>
  <Override PartName="/xl/ctrlProps/ctrlProp2799.xml" ContentType="application/vnd.ms-excel.controlproperties+xml"/>
  <Override PartName="/xl/ctrlProps/ctrlProp2800.xml" ContentType="application/vnd.ms-excel.controlproperties+xml"/>
  <Override PartName="/xl/ctrlProps/ctrlProp2801.xml" ContentType="application/vnd.ms-excel.controlproperties+xml"/>
  <Override PartName="/xl/ctrlProps/ctrlProp2802.xml" ContentType="application/vnd.ms-excel.controlproperties+xml"/>
  <Override PartName="/xl/ctrlProps/ctrlProp2803.xml" ContentType="application/vnd.ms-excel.controlproperties+xml"/>
  <Override PartName="/xl/ctrlProps/ctrlProp2804.xml" ContentType="application/vnd.ms-excel.controlproperties+xml"/>
  <Override PartName="/xl/ctrlProps/ctrlProp2805.xml" ContentType="application/vnd.ms-excel.controlproperties+xml"/>
  <Override PartName="/xl/ctrlProps/ctrlProp2806.xml" ContentType="application/vnd.ms-excel.controlproperties+xml"/>
  <Override PartName="/xl/ctrlProps/ctrlProp2807.xml" ContentType="application/vnd.ms-excel.controlproperties+xml"/>
  <Override PartName="/xl/ctrlProps/ctrlProp2808.xml" ContentType="application/vnd.ms-excel.controlproperties+xml"/>
  <Override PartName="/xl/ctrlProps/ctrlProp2809.xml" ContentType="application/vnd.ms-excel.controlproperties+xml"/>
  <Override PartName="/xl/ctrlProps/ctrlProp2810.xml" ContentType="application/vnd.ms-excel.controlproperties+xml"/>
  <Override PartName="/xl/ctrlProps/ctrlProp2811.xml" ContentType="application/vnd.ms-excel.controlproperties+xml"/>
  <Override PartName="/xl/ctrlProps/ctrlProp2812.xml" ContentType="application/vnd.ms-excel.controlproperties+xml"/>
  <Override PartName="/xl/ctrlProps/ctrlProp2813.xml" ContentType="application/vnd.ms-excel.controlproperties+xml"/>
  <Override PartName="/xl/ctrlProps/ctrlProp2814.xml" ContentType="application/vnd.ms-excel.controlproperties+xml"/>
  <Override PartName="/xl/ctrlProps/ctrlProp2815.xml" ContentType="application/vnd.ms-excel.controlproperties+xml"/>
  <Override PartName="/xl/drawings/drawing65.xml" ContentType="application/vnd.openxmlformats-officedocument.drawing+xml"/>
  <Override PartName="/xl/ctrlProps/ctrlProp2816.xml" ContentType="application/vnd.ms-excel.controlproperties+xml"/>
  <Override PartName="/xl/ctrlProps/ctrlProp2817.xml" ContentType="application/vnd.ms-excel.controlproperties+xml"/>
  <Override PartName="/xl/ctrlProps/ctrlProp2818.xml" ContentType="application/vnd.ms-excel.controlproperties+xml"/>
  <Override PartName="/xl/ctrlProps/ctrlProp2819.xml" ContentType="application/vnd.ms-excel.controlproperties+xml"/>
  <Override PartName="/xl/ctrlProps/ctrlProp2820.xml" ContentType="application/vnd.ms-excel.controlproperties+xml"/>
  <Override PartName="/xl/ctrlProps/ctrlProp2821.xml" ContentType="application/vnd.ms-excel.controlproperties+xml"/>
  <Override PartName="/xl/ctrlProps/ctrlProp2822.xml" ContentType="application/vnd.ms-excel.controlproperties+xml"/>
  <Override PartName="/xl/ctrlProps/ctrlProp2823.xml" ContentType="application/vnd.ms-excel.controlproperties+xml"/>
  <Override PartName="/xl/ctrlProps/ctrlProp2824.xml" ContentType="application/vnd.ms-excel.controlproperties+xml"/>
  <Override PartName="/xl/ctrlProps/ctrlProp2825.xml" ContentType="application/vnd.ms-excel.controlproperties+xml"/>
  <Override PartName="/xl/ctrlProps/ctrlProp2826.xml" ContentType="application/vnd.ms-excel.controlproperties+xml"/>
  <Override PartName="/xl/ctrlProps/ctrlProp2827.xml" ContentType="application/vnd.ms-excel.controlproperties+xml"/>
  <Override PartName="/xl/ctrlProps/ctrlProp2828.xml" ContentType="application/vnd.ms-excel.controlproperties+xml"/>
  <Override PartName="/xl/ctrlProps/ctrlProp2829.xml" ContentType="application/vnd.ms-excel.controlproperties+xml"/>
  <Override PartName="/xl/ctrlProps/ctrlProp2830.xml" ContentType="application/vnd.ms-excel.controlproperties+xml"/>
  <Override PartName="/xl/ctrlProps/ctrlProp2831.xml" ContentType="application/vnd.ms-excel.controlproperties+xml"/>
  <Override PartName="/xl/ctrlProps/ctrlProp2832.xml" ContentType="application/vnd.ms-excel.controlproperties+xml"/>
  <Override PartName="/xl/ctrlProps/ctrlProp2833.xml" ContentType="application/vnd.ms-excel.controlproperties+xml"/>
  <Override PartName="/xl/ctrlProps/ctrlProp2834.xml" ContentType="application/vnd.ms-excel.controlproperties+xml"/>
  <Override PartName="/xl/ctrlProps/ctrlProp2835.xml" ContentType="application/vnd.ms-excel.controlproperties+xml"/>
  <Override PartName="/xl/ctrlProps/ctrlProp2836.xml" ContentType="application/vnd.ms-excel.controlproperties+xml"/>
  <Override PartName="/xl/ctrlProps/ctrlProp2837.xml" ContentType="application/vnd.ms-excel.controlproperties+xml"/>
  <Override PartName="/xl/ctrlProps/ctrlProp2838.xml" ContentType="application/vnd.ms-excel.controlproperties+xml"/>
  <Override PartName="/xl/ctrlProps/ctrlProp2839.xml" ContentType="application/vnd.ms-excel.controlproperties+xml"/>
  <Override PartName="/xl/ctrlProps/ctrlProp2840.xml" ContentType="application/vnd.ms-excel.controlproperties+xml"/>
  <Override PartName="/xl/ctrlProps/ctrlProp2841.xml" ContentType="application/vnd.ms-excel.controlproperties+xml"/>
  <Override PartName="/xl/ctrlProps/ctrlProp2842.xml" ContentType="application/vnd.ms-excel.controlproperties+xml"/>
  <Override PartName="/xl/ctrlProps/ctrlProp2843.xml" ContentType="application/vnd.ms-excel.controlproperties+xml"/>
  <Override PartName="/xl/ctrlProps/ctrlProp2844.xml" ContentType="application/vnd.ms-excel.controlproperties+xml"/>
  <Override PartName="/xl/ctrlProps/ctrlProp2845.xml" ContentType="application/vnd.ms-excel.controlproperties+xml"/>
  <Override PartName="/xl/ctrlProps/ctrlProp2846.xml" ContentType="application/vnd.ms-excel.controlproperties+xml"/>
  <Override PartName="/xl/ctrlProps/ctrlProp2847.xml" ContentType="application/vnd.ms-excel.controlproperties+xml"/>
  <Override PartName="/xl/ctrlProps/ctrlProp2848.xml" ContentType="application/vnd.ms-excel.controlproperties+xml"/>
  <Override PartName="/xl/ctrlProps/ctrlProp2849.xml" ContentType="application/vnd.ms-excel.controlproperties+xml"/>
  <Override PartName="/xl/ctrlProps/ctrlProp2850.xml" ContentType="application/vnd.ms-excel.controlproperties+xml"/>
  <Override PartName="/xl/ctrlProps/ctrlProp2851.xml" ContentType="application/vnd.ms-excel.controlproperties+xml"/>
  <Override PartName="/xl/ctrlProps/ctrlProp2852.xml" ContentType="application/vnd.ms-excel.controlproperties+xml"/>
  <Override PartName="/xl/drawings/drawing66.xml" ContentType="application/vnd.openxmlformats-officedocument.drawing+xml"/>
  <Override PartName="/xl/ctrlProps/ctrlProp2853.xml" ContentType="application/vnd.ms-excel.controlproperties+xml"/>
  <Override PartName="/xl/ctrlProps/ctrlProp2854.xml" ContentType="application/vnd.ms-excel.controlproperties+xml"/>
  <Override PartName="/xl/ctrlProps/ctrlProp2855.xml" ContentType="application/vnd.ms-excel.controlproperties+xml"/>
  <Override PartName="/xl/ctrlProps/ctrlProp2856.xml" ContentType="application/vnd.ms-excel.controlproperties+xml"/>
  <Override PartName="/xl/ctrlProps/ctrlProp2857.xml" ContentType="application/vnd.ms-excel.controlproperties+xml"/>
  <Override PartName="/xl/ctrlProps/ctrlProp2858.xml" ContentType="application/vnd.ms-excel.controlproperties+xml"/>
  <Override PartName="/xl/ctrlProps/ctrlProp2859.xml" ContentType="application/vnd.ms-excel.controlproperties+xml"/>
  <Override PartName="/xl/ctrlProps/ctrlProp2860.xml" ContentType="application/vnd.ms-excel.controlproperties+xml"/>
  <Override PartName="/xl/ctrlProps/ctrlProp2861.xml" ContentType="application/vnd.ms-excel.controlproperties+xml"/>
  <Override PartName="/xl/ctrlProps/ctrlProp2862.xml" ContentType="application/vnd.ms-excel.controlproperties+xml"/>
  <Override PartName="/xl/ctrlProps/ctrlProp2863.xml" ContentType="application/vnd.ms-excel.controlproperties+xml"/>
  <Override PartName="/xl/ctrlProps/ctrlProp2864.xml" ContentType="application/vnd.ms-excel.controlproperties+xml"/>
  <Override PartName="/xl/ctrlProps/ctrlProp2865.xml" ContentType="application/vnd.ms-excel.controlproperties+xml"/>
  <Override PartName="/xl/ctrlProps/ctrlProp2866.xml" ContentType="application/vnd.ms-excel.controlproperties+xml"/>
  <Override PartName="/xl/ctrlProps/ctrlProp2867.xml" ContentType="application/vnd.ms-excel.controlproperties+xml"/>
  <Override PartName="/xl/ctrlProps/ctrlProp2868.xml" ContentType="application/vnd.ms-excel.controlproperties+xml"/>
  <Override PartName="/xl/ctrlProps/ctrlProp2869.xml" ContentType="application/vnd.ms-excel.controlproperties+xml"/>
  <Override PartName="/xl/ctrlProps/ctrlProp2870.xml" ContentType="application/vnd.ms-excel.controlproperties+xml"/>
  <Override PartName="/xl/ctrlProps/ctrlProp2871.xml" ContentType="application/vnd.ms-excel.controlproperties+xml"/>
  <Override PartName="/xl/ctrlProps/ctrlProp2872.xml" ContentType="application/vnd.ms-excel.controlproperties+xml"/>
  <Override PartName="/xl/ctrlProps/ctrlProp2873.xml" ContentType="application/vnd.ms-excel.controlproperties+xml"/>
  <Override PartName="/xl/ctrlProps/ctrlProp2874.xml" ContentType="application/vnd.ms-excel.controlproperties+xml"/>
  <Override PartName="/xl/ctrlProps/ctrlProp2875.xml" ContentType="application/vnd.ms-excel.controlproperties+xml"/>
  <Override PartName="/xl/ctrlProps/ctrlProp2876.xml" ContentType="application/vnd.ms-excel.controlproperties+xml"/>
  <Override PartName="/xl/ctrlProps/ctrlProp2877.xml" ContentType="application/vnd.ms-excel.controlproperties+xml"/>
  <Override PartName="/xl/ctrlProps/ctrlProp2878.xml" ContentType="application/vnd.ms-excel.controlproperties+xml"/>
  <Override PartName="/xl/ctrlProps/ctrlProp2879.xml" ContentType="application/vnd.ms-excel.controlproperties+xml"/>
  <Override PartName="/xl/ctrlProps/ctrlProp2880.xml" ContentType="application/vnd.ms-excel.controlproperties+xml"/>
  <Override PartName="/xl/ctrlProps/ctrlProp2881.xml" ContentType="application/vnd.ms-excel.controlproperties+xml"/>
  <Override PartName="/xl/ctrlProps/ctrlProp2882.xml" ContentType="application/vnd.ms-excel.controlproperties+xml"/>
  <Override PartName="/xl/ctrlProps/ctrlProp2883.xml" ContentType="application/vnd.ms-excel.controlproperties+xml"/>
  <Override PartName="/xl/ctrlProps/ctrlProp2884.xml" ContentType="application/vnd.ms-excel.controlproperties+xml"/>
  <Override PartName="/xl/ctrlProps/ctrlProp2885.xml" ContentType="application/vnd.ms-excel.controlproperties+xml"/>
  <Override PartName="/xl/ctrlProps/ctrlProp2886.xml" ContentType="application/vnd.ms-excel.controlproperties+xml"/>
  <Override PartName="/xl/ctrlProps/ctrlProp2887.xml" ContentType="application/vnd.ms-excel.controlproperties+xml"/>
  <Override PartName="/xl/ctrlProps/ctrlProp2888.xml" ContentType="application/vnd.ms-excel.controlproperties+xml"/>
  <Override PartName="/xl/ctrlProps/ctrlProp2889.xml" ContentType="application/vnd.ms-excel.controlproperties+xml"/>
  <Override PartName="/xl/drawings/drawing67.xml" ContentType="application/vnd.openxmlformats-officedocument.drawing+xml"/>
  <Override PartName="/xl/ctrlProps/ctrlProp2890.xml" ContentType="application/vnd.ms-excel.controlproperties+xml"/>
  <Override PartName="/xl/ctrlProps/ctrlProp2891.xml" ContentType="application/vnd.ms-excel.controlproperties+xml"/>
  <Override PartName="/xl/ctrlProps/ctrlProp2892.xml" ContentType="application/vnd.ms-excel.controlproperties+xml"/>
  <Override PartName="/xl/ctrlProps/ctrlProp2893.xml" ContentType="application/vnd.ms-excel.controlproperties+xml"/>
  <Override PartName="/xl/ctrlProps/ctrlProp2894.xml" ContentType="application/vnd.ms-excel.controlproperties+xml"/>
  <Override PartName="/xl/ctrlProps/ctrlProp2895.xml" ContentType="application/vnd.ms-excel.controlproperties+xml"/>
  <Override PartName="/xl/ctrlProps/ctrlProp2896.xml" ContentType="application/vnd.ms-excel.controlproperties+xml"/>
  <Override PartName="/xl/ctrlProps/ctrlProp2897.xml" ContentType="application/vnd.ms-excel.controlproperties+xml"/>
  <Override PartName="/xl/ctrlProps/ctrlProp2898.xml" ContentType="application/vnd.ms-excel.controlproperties+xml"/>
  <Override PartName="/xl/ctrlProps/ctrlProp2899.xml" ContentType="application/vnd.ms-excel.controlproperties+xml"/>
  <Override PartName="/xl/ctrlProps/ctrlProp2900.xml" ContentType="application/vnd.ms-excel.controlproperties+xml"/>
  <Override PartName="/xl/ctrlProps/ctrlProp2901.xml" ContentType="application/vnd.ms-excel.controlproperties+xml"/>
  <Override PartName="/xl/ctrlProps/ctrlProp2902.xml" ContentType="application/vnd.ms-excel.controlproperties+xml"/>
  <Override PartName="/xl/ctrlProps/ctrlProp2903.xml" ContentType="application/vnd.ms-excel.controlproperties+xml"/>
  <Override PartName="/xl/ctrlProps/ctrlProp2904.xml" ContentType="application/vnd.ms-excel.controlproperties+xml"/>
  <Override PartName="/xl/ctrlProps/ctrlProp2905.xml" ContentType="application/vnd.ms-excel.controlproperties+xml"/>
  <Override PartName="/xl/ctrlProps/ctrlProp2906.xml" ContentType="application/vnd.ms-excel.controlproperties+xml"/>
  <Override PartName="/xl/ctrlProps/ctrlProp2907.xml" ContentType="application/vnd.ms-excel.controlproperties+xml"/>
  <Override PartName="/xl/ctrlProps/ctrlProp2908.xml" ContentType="application/vnd.ms-excel.controlproperties+xml"/>
  <Override PartName="/xl/ctrlProps/ctrlProp2909.xml" ContentType="application/vnd.ms-excel.controlproperties+xml"/>
  <Override PartName="/xl/ctrlProps/ctrlProp2910.xml" ContentType="application/vnd.ms-excel.controlproperties+xml"/>
  <Override PartName="/xl/ctrlProps/ctrlProp2911.xml" ContentType="application/vnd.ms-excel.controlproperties+xml"/>
  <Override PartName="/xl/ctrlProps/ctrlProp2912.xml" ContentType="application/vnd.ms-excel.controlproperties+xml"/>
  <Override PartName="/xl/ctrlProps/ctrlProp2913.xml" ContentType="application/vnd.ms-excel.controlproperties+xml"/>
  <Override PartName="/xl/ctrlProps/ctrlProp2914.xml" ContentType="application/vnd.ms-excel.controlproperties+xml"/>
  <Override PartName="/xl/ctrlProps/ctrlProp2915.xml" ContentType="application/vnd.ms-excel.controlproperties+xml"/>
  <Override PartName="/xl/ctrlProps/ctrlProp2916.xml" ContentType="application/vnd.ms-excel.controlproperties+xml"/>
  <Override PartName="/xl/ctrlProps/ctrlProp2917.xml" ContentType="application/vnd.ms-excel.controlproperties+xml"/>
  <Override PartName="/xl/ctrlProps/ctrlProp2918.xml" ContentType="application/vnd.ms-excel.controlproperties+xml"/>
  <Override PartName="/xl/ctrlProps/ctrlProp2919.xml" ContentType="application/vnd.ms-excel.controlproperties+xml"/>
  <Override PartName="/xl/ctrlProps/ctrlProp2920.xml" ContentType="application/vnd.ms-excel.controlproperties+xml"/>
  <Override PartName="/xl/ctrlProps/ctrlProp2921.xml" ContentType="application/vnd.ms-excel.controlproperties+xml"/>
  <Override PartName="/xl/ctrlProps/ctrlProp2922.xml" ContentType="application/vnd.ms-excel.controlproperties+xml"/>
  <Override PartName="/xl/ctrlProps/ctrlProp2923.xml" ContentType="application/vnd.ms-excel.controlproperties+xml"/>
  <Override PartName="/xl/ctrlProps/ctrlProp2924.xml" ContentType="application/vnd.ms-excel.controlproperties+xml"/>
  <Override PartName="/xl/ctrlProps/ctrlProp2925.xml" ContentType="application/vnd.ms-excel.controlproperties+xml"/>
  <Override PartName="/xl/ctrlProps/ctrlProp2926.xml" ContentType="application/vnd.ms-excel.controlproperties+xml"/>
  <Override PartName="/xl/drawings/drawing68.xml" ContentType="application/vnd.openxmlformats-officedocument.drawing+xml"/>
  <Override PartName="/xl/ctrlProps/ctrlProp2927.xml" ContentType="application/vnd.ms-excel.controlproperties+xml"/>
  <Override PartName="/xl/ctrlProps/ctrlProp2928.xml" ContentType="application/vnd.ms-excel.controlproperties+xml"/>
  <Override PartName="/xl/ctrlProps/ctrlProp2929.xml" ContentType="application/vnd.ms-excel.controlproperties+xml"/>
  <Override PartName="/xl/ctrlProps/ctrlProp2930.xml" ContentType="application/vnd.ms-excel.controlproperties+xml"/>
  <Override PartName="/xl/ctrlProps/ctrlProp2931.xml" ContentType="application/vnd.ms-excel.controlproperties+xml"/>
  <Override PartName="/xl/ctrlProps/ctrlProp2932.xml" ContentType="application/vnd.ms-excel.controlproperties+xml"/>
  <Override PartName="/xl/ctrlProps/ctrlProp2933.xml" ContentType="application/vnd.ms-excel.controlproperties+xml"/>
  <Override PartName="/xl/ctrlProps/ctrlProp2934.xml" ContentType="application/vnd.ms-excel.controlproperties+xml"/>
  <Override PartName="/xl/ctrlProps/ctrlProp2935.xml" ContentType="application/vnd.ms-excel.controlproperties+xml"/>
  <Override PartName="/xl/ctrlProps/ctrlProp2936.xml" ContentType="application/vnd.ms-excel.controlproperties+xml"/>
  <Override PartName="/xl/ctrlProps/ctrlProp2937.xml" ContentType="application/vnd.ms-excel.controlproperties+xml"/>
  <Override PartName="/xl/ctrlProps/ctrlProp2938.xml" ContentType="application/vnd.ms-excel.controlproperties+xml"/>
  <Override PartName="/xl/ctrlProps/ctrlProp2939.xml" ContentType="application/vnd.ms-excel.controlproperties+xml"/>
  <Override PartName="/xl/ctrlProps/ctrlProp2940.xml" ContentType="application/vnd.ms-excel.controlproperties+xml"/>
  <Override PartName="/xl/ctrlProps/ctrlProp2941.xml" ContentType="application/vnd.ms-excel.controlproperties+xml"/>
  <Override PartName="/xl/ctrlProps/ctrlProp2942.xml" ContentType="application/vnd.ms-excel.controlproperties+xml"/>
  <Override PartName="/xl/ctrlProps/ctrlProp2943.xml" ContentType="application/vnd.ms-excel.controlproperties+xml"/>
  <Override PartName="/xl/ctrlProps/ctrlProp2944.xml" ContentType="application/vnd.ms-excel.controlproperties+xml"/>
  <Override PartName="/xl/ctrlProps/ctrlProp2945.xml" ContentType="application/vnd.ms-excel.controlproperties+xml"/>
  <Override PartName="/xl/ctrlProps/ctrlProp2946.xml" ContentType="application/vnd.ms-excel.controlproperties+xml"/>
  <Override PartName="/xl/ctrlProps/ctrlProp2947.xml" ContentType="application/vnd.ms-excel.controlproperties+xml"/>
  <Override PartName="/xl/ctrlProps/ctrlProp2948.xml" ContentType="application/vnd.ms-excel.controlproperties+xml"/>
  <Override PartName="/xl/ctrlProps/ctrlProp2949.xml" ContentType="application/vnd.ms-excel.controlproperties+xml"/>
  <Override PartName="/xl/ctrlProps/ctrlProp2950.xml" ContentType="application/vnd.ms-excel.controlproperties+xml"/>
  <Override PartName="/xl/ctrlProps/ctrlProp2951.xml" ContentType="application/vnd.ms-excel.controlproperties+xml"/>
  <Override PartName="/xl/ctrlProps/ctrlProp2952.xml" ContentType="application/vnd.ms-excel.controlproperties+xml"/>
  <Override PartName="/xl/ctrlProps/ctrlProp2953.xml" ContentType="application/vnd.ms-excel.controlproperties+xml"/>
  <Override PartName="/xl/ctrlProps/ctrlProp2954.xml" ContentType="application/vnd.ms-excel.controlproperties+xml"/>
  <Override PartName="/xl/ctrlProps/ctrlProp2955.xml" ContentType="application/vnd.ms-excel.controlproperties+xml"/>
  <Override PartName="/xl/ctrlProps/ctrlProp2956.xml" ContentType="application/vnd.ms-excel.controlproperties+xml"/>
  <Override PartName="/xl/ctrlProps/ctrlProp2957.xml" ContentType="application/vnd.ms-excel.controlproperties+xml"/>
  <Override PartName="/xl/ctrlProps/ctrlProp2958.xml" ContentType="application/vnd.ms-excel.controlproperties+xml"/>
  <Override PartName="/xl/ctrlProps/ctrlProp2959.xml" ContentType="application/vnd.ms-excel.controlproperties+xml"/>
  <Override PartName="/xl/ctrlProps/ctrlProp2960.xml" ContentType="application/vnd.ms-excel.controlproperties+xml"/>
  <Override PartName="/xl/ctrlProps/ctrlProp2961.xml" ContentType="application/vnd.ms-excel.controlproperties+xml"/>
  <Override PartName="/xl/ctrlProps/ctrlProp2962.xml" ContentType="application/vnd.ms-excel.controlproperties+xml"/>
  <Override PartName="/xl/ctrlProps/ctrlProp2963.xml" ContentType="application/vnd.ms-excel.controlproperties+xml"/>
  <Override PartName="/xl/drawings/drawing69.xml" ContentType="application/vnd.openxmlformats-officedocument.drawing+xml"/>
  <Override PartName="/xl/ctrlProps/ctrlProp2964.xml" ContentType="application/vnd.ms-excel.controlproperties+xml"/>
  <Override PartName="/xl/ctrlProps/ctrlProp2965.xml" ContentType="application/vnd.ms-excel.controlproperties+xml"/>
  <Override PartName="/xl/ctrlProps/ctrlProp2966.xml" ContentType="application/vnd.ms-excel.controlproperties+xml"/>
  <Override PartName="/xl/ctrlProps/ctrlProp2967.xml" ContentType="application/vnd.ms-excel.controlproperties+xml"/>
  <Override PartName="/xl/ctrlProps/ctrlProp2968.xml" ContentType="application/vnd.ms-excel.controlproperties+xml"/>
  <Override PartName="/xl/ctrlProps/ctrlProp2969.xml" ContentType="application/vnd.ms-excel.controlproperties+xml"/>
  <Override PartName="/xl/ctrlProps/ctrlProp2970.xml" ContentType="application/vnd.ms-excel.controlproperties+xml"/>
  <Override PartName="/xl/ctrlProps/ctrlProp2971.xml" ContentType="application/vnd.ms-excel.controlproperties+xml"/>
  <Override PartName="/xl/ctrlProps/ctrlProp2972.xml" ContentType="application/vnd.ms-excel.controlproperties+xml"/>
  <Override PartName="/xl/ctrlProps/ctrlProp2973.xml" ContentType="application/vnd.ms-excel.controlproperties+xml"/>
  <Override PartName="/xl/ctrlProps/ctrlProp2974.xml" ContentType="application/vnd.ms-excel.controlproperties+xml"/>
  <Override PartName="/xl/ctrlProps/ctrlProp2975.xml" ContentType="application/vnd.ms-excel.controlproperties+xml"/>
  <Override PartName="/xl/ctrlProps/ctrlProp2976.xml" ContentType="application/vnd.ms-excel.controlproperties+xml"/>
  <Override PartName="/xl/ctrlProps/ctrlProp2977.xml" ContentType="application/vnd.ms-excel.controlproperties+xml"/>
  <Override PartName="/xl/ctrlProps/ctrlProp2978.xml" ContentType="application/vnd.ms-excel.controlproperties+xml"/>
  <Override PartName="/xl/ctrlProps/ctrlProp2979.xml" ContentType="application/vnd.ms-excel.controlproperties+xml"/>
  <Override PartName="/xl/ctrlProps/ctrlProp2980.xml" ContentType="application/vnd.ms-excel.controlproperties+xml"/>
  <Override PartName="/xl/ctrlProps/ctrlProp2981.xml" ContentType="application/vnd.ms-excel.controlproperties+xml"/>
  <Override PartName="/xl/ctrlProps/ctrlProp2982.xml" ContentType="application/vnd.ms-excel.controlproperties+xml"/>
  <Override PartName="/xl/ctrlProps/ctrlProp2983.xml" ContentType="application/vnd.ms-excel.controlproperties+xml"/>
  <Override PartName="/xl/ctrlProps/ctrlProp2984.xml" ContentType="application/vnd.ms-excel.controlproperties+xml"/>
  <Override PartName="/xl/ctrlProps/ctrlProp2985.xml" ContentType="application/vnd.ms-excel.controlproperties+xml"/>
  <Override PartName="/xl/ctrlProps/ctrlProp2986.xml" ContentType="application/vnd.ms-excel.controlproperties+xml"/>
  <Override PartName="/xl/ctrlProps/ctrlProp2987.xml" ContentType="application/vnd.ms-excel.controlproperties+xml"/>
  <Override PartName="/xl/ctrlProps/ctrlProp2988.xml" ContentType="application/vnd.ms-excel.controlproperties+xml"/>
  <Override PartName="/xl/ctrlProps/ctrlProp2989.xml" ContentType="application/vnd.ms-excel.controlproperties+xml"/>
  <Override PartName="/xl/ctrlProps/ctrlProp2990.xml" ContentType="application/vnd.ms-excel.controlproperties+xml"/>
  <Override PartName="/xl/ctrlProps/ctrlProp2991.xml" ContentType="application/vnd.ms-excel.controlproperties+xml"/>
  <Override PartName="/xl/ctrlProps/ctrlProp2992.xml" ContentType="application/vnd.ms-excel.controlproperties+xml"/>
  <Override PartName="/xl/ctrlProps/ctrlProp2993.xml" ContentType="application/vnd.ms-excel.controlproperties+xml"/>
  <Override PartName="/xl/ctrlProps/ctrlProp2994.xml" ContentType="application/vnd.ms-excel.controlproperties+xml"/>
  <Override PartName="/xl/ctrlProps/ctrlProp2995.xml" ContentType="application/vnd.ms-excel.controlproperties+xml"/>
  <Override PartName="/xl/ctrlProps/ctrlProp2996.xml" ContentType="application/vnd.ms-excel.controlproperties+xml"/>
  <Override PartName="/xl/ctrlProps/ctrlProp2997.xml" ContentType="application/vnd.ms-excel.controlproperties+xml"/>
  <Override PartName="/xl/ctrlProps/ctrlProp2998.xml" ContentType="application/vnd.ms-excel.controlproperties+xml"/>
  <Override PartName="/xl/ctrlProps/ctrlProp2999.xml" ContentType="application/vnd.ms-excel.controlproperties+xml"/>
  <Override PartName="/xl/ctrlProps/ctrlProp3000.xml" ContentType="application/vnd.ms-excel.controlproperties+xml"/>
  <Override PartName="/xl/drawings/drawing70.xml" ContentType="application/vnd.openxmlformats-officedocument.drawing+xml"/>
  <Override PartName="/xl/ctrlProps/ctrlProp3001.xml" ContentType="application/vnd.ms-excel.controlproperties+xml"/>
  <Override PartName="/xl/ctrlProps/ctrlProp3002.xml" ContentType="application/vnd.ms-excel.controlproperties+xml"/>
  <Override PartName="/xl/ctrlProps/ctrlProp3003.xml" ContentType="application/vnd.ms-excel.controlproperties+xml"/>
  <Override PartName="/xl/ctrlProps/ctrlProp3004.xml" ContentType="application/vnd.ms-excel.controlproperties+xml"/>
  <Override PartName="/xl/ctrlProps/ctrlProp3005.xml" ContentType="application/vnd.ms-excel.controlproperties+xml"/>
  <Override PartName="/xl/ctrlProps/ctrlProp3006.xml" ContentType="application/vnd.ms-excel.controlproperties+xml"/>
  <Override PartName="/xl/ctrlProps/ctrlProp3007.xml" ContentType="application/vnd.ms-excel.controlproperties+xml"/>
  <Override PartName="/xl/ctrlProps/ctrlProp3008.xml" ContentType="application/vnd.ms-excel.controlproperties+xml"/>
  <Override PartName="/xl/ctrlProps/ctrlProp3009.xml" ContentType="application/vnd.ms-excel.controlproperties+xml"/>
  <Override PartName="/xl/ctrlProps/ctrlProp3010.xml" ContentType="application/vnd.ms-excel.controlproperties+xml"/>
  <Override PartName="/xl/ctrlProps/ctrlProp3011.xml" ContentType="application/vnd.ms-excel.controlproperties+xml"/>
  <Override PartName="/xl/ctrlProps/ctrlProp3012.xml" ContentType="application/vnd.ms-excel.controlproperties+xml"/>
  <Override PartName="/xl/ctrlProps/ctrlProp3013.xml" ContentType="application/vnd.ms-excel.controlproperties+xml"/>
  <Override PartName="/xl/ctrlProps/ctrlProp3014.xml" ContentType="application/vnd.ms-excel.controlproperties+xml"/>
  <Override PartName="/xl/ctrlProps/ctrlProp3015.xml" ContentType="application/vnd.ms-excel.controlproperties+xml"/>
  <Override PartName="/xl/ctrlProps/ctrlProp3016.xml" ContentType="application/vnd.ms-excel.controlproperties+xml"/>
  <Override PartName="/xl/ctrlProps/ctrlProp3017.xml" ContentType="application/vnd.ms-excel.controlproperties+xml"/>
  <Override PartName="/xl/ctrlProps/ctrlProp3018.xml" ContentType="application/vnd.ms-excel.controlproperties+xml"/>
  <Override PartName="/xl/ctrlProps/ctrlProp3019.xml" ContentType="application/vnd.ms-excel.controlproperties+xml"/>
  <Override PartName="/xl/ctrlProps/ctrlProp3020.xml" ContentType="application/vnd.ms-excel.controlproperties+xml"/>
  <Override PartName="/xl/ctrlProps/ctrlProp3021.xml" ContentType="application/vnd.ms-excel.controlproperties+xml"/>
  <Override PartName="/xl/ctrlProps/ctrlProp3022.xml" ContentType="application/vnd.ms-excel.controlproperties+xml"/>
  <Override PartName="/xl/ctrlProps/ctrlProp3023.xml" ContentType="application/vnd.ms-excel.controlproperties+xml"/>
  <Override PartName="/xl/ctrlProps/ctrlProp3024.xml" ContentType="application/vnd.ms-excel.controlproperties+xml"/>
  <Override PartName="/xl/ctrlProps/ctrlProp3025.xml" ContentType="application/vnd.ms-excel.controlproperties+xml"/>
  <Override PartName="/xl/ctrlProps/ctrlProp3026.xml" ContentType="application/vnd.ms-excel.controlproperties+xml"/>
  <Override PartName="/xl/ctrlProps/ctrlProp3027.xml" ContentType="application/vnd.ms-excel.controlproperties+xml"/>
  <Override PartName="/xl/ctrlProps/ctrlProp3028.xml" ContentType="application/vnd.ms-excel.controlproperties+xml"/>
  <Override PartName="/xl/ctrlProps/ctrlProp3029.xml" ContentType="application/vnd.ms-excel.controlproperties+xml"/>
  <Override PartName="/xl/ctrlProps/ctrlProp3030.xml" ContentType="application/vnd.ms-excel.controlproperties+xml"/>
  <Override PartName="/xl/ctrlProps/ctrlProp3031.xml" ContentType="application/vnd.ms-excel.controlproperties+xml"/>
  <Override PartName="/xl/ctrlProps/ctrlProp3032.xml" ContentType="application/vnd.ms-excel.controlproperties+xml"/>
  <Override PartName="/xl/ctrlProps/ctrlProp3033.xml" ContentType="application/vnd.ms-excel.controlproperties+xml"/>
  <Override PartName="/xl/ctrlProps/ctrlProp3034.xml" ContentType="application/vnd.ms-excel.controlproperties+xml"/>
  <Override PartName="/xl/ctrlProps/ctrlProp3035.xml" ContentType="application/vnd.ms-excel.controlproperties+xml"/>
  <Override PartName="/xl/ctrlProps/ctrlProp3036.xml" ContentType="application/vnd.ms-excel.controlproperties+xml"/>
  <Override PartName="/xl/ctrlProps/ctrlProp3037.xml" ContentType="application/vnd.ms-excel.controlproperties+xml"/>
  <Override PartName="/xl/drawings/drawing71.xml" ContentType="application/vnd.openxmlformats-officedocument.drawing+xml"/>
  <Override PartName="/xl/ctrlProps/ctrlProp3038.xml" ContentType="application/vnd.ms-excel.controlproperties+xml"/>
  <Override PartName="/xl/ctrlProps/ctrlProp3039.xml" ContentType="application/vnd.ms-excel.controlproperties+xml"/>
  <Override PartName="/xl/ctrlProps/ctrlProp3040.xml" ContentType="application/vnd.ms-excel.controlproperties+xml"/>
  <Override PartName="/xl/ctrlProps/ctrlProp3041.xml" ContentType="application/vnd.ms-excel.controlproperties+xml"/>
  <Override PartName="/xl/ctrlProps/ctrlProp3042.xml" ContentType="application/vnd.ms-excel.controlproperties+xml"/>
  <Override PartName="/xl/ctrlProps/ctrlProp3043.xml" ContentType="application/vnd.ms-excel.controlproperties+xml"/>
  <Override PartName="/xl/ctrlProps/ctrlProp3044.xml" ContentType="application/vnd.ms-excel.controlproperties+xml"/>
  <Override PartName="/xl/ctrlProps/ctrlProp3045.xml" ContentType="application/vnd.ms-excel.controlproperties+xml"/>
  <Override PartName="/xl/ctrlProps/ctrlProp3046.xml" ContentType="application/vnd.ms-excel.controlproperties+xml"/>
  <Override PartName="/xl/ctrlProps/ctrlProp3047.xml" ContentType="application/vnd.ms-excel.controlproperties+xml"/>
  <Override PartName="/xl/ctrlProps/ctrlProp3048.xml" ContentType="application/vnd.ms-excel.controlproperties+xml"/>
  <Override PartName="/xl/ctrlProps/ctrlProp3049.xml" ContentType="application/vnd.ms-excel.controlproperties+xml"/>
  <Override PartName="/xl/ctrlProps/ctrlProp3050.xml" ContentType="application/vnd.ms-excel.controlproperties+xml"/>
  <Override PartName="/xl/ctrlProps/ctrlProp3051.xml" ContentType="application/vnd.ms-excel.controlproperties+xml"/>
  <Override PartName="/xl/ctrlProps/ctrlProp3052.xml" ContentType="application/vnd.ms-excel.controlproperties+xml"/>
  <Override PartName="/xl/ctrlProps/ctrlProp3053.xml" ContentType="application/vnd.ms-excel.controlproperties+xml"/>
  <Override PartName="/xl/ctrlProps/ctrlProp3054.xml" ContentType="application/vnd.ms-excel.controlproperties+xml"/>
  <Override PartName="/xl/ctrlProps/ctrlProp3055.xml" ContentType="application/vnd.ms-excel.controlproperties+xml"/>
  <Override PartName="/xl/ctrlProps/ctrlProp3056.xml" ContentType="application/vnd.ms-excel.controlproperties+xml"/>
  <Override PartName="/xl/ctrlProps/ctrlProp3057.xml" ContentType="application/vnd.ms-excel.controlproperties+xml"/>
  <Override PartName="/xl/ctrlProps/ctrlProp3058.xml" ContentType="application/vnd.ms-excel.controlproperties+xml"/>
  <Override PartName="/xl/ctrlProps/ctrlProp3059.xml" ContentType="application/vnd.ms-excel.controlproperties+xml"/>
  <Override PartName="/xl/ctrlProps/ctrlProp3060.xml" ContentType="application/vnd.ms-excel.controlproperties+xml"/>
  <Override PartName="/xl/ctrlProps/ctrlProp3061.xml" ContentType="application/vnd.ms-excel.controlproperties+xml"/>
  <Override PartName="/xl/ctrlProps/ctrlProp3062.xml" ContentType="application/vnd.ms-excel.controlproperties+xml"/>
  <Override PartName="/xl/ctrlProps/ctrlProp3063.xml" ContentType="application/vnd.ms-excel.controlproperties+xml"/>
  <Override PartName="/xl/ctrlProps/ctrlProp3064.xml" ContentType="application/vnd.ms-excel.controlproperties+xml"/>
  <Override PartName="/xl/ctrlProps/ctrlProp3065.xml" ContentType="application/vnd.ms-excel.controlproperties+xml"/>
  <Override PartName="/xl/ctrlProps/ctrlProp3066.xml" ContentType="application/vnd.ms-excel.controlproperties+xml"/>
  <Override PartName="/xl/ctrlProps/ctrlProp3067.xml" ContentType="application/vnd.ms-excel.controlproperties+xml"/>
  <Override PartName="/xl/ctrlProps/ctrlProp3068.xml" ContentType="application/vnd.ms-excel.controlproperties+xml"/>
  <Override PartName="/xl/ctrlProps/ctrlProp3069.xml" ContentType="application/vnd.ms-excel.controlproperties+xml"/>
  <Override PartName="/xl/ctrlProps/ctrlProp3070.xml" ContentType="application/vnd.ms-excel.controlproperties+xml"/>
  <Override PartName="/xl/ctrlProps/ctrlProp3071.xml" ContentType="application/vnd.ms-excel.controlproperties+xml"/>
  <Override PartName="/xl/ctrlProps/ctrlProp3072.xml" ContentType="application/vnd.ms-excel.controlproperties+xml"/>
  <Override PartName="/xl/ctrlProps/ctrlProp3073.xml" ContentType="application/vnd.ms-excel.controlproperties+xml"/>
  <Override PartName="/xl/ctrlProps/ctrlProp3074.xml" ContentType="application/vnd.ms-excel.controlproperties+xml"/>
  <Override PartName="/xl/drawings/drawing72.xml" ContentType="application/vnd.openxmlformats-officedocument.drawing+xml"/>
  <Override PartName="/xl/ctrlProps/ctrlProp3075.xml" ContentType="application/vnd.ms-excel.controlproperties+xml"/>
  <Override PartName="/xl/ctrlProps/ctrlProp3076.xml" ContentType="application/vnd.ms-excel.controlproperties+xml"/>
  <Override PartName="/xl/ctrlProps/ctrlProp3077.xml" ContentType="application/vnd.ms-excel.controlproperties+xml"/>
  <Override PartName="/xl/ctrlProps/ctrlProp3078.xml" ContentType="application/vnd.ms-excel.controlproperties+xml"/>
  <Override PartName="/xl/ctrlProps/ctrlProp3079.xml" ContentType="application/vnd.ms-excel.controlproperties+xml"/>
  <Override PartName="/xl/ctrlProps/ctrlProp3080.xml" ContentType="application/vnd.ms-excel.controlproperties+xml"/>
  <Override PartName="/xl/ctrlProps/ctrlProp3081.xml" ContentType="application/vnd.ms-excel.controlproperties+xml"/>
  <Override PartName="/xl/ctrlProps/ctrlProp3082.xml" ContentType="application/vnd.ms-excel.controlproperties+xml"/>
  <Override PartName="/xl/ctrlProps/ctrlProp3083.xml" ContentType="application/vnd.ms-excel.controlproperties+xml"/>
  <Override PartName="/xl/ctrlProps/ctrlProp3084.xml" ContentType="application/vnd.ms-excel.controlproperties+xml"/>
  <Override PartName="/xl/ctrlProps/ctrlProp3085.xml" ContentType="application/vnd.ms-excel.controlproperties+xml"/>
  <Override PartName="/xl/ctrlProps/ctrlProp3086.xml" ContentType="application/vnd.ms-excel.controlproperties+xml"/>
  <Override PartName="/xl/ctrlProps/ctrlProp3087.xml" ContentType="application/vnd.ms-excel.controlproperties+xml"/>
  <Override PartName="/xl/ctrlProps/ctrlProp3088.xml" ContentType="application/vnd.ms-excel.controlproperties+xml"/>
  <Override PartName="/xl/ctrlProps/ctrlProp3089.xml" ContentType="application/vnd.ms-excel.controlproperties+xml"/>
  <Override PartName="/xl/ctrlProps/ctrlProp3090.xml" ContentType="application/vnd.ms-excel.controlproperties+xml"/>
  <Override PartName="/xl/ctrlProps/ctrlProp3091.xml" ContentType="application/vnd.ms-excel.controlproperties+xml"/>
  <Override PartName="/xl/ctrlProps/ctrlProp3092.xml" ContentType="application/vnd.ms-excel.controlproperties+xml"/>
  <Override PartName="/xl/ctrlProps/ctrlProp3093.xml" ContentType="application/vnd.ms-excel.controlproperties+xml"/>
  <Override PartName="/xl/ctrlProps/ctrlProp3094.xml" ContentType="application/vnd.ms-excel.controlproperties+xml"/>
  <Override PartName="/xl/ctrlProps/ctrlProp3095.xml" ContentType="application/vnd.ms-excel.controlproperties+xml"/>
  <Override PartName="/xl/ctrlProps/ctrlProp3096.xml" ContentType="application/vnd.ms-excel.controlproperties+xml"/>
  <Override PartName="/xl/ctrlProps/ctrlProp3097.xml" ContentType="application/vnd.ms-excel.controlproperties+xml"/>
  <Override PartName="/xl/ctrlProps/ctrlProp3098.xml" ContentType="application/vnd.ms-excel.controlproperties+xml"/>
  <Override PartName="/xl/ctrlProps/ctrlProp3099.xml" ContentType="application/vnd.ms-excel.controlproperties+xml"/>
  <Override PartName="/xl/ctrlProps/ctrlProp3100.xml" ContentType="application/vnd.ms-excel.controlproperties+xml"/>
  <Override PartName="/xl/ctrlProps/ctrlProp3101.xml" ContentType="application/vnd.ms-excel.controlproperties+xml"/>
  <Override PartName="/xl/ctrlProps/ctrlProp3102.xml" ContentType="application/vnd.ms-excel.controlproperties+xml"/>
  <Override PartName="/xl/ctrlProps/ctrlProp3103.xml" ContentType="application/vnd.ms-excel.controlproperties+xml"/>
  <Override PartName="/xl/ctrlProps/ctrlProp3104.xml" ContentType="application/vnd.ms-excel.controlproperties+xml"/>
  <Override PartName="/xl/ctrlProps/ctrlProp3105.xml" ContentType="application/vnd.ms-excel.controlproperties+xml"/>
  <Override PartName="/xl/ctrlProps/ctrlProp3106.xml" ContentType="application/vnd.ms-excel.controlproperties+xml"/>
  <Override PartName="/xl/ctrlProps/ctrlProp3107.xml" ContentType="application/vnd.ms-excel.controlproperties+xml"/>
  <Override PartName="/xl/ctrlProps/ctrlProp3108.xml" ContentType="application/vnd.ms-excel.controlproperties+xml"/>
  <Override PartName="/xl/ctrlProps/ctrlProp3109.xml" ContentType="application/vnd.ms-excel.controlproperties+xml"/>
  <Override PartName="/xl/ctrlProps/ctrlProp3110.xml" ContentType="application/vnd.ms-excel.controlproperties+xml"/>
  <Override PartName="/xl/ctrlProps/ctrlProp3111.xml" ContentType="application/vnd.ms-excel.controlproperties+xml"/>
  <Override PartName="/xl/drawings/drawing73.xml" ContentType="application/vnd.openxmlformats-officedocument.drawing+xml"/>
  <Override PartName="/xl/ctrlProps/ctrlProp3112.xml" ContentType="application/vnd.ms-excel.controlproperties+xml"/>
  <Override PartName="/xl/ctrlProps/ctrlProp3113.xml" ContentType="application/vnd.ms-excel.controlproperties+xml"/>
  <Override PartName="/xl/ctrlProps/ctrlProp3114.xml" ContentType="application/vnd.ms-excel.controlproperties+xml"/>
  <Override PartName="/xl/ctrlProps/ctrlProp3115.xml" ContentType="application/vnd.ms-excel.controlproperties+xml"/>
  <Override PartName="/xl/ctrlProps/ctrlProp3116.xml" ContentType="application/vnd.ms-excel.controlproperties+xml"/>
  <Override PartName="/xl/ctrlProps/ctrlProp3117.xml" ContentType="application/vnd.ms-excel.controlproperties+xml"/>
  <Override PartName="/xl/ctrlProps/ctrlProp3118.xml" ContentType="application/vnd.ms-excel.controlproperties+xml"/>
  <Override PartName="/xl/ctrlProps/ctrlProp3119.xml" ContentType="application/vnd.ms-excel.controlproperties+xml"/>
  <Override PartName="/xl/ctrlProps/ctrlProp3120.xml" ContentType="application/vnd.ms-excel.controlproperties+xml"/>
  <Override PartName="/xl/ctrlProps/ctrlProp3121.xml" ContentType="application/vnd.ms-excel.controlproperties+xml"/>
  <Override PartName="/xl/ctrlProps/ctrlProp3122.xml" ContentType="application/vnd.ms-excel.controlproperties+xml"/>
  <Override PartName="/xl/ctrlProps/ctrlProp3123.xml" ContentType="application/vnd.ms-excel.controlproperties+xml"/>
  <Override PartName="/xl/ctrlProps/ctrlProp3124.xml" ContentType="application/vnd.ms-excel.controlproperties+xml"/>
  <Override PartName="/xl/ctrlProps/ctrlProp3125.xml" ContentType="application/vnd.ms-excel.controlproperties+xml"/>
  <Override PartName="/xl/ctrlProps/ctrlProp3126.xml" ContentType="application/vnd.ms-excel.controlproperties+xml"/>
  <Override PartName="/xl/ctrlProps/ctrlProp3127.xml" ContentType="application/vnd.ms-excel.controlproperties+xml"/>
  <Override PartName="/xl/ctrlProps/ctrlProp3128.xml" ContentType="application/vnd.ms-excel.controlproperties+xml"/>
  <Override PartName="/xl/ctrlProps/ctrlProp3129.xml" ContentType="application/vnd.ms-excel.controlproperties+xml"/>
  <Override PartName="/xl/ctrlProps/ctrlProp3130.xml" ContentType="application/vnd.ms-excel.controlproperties+xml"/>
  <Override PartName="/xl/ctrlProps/ctrlProp3131.xml" ContentType="application/vnd.ms-excel.controlproperties+xml"/>
  <Override PartName="/xl/ctrlProps/ctrlProp3132.xml" ContentType="application/vnd.ms-excel.controlproperties+xml"/>
  <Override PartName="/xl/ctrlProps/ctrlProp3133.xml" ContentType="application/vnd.ms-excel.controlproperties+xml"/>
  <Override PartName="/xl/ctrlProps/ctrlProp3134.xml" ContentType="application/vnd.ms-excel.controlproperties+xml"/>
  <Override PartName="/xl/ctrlProps/ctrlProp3135.xml" ContentType="application/vnd.ms-excel.controlproperties+xml"/>
  <Override PartName="/xl/ctrlProps/ctrlProp3136.xml" ContentType="application/vnd.ms-excel.controlproperties+xml"/>
  <Override PartName="/xl/ctrlProps/ctrlProp3137.xml" ContentType="application/vnd.ms-excel.controlproperties+xml"/>
  <Override PartName="/xl/ctrlProps/ctrlProp3138.xml" ContentType="application/vnd.ms-excel.controlproperties+xml"/>
  <Override PartName="/xl/ctrlProps/ctrlProp3139.xml" ContentType="application/vnd.ms-excel.controlproperties+xml"/>
  <Override PartName="/xl/ctrlProps/ctrlProp3140.xml" ContentType="application/vnd.ms-excel.controlproperties+xml"/>
  <Override PartName="/xl/ctrlProps/ctrlProp3141.xml" ContentType="application/vnd.ms-excel.controlproperties+xml"/>
  <Override PartName="/xl/ctrlProps/ctrlProp3142.xml" ContentType="application/vnd.ms-excel.controlproperties+xml"/>
  <Override PartName="/xl/ctrlProps/ctrlProp3143.xml" ContentType="application/vnd.ms-excel.controlproperties+xml"/>
  <Override PartName="/xl/ctrlProps/ctrlProp3144.xml" ContentType="application/vnd.ms-excel.controlproperties+xml"/>
  <Override PartName="/xl/ctrlProps/ctrlProp3145.xml" ContentType="application/vnd.ms-excel.controlproperties+xml"/>
  <Override PartName="/xl/ctrlProps/ctrlProp3146.xml" ContentType="application/vnd.ms-excel.controlproperties+xml"/>
  <Override PartName="/xl/ctrlProps/ctrlProp3147.xml" ContentType="application/vnd.ms-excel.controlproperties+xml"/>
  <Override PartName="/xl/ctrlProps/ctrlProp3148.xml" ContentType="application/vnd.ms-excel.controlproperties+xml"/>
  <Override PartName="/xl/drawings/drawing74.xml" ContentType="application/vnd.openxmlformats-officedocument.drawing+xml"/>
  <Override PartName="/xl/ctrlProps/ctrlProp3149.xml" ContentType="application/vnd.ms-excel.controlproperties+xml"/>
  <Override PartName="/xl/ctrlProps/ctrlProp3150.xml" ContentType="application/vnd.ms-excel.controlproperties+xml"/>
  <Override PartName="/xl/ctrlProps/ctrlProp3151.xml" ContentType="application/vnd.ms-excel.controlproperties+xml"/>
  <Override PartName="/xl/ctrlProps/ctrlProp3152.xml" ContentType="application/vnd.ms-excel.controlproperties+xml"/>
  <Override PartName="/xl/ctrlProps/ctrlProp3153.xml" ContentType="application/vnd.ms-excel.controlproperties+xml"/>
  <Override PartName="/xl/ctrlProps/ctrlProp3154.xml" ContentType="application/vnd.ms-excel.controlproperties+xml"/>
  <Override PartName="/xl/ctrlProps/ctrlProp3155.xml" ContentType="application/vnd.ms-excel.controlproperties+xml"/>
  <Override PartName="/xl/ctrlProps/ctrlProp3156.xml" ContentType="application/vnd.ms-excel.controlproperties+xml"/>
  <Override PartName="/xl/ctrlProps/ctrlProp3157.xml" ContentType="application/vnd.ms-excel.controlproperties+xml"/>
  <Override PartName="/xl/ctrlProps/ctrlProp3158.xml" ContentType="application/vnd.ms-excel.controlproperties+xml"/>
  <Override PartName="/xl/ctrlProps/ctrlProp3159.xml" ContentType="application/vnd.ms-excel.controlproperties+xml"/>
  <Override PartName="/xl/ctrlProps/ctrlProp3160.xml" ContentType="application/vnd.ms-excel.controlproperties+xml"/>
  <Override PartName="/xl/ctrlProps/ctrlProp3161.xml" ContentType="application/vnd.ms-excel.controlproperties+xml"/>
  <Override PartName="/xl/ctrlProps/ctrlProp3162.xml" ContentType="application/vnd.ms-excel.controlproperties+xml"/>
  <Override PartName="/xl/ctrlProps/ctrlProp3163.xml" ContentType="application/vnd.ms-excel.controlproperties+xml"/>
  <Override PartName="/xl/ctrlProps/ctrlProp3164.xml" ContentType="application/vnd.ms-excel.controlproperties+xml"/>
  <Override PartName="/xl/ctrlProps/ctrlProp3165.xml" ContentType="application/vnd.ms-excel.controlproperties+xml"/>
  <Override PartName="/xl/ctrlProps/ctrlProp3166.xml" ContentType="application/vnd.ms-excel.controlproperties+xml"/>
  <Override PartName="/xl/ctrlProps/ctrlProp3167.xml" ContentType="application/vnd.ms-excel.controlproperties+xml"/>
  <Override PartName="/xl/ctrlProps/ctrlProp3168.xml" ContentType="application/vnd.ms-excel.controlproperties+xml"/>
  <Override PartName="/xl/ctrlProps/ctrlProp3169.xml" ContentType="application/vnd.ms-excel.controlproperties+xml"/>
  <Override PartName="/xl/ctrlProps/ctrlProp3170.xml" ContentType="application/vnd.ms-excel.controlproperties+xml"/>
  <Override PartName="/xl/ctrlProps/ctrlProp3171.xml" ContentType="application/vnd.ms-excel.controlproperties+xml"/>
  <Override PartName="/xl/ctrlProps/ctrlProp3172.xml" ContentType="application/vnd.ms-excel.controlproperties+xml"/>
  <Override PartName="/xl/ctrlProps/ctrlProp3173.xml" ContentType="application/vnd.ms-excel.controlproperties+xml"/>
  <Override PartName="/xl/ctrlProps/ctrlProp3174.xml" ContentType="application/vnd.ms-excel.controlproperties+xml"/>
  <Override PartName="/xl/ctrlProps/ctrlProp3175.xml" ContentType="application/vnd.ms-excel.controlproperties+xml"/>
  <Override PartName="/xl/ctrlProps/ctrlProp3176.xml" ContentType="application/vnd.ms-excel.controlproperties+xml"/>
  <Override PartName="/xl/ctrlProps/ctrlProp3177.xml" ContentType="application/vnd.ms-excel.controlproperties+xml"/>
  <Override PartName="/xl/ctrlProps/ctrlProp3178.xml" ContentType="application/vnd.ms-excel.controlproperties+xml"/>
  <Override PartName="/xl/ctrlProps/ctrlProp3179.xml" ContentType="application/vnd.ms-excel.controlproperties+xml"/>
  <Override PartName="/xl/ctrlProps/ctrlProp3180.xml" ContentType="application/vnd.ms-excel.controlproperties+xml"/>
  <Override PartName="/xl/ctrlProps/ctrlProp3181.xml" ContentType="application/vnd.ms-excel.controlproperties+xml"/>
  <Override PartName="/xl/ctrlProps/ctrlProp3182.xml" ContentType="application/vnd.ms-excel.controlproperties+xml"/>
  <Override PartName="/xl/ctrlProps/ctrlProp3183.xml" ContentType="application/vnd.ms-excel.controlproperties+xml"/>
  <Override PartName="/xl/ctrlProps/ctrlProp3184.xml" ContentType="application/vnd.ms-excel.controlproperties+xml"/>
  <Override PartName="/xl/ctrlProps/ctrlProp3185.xml" ContentType="application/vnd.ms-excel.controlproperties+xml"/>
  <Override PartName="/xl/drawings/drawing75.xml" ContentType="application/vnd.openxmlformats-officedocument.drawing+xml"/>
  <Override PartName="/xl/ctrlProps/ctrlProp3186.xml" ContentType="application/vnd.ms-excel.controlproperties+xml"/>
  <Override PartName="/xl/ctrlProps/ctrlProp3187.xml" ContentType="application/vnd.ms-excel.controlproperties+xml"/>
  <Override PartName="/xl/ctrlProps/ctrlProp3188.xml" ContentType="application/vnd.ms-excel.controlproperties+xml"/>
  <Override PartName="/xl/ctrlProps/ctrlProp3189.xml" ContentType="application/vnd.ms-excel.controlproperties+xml"/>
  <Override PartName="/xl/ctrlProps/ctrlProp3190.xml" ContentType="application/vnd.ms-excel.controlproperties+xml"/>
  <Override PartName="/xl/ctrlProps/ctrlProp3191.xml" ContentType="application/vnd.ms-excel.controlproperties+xml"/>
  <Override PartName="/xl/ctrlProps/ctrlProp3192.xml" ContentType="application/vnd.ms-excel.controlproperties+xml"/>
  <Override PartName="/xl/ctrlProps/ctrlProp3193.xml" ContentType="application/vnd.ms-excel.controlproperties+xml"/>
  <Override PartName="/xl/ctrlProps/ctrlProp3194.xml" ContentType="application/vnd.ms-excel.controlproperties+xml"/>
  <Override PartName="/xl/ctrlProps/ctrlProp3195.xml" ContentType="application/vnd.ms-excel.controlproperties+xml"/>
  <Override PartName="/xl/ctrlProps/ctrlProp3196.xml" ContentType="application/vnd.ms-excel.controlproperties+xml"/>
  <Override PartName="/xl/ctrlProps/ctrlProp3197.xml" ContentType="application/vnd.ms-excel.controlproperties+xml"/>
  <Override PartName="/xl/ctrlProps/ctrlProp3198.xml" ContentType="application/vnd.ms-excel.controlproperties+xml"/>
  <Override PartName="/xl/ctrlProps/ctrlProp3199.xml" ContentType="application/vnd.ms-excel.controlproperties+xml"/>
  <Override PartName="/xl/ctrlProps/ctrlProp3200.xml" ContentType="application/vnd.ms-excel.controlproperties+xml"/>
  <Override PartName="/xl/ctrlProps/ctrlProp3201.xml" ContentType="application/vnd.ms-excel.controlproperties+xml"/>
  <Override PartName="/xl/ctrlProps/ctrlProp3202.xml" ContentType="application/vnd.ms-excel.controlproperties+xml"/>
  <Override PartName="/xl/ctrlProps/ctrlProp3203.xml" ContentType="application/vnd.ms-excel.controlproperties+xml"/>
  <Override PartName="/xl/ctrlProps/ctrlProp3204.xml" ContentType="application/vnd.ms-excel.controlproperties+xml"/>
  <Override PartName="/xl/ctrlProps/ctrlProp3205.xml" ContentType="application/vnd.ms-excel.controlproperties+xml"/>
  <Override PartName="/xl/ctrlProps/ctrlProp3206.xml" ContentType="application/vnd.ms-excel.controlproperties+xml"/>
  <Override PartName="/xl/ctrlProps/ctrlProp3207.xml" ContentType="application/vnd.ms-excel.controlproperties+xml"/>
  <Override PartName="/xl/ctrlProps/ctrlProp3208.xml" ContentType="application/vnd.ms-excel.controlproperties+xml"/>
  <Override PartName="/xl/ctrlProps/ctrlProp3209.xml" ContentType="application/vnd.ms-excel.controlproperties+xml"/>
  <Override PartName="/xl/ctrlProps/ctrlProp3210.xml" ContentType="application/vnd.ms-excel.controlproperties+xml"/>
  <Override PartName="/xl/ctrlProps/ctrlProp3211.xml" ContentType="application/vnd.ms-excel.controlproperties+xml"/>
  <Override PartName="/xl/ctrlProps/ctrlProp3212.xml" ContentType="application/vnd.ms-excel.controlproperties+xml"/>
  <Override PartName="/xl/ctrlProps/ctrlProp3213.xml" ContentType="application/vnd.ms-excel.controlproperties+xml"/>
  <Override PartName="/xl/ctrlProps/ctrlProp3214.xml" ContentType="application/vnd.ms-excel.controlproperties+xml"/>
  <Override PartName="/xl/ctrlProps/ctrlProp3215.xml" ContentType="application/vnd.ms-excel.controlproperties+xml"/>
  <Override PartName="/xl/ctrlProps/ctrlProp3216.xml" ContentType="application/vnd.ms-excel.controlproperties+xml"/>
  <Override PartName="/xl/ctrlProps/ctrlProp3217.xml" ContentType="application/vnd.ms-excel.controlproperties+xml"/>
  <Override PartName="/xl/ctrlProps/ctrlProp3218.xml" ContentType="application/vnd.ms-excel.controlproperties+xml"/>
  <Override PartName="/xl/ctrlProps/ctrlProp3219.xml" ContentType="application/vnd.ms-excel.controlproperties+xml"/>
  <Override PartName="/xl/ctrlProps/ctrlProp3220.xml" ContentType="application/vnd.ms-excel.controlproperties+xml"/>
  <Override PartName="/xl/ctrlProps/ctrlProp3221.xml" ContentType="application/vnd.ms-excel.controlproperties+xml"/>
  <Override PartName="/xl/ctrlProps/ctrlProp3222.xml" ContentType="application/vnd.ms-excel.controlproperties+xml"/>
  <Override PartName="/xl/drawings/drawing76.xml" ContentType="application/vnd.openxmlformats-officedocument.drawing+xml"/>
  <Override PartName="/xl/ctrlProps/ctrlProp3223.xml" ContentType="application/vnd.ms-excel.controlproperties+xml"/>
  <Override PartName="/xl/ctrlProps/ctrlProp3224.xml" ContentType="application/vnd.ms-excel.controlproperties+xml"/>
  <Override PartName="/xl/ctrlProps/ctrlProp3225.xml" ContentType="application/vnd.ms-excel.controlproperties+xml"/>
  <Override PartName="/xl/ctrlProps/ctrlProp3226.xml" ContentType="application/vnd.ms-excel.controlproperties+xml"/>
  <Override PartName="/xl/ctrlProps/ctrlProp3227.xml" ContentType="application/vnd.ms-excel.controlproperties+xml"/>
  <Override PartName="/xl/ctrlProps/ctrlProp3228.xml" ContentType="application/vnd.ms-excel.controlproperties+xml"/>
  <Override PartName="/xl/ctrlProps/ctrlProp3229.xml" ContentType="application/vnd.ms-excel.controlproperties+xml"/>
  <Override PartName="/xl/ctrlProps/ctrlProp3230.xml" ContentType="application/vnd.ms-excel.controlproperties+xml"/>
  <Override PartName="/xl/ctrlProps/ctrlProp3231.xml" ContentType="application/vnd.ms-excel.controlproperties+xml"/>
  <Override PartName="/xl/ctrlProps/ctrlProp3232.xml" ContentType="application/vnd.ms-excel.controlproperties+xml"/>
  <Override PartName="/xl/ctrlProps/ctrlProp3233.xml" ContentType="application/vnd.ms-excel.controlproperties+xml"/>
  <Override PartName="/xl/ctrlProps/ctrlProp3234.xml" ContentType="application/vnd.ms-excel.controlproperties+xml"/>
  <Override PartName="/xl/ctrlProps/ctrlProp3235.xml" ContentType="application/vnd.ms-excel.controlproperties+xml"/>
  <Override PartName="/xl/ctrlProps/ctrlProp3236.xml" ContentType="application/vnd.ms-excel.controlproperties+xml"/>
  <Override PartName="/xl/ctrlProps/ctrlProp3237.xml" ContentType="application/vnd.ms-excel.controlproperties+xml"/>
  <Override PartName="/xl/ctrlProps/ctrlProp3238.xml" ContentType="application/vnd.ms-excel.controlproperties+xml"/>
  <Override PartName="/xl/ctrlProps/ctrlProp3239.xml" ContentType="application/vnd.ms-excel.controlproperties+xml"/>
  <Override PartName="/xl/ctrlProps/ctrlProp3240.xml" ContentType="application/vnd.ms-excel.controlproperties+xml"/>
  <Override PartName="/xl/ctrlProps/ctrlProp3241.xml" ContentType="application/vnd.ms-excel.controlproperties+xml"/>
  <Override PartName="/xl/ctrlProps/ctrlProp3242.xml" ContentType="application/vnd.ms-excel.controlproperties+xml"/>
  <Override PartName="/xl/ctrlProps/ctrlProp3243.xml" ContentType="application/vnd.ms-excel.controlproperties+xml"/>
  <Override PartName="/xl/ctrlProps/ctrlProp3244.xml" ContentType="application/vnd.ms-excel.controlproperties+xml"/>
  <Override PartName="/xl/ctrlProps/ctrlProp3245.xml" ContentType="application/vnd.ms-excel.controlproperties+xml"/>
  <Override PartName="/xl/ctrlProps/ctrlProp3246.xml" ContentType="application/vnd.ms-excel.controlproperties+xml"/>
  <Override PartName="/xl/ctrlProps/ctrlProp3247.xml" ContentType="application/vnd.ms-excel.controlproperties+xml"/>
  <Override PartName="/xl/ctrlProps/ctrlProp3248.xml" ContentType="application/vnd.ms-excel.controlproperties+xml"/>
  <Override PartName="/xl/ctrlProps/ctrlProp3249.xml" ContentType="application/vnd.ms-excel.controlproperties+xml"/>
  <Override PartName="/xl/ctrlProps/ctrlProp3250.xml" ContentType="application/vnd.ms-excel.controlproperties+xml"/>
  <Override PartName="/xl/ctrlProps/ctrlProp3251.xml" ContentType="application/vnd.ms-excel.controlproperties+xml"/>
  <Override PartName="/xl/ctrlProps/ctrlProp3252.xml" ContentType="application/vnd.ms-excel.controlproperties+xml"/>
  <Override PartName="/xl/ctrlProps/ctrlProp3253.xml" ContentType="application/vnd.ms-excel.controlproperties+xml"/>
  <Override PartName="/xl/ctrlProps/ctrlProp3254.xml" ContentType="application/vnd.ms-excel.controlproperties+xml"/>
  <Override PartName="/xl/ctrlProps/ctrlProp3255.xml" ContentType="application/vnd.ms-excel.controlproperties+xml"/>
  <Override PartName="/xl/ctrlProps/ctrlProp3256.xml" ContentType="application/vnd.ms-excel.controlproperties+xml"/>
  <Override PartName="/xl/ctrlProps/ctrlProp3257.xml" ContentType="application/vnd.ms-excel.controlproperties+xml"/>
  <Override PartName="/xl/ctrlProps/ctrlProp3258.xml" ContentType="application/vnd.ms-excel.controlproperties+xml"/>
  <Override PartName="/xl/ctrlProps/ctrlProp3259.xml" ContentType="application/vnd.ms-excel.controlproperties+xml"/>
  <Override PartName="/xl/drawings/drawing77.xml" ContentType="application/vnd.openxmlformats-officedocument.drawing+xml"/>
  <Override PartName="/xl/ctrlProps/ctrlProp3260.xml" ContentType="application/vnd.ms-excel.controlproperties+xml"/>
  <Override PartName="/xl/ctrlProps/ctrlProp3261.xml" ContentType="application/vnd.ms-excel.controlproperties+xml"/>
  <Override PartName="/xl/ctrlProps/ctrlProp3262.xml" ContentType="application/vnd.ms-excel.controlproperties+xml"/>
  <Override PartName="/xl/ctrlProps/ctrlProp3263.xml" ContentType="application/vnd.ms-excel.controlproperties+xml"/>
  <Override PartName="/xl/ctrlProps/ctrlProp3264.xml" ContentType="application/vnd.ms-excel.controlproperties+xml"/>
  <Override PartName="/xl/ctrlProps/ctrlProp3265.xml" ContentType="application/vnd.ms-excel.controlproperties+xml"/>
  <Override PartName="/xl/ctrlProps/ctrlProp3266.xml" ContentType="application/vnd.ms-excel.controlproperties+xml"/>
  <Override PartName="/xl/ctrlProps/ctrlProp3267.xml" ContentType="application/vnd.ms-excel.controlproperties+xml"/>
  <Override PartName="/xl/ctrlProps/ctrlProp3268.xml" ContentType="application/vnd.ms-excel.controlproperties+xml"/>
  <Override PartName="/xl/ctrlProps/ctrlProp3269.xml" ContentType="application/vnd.ms-excel.controlproperties+xml"/>
  <Override PartName="/xl/ctrlProps/ctrlProp3270.xml" ContentType="application/vnd.ms-excel.controlproperties+xml"/>
  <Override PartName="/xl/ctrlProps/ctrlProp3271.xml" ContentType="application/vnd.ms-excel.controlproperties+xml"/>
  <Override PartName="/xl/ctrlProps/ctrlProp3272.xml" ContentType="application/vnd.ms-excel.controlproperties+xml"/>
  <Override PartName="/xl/ctrlProps/ctrlProp3273.xml" ContentType="application/vnd.ms-excel.controlproperties+xml"/>
  <Override PartName="/xl/ctrlProps/ctrlProp3274.xml" ContentType="application/vnd.ms-excel.controlproperties+xml"/>
  <Override PartName="/xl/ctrlProps/ctrlProp3275.xml" ContentType="application/vnd.ms-excel.controlproperties+xml"/>
  <Override PartName="/xl/ctrlProps/ctrlProp3276.xml" ContentType="application/vnd.ms-excel.controlproperties+xml"/>
  <Override PartName="/xl/ctrlProps/ctrlProp3277.xml" ContentType="application/vnd.ms-excel.controlproperties+xml"/>
  <Override PartName="/xl/ctrlProps/ctrlProp3278.xml" ContentType="application/vnd.ms-excel.controlproperties+xml"/>
  <Override PartName="/xl/ctrlProps/ctrlProp3279.xml" ContentType="application/vnd.ms-excel.controlproperties+xml"/>
  <Override PartName="/xl/ctrlProps/ctrlProp3280.xml" ContentType="application/vnd.ms-excel.controlproperties+xml"/>
  <Override PartName="/xl/ctrlProps/ctrlProp3281.xml" ContentType="application/vnd.ms-excel.controlproperties+xml"/>
  <Override PartName="/xl/ctrlProps/ctrlProp3282.xml" ContentType="application/vnd.ms-excel.controlproperties+xml"/>
  <Override PartName="/xl/ctrlProps/ctrlProp3283.xml" ContentType="application/vnd.ms-excel.controlproperties+xml"/>
  <Override PartName="/xl/ctrlProps/ctrlProp3284.xml" ContentType="application/vnd.ms-excel.controlproperties+xml"/>
  <Override PartName="/xl/ctrlProps/ctrlProp3285.xml" ContentType="application/vnd.ms-excel.controlproperties+xml"/>
  <Override PartName="/xl/ctrlProps/ctrlProp3286.xml" ContentType="application/vnd.ms-excel.controlproperties+xml"/>
  <Override PartName="/xl/ctrlProps/ctrlProp3287.xml" ContentType="application/vnd.ms-excel.controlproperties+xml"/>
  <Override PartName="/xl/ctrlProps/ctrlProp3288.xml" ContentType="application/vnd.ms-excel.controlproperties+xml"/>
  <Override PartName="/xl/ctrlProps/ctrlProp3289.xml" ContentType="application/vnd.ms-excel.controlproperties+xml"/>
  <Override PartName="/xl/ctrlProps/ctrlProp3290.xml" ContentType="application/vnd.ms-excel.controlproperties+xml"/>
  <Override PartName="/xl/ctrlProps/ctrlProp3291.xml" ContentType="application/vnd.ms-excel.controlproperties+xml"/>
  <Override PartName="/xl/ctrlProps/ctrlProp3292.xml" ContentType="application/vnd.ms-excel.controlproperties+xml"/>
  <Override PartName="/xl/ctrlProps/ctrlProp3293.xml" ContentType="application/vnd.ms-excel.controlproperties+xml"/>
  <Override PartName="/xl/ctrlProps/ctrlProp3294.xml" ContentType="application/vnd.ms-excel.controlproperties+xml"/>
  <Override PartName="/xl/ctrlProps/ctrlProp3295.xml" ContentType="application/vnd.ms-excel.controlproperties+xml"/>
  <Override PartName="/xl/ctrlProps/ctrlProp3296.xml" ContentType="application/vnd.ms-excel.controlproperties+xml"/>
  <Override PartName="/xl/drawings/drawing78.xml" ContentType="application/vnd.openxmlformats-officedocument.drawing+xml"/>
  <Override PartName="/xl/ctrlProps/ctrlProp3297.xml" ContentType="application/vnd.ms-excel.controlproperties+xml"/>
  <Override PartName="/xl/ctrlProps/ctrlProp3298.xml" ContentType="application/vnd.ms-excel.controlproperties+xml"/>
  <Override PartName="/xl/ctrlProps/ctrlProp3299.xml" ContentType="application/vnd.ms-excel.controlproperties+xml"/>
  <Override PartName="/xl/ctrlProps/ctrlProp3300.xml" ContentType="application/vnd.ms-excel.controlproperties+xml"/>
  <Override PartName="/xl/ctrlProps/ctrlProp3301.xml" ContentType="application/vnd.ms-excel.controlproperties+xml"/>
  <Override PartName="/xl/ctrlProps/ctrlProp3302.xml" ContentType="application/vnd.ms-excel.controlproperties+xml"/>
  <Override PartName="/xl/ctrlProps/ctrlProp3303.xml" ContentType="application/vnd.ms-excel.controlproperties+xml"/>
  <Override PartName="/xl/ctrlProps/ctrlProp3304.xml" ContentType="application/vnd.ms-excel.controlproperties+xml"/>
  <Override PartName="/xl/ctrlProps/ctrlProp3305.xml" ContentType="application/vnd.ms-excel.controlproperties+xml"/>
  <Override PartName="/xl/ctrlProps/ctrlProp3306.xml" ContentType="application/vnd.ms-excel.controlproperties+xml"/>
  <Override PartName="/xl/ctrlProps/ctrlProp3307.xml" ContentType="application/vnd.ms-excel.controlproperties+xml"/>
  <Override PartName="/xl/ctrlProps/ctrlProp3308.xml" ContentType="application/vnd.ms-excel.controlproperties+xml"/>
  <Override PartName="/xl/ctrlProps/ctrlProp3309.xml" ContentType="application/vnd.ms-excel.controlproperties+xml"/>
  <Override PartName="/xl/ctrlProps/ctrlProp3310.xml" ContentType="application/vnd.ms-excel.controlproperties+xml"/>
  <Override PartName="/xl/ctrlProps/ctrlProp3311.xml" ContentType="application/vnd.ms-excel.controlproperties+xml"/>
  <Override PartName="/xl/ctrlProps/ctrlProp3312.xml" ContentType="application/vnd.ms-excel.controlproperties+xml"/>
  <Override PartName="/xl/ctrlProps/ctrlProp3313.xml" ContentType="application/vnd.ms-excel.controlproperties+xml"/>
  <Override PartName="/xl/ctrlProps/ctrlProp3314.xml" ContentType="application/vnd.ms-excel.controlproperties+xml"/>
  <Override PartName="/xl/ctrlProps/ctrlProp3315.xml" ContentType="application/vnd.ms-excel.controlproperties+xml"/>
  <Override PartName="/xl/ctrlProps/ctrlProp3316.xml" ContentType="application/vnd.ms-excel.controlproperties+xml"/>
  <Override PartName="/xl/ctrlProps/ctrlProp3317.xml" ContentType="application/vnd.ms-excel.controlproperties+xml"/>
  <Override PartName="/xl/ctrlProps/ctrlProp3318.xml" ContentType="application/vnd.ms-excel.controlproperties+xml"/>
  <Override PartName="/xl/ctrlProps/ctrlProp3319.xml" ContentType="application/vnd.ms-excel.controlproperties+xml"/>
  <Override PartName="/xl/ctrlProps/ctrlProp3320.xml" ContentType="application/vnd.ms-excel.controlproperties+xml"/>
  <Override PartName="/xl/ctrlProps/ctrlProp3321.xml" ContentType="application/vnd.ms-excel.controlproperties+xml"/>
  <Override PartName="/xl/ctrlProps/ctrlProp3322.xml" ContentType="application/vnd.ms-excel.controlproperties+xml"/>
  <Override PartName="/xl/ctrlProps/ctrlProp3323.xml" ContentType="application/vnd.ms-excel.controlproperties+xml"/>
  <Override PartName="/xl/ctrlProps/ctrlProp3324.xml" ContentType="application/vnd.ms-excel.controlproperties+xml"/>
  <Override PartName="/xl/ctrlProps/ctrlProp3325.xml" ContentType="application/vnd.ms-excel.controlproperties+xml"/>
  <Override PartName="/xl/ctrlProps/ctrlProp3326.xml" ContentType="application/vnd.ms-excel.controlproperties+xml"/>
  <Override PartName="/xl/ctrlProps/ctrlProp3327.xml" ContentType="application/vnd.ms-excel.controlproperties+xml"/>
  <Override PartName="/xl/ctrlProps/ctrlProp3328.xml" ContentType="application/vnd.ms-excel.controlproperties+xml"/>
  <Override PartName="/xl/ctrlProps/ctrlProp3329.xml" ContentType="application/vnd.ms-excel.controlproperties+xml"/>
  <Override PartName="/xl/ctrlProps/ctrlProp3330.xml" ContentType="application/vnd.ms-excel.controlproperties+xml"/>
  <Override PartName="/xl/ctrlProps/ctrlProp3331.xml" ContentType="application/vnd.ms-excel.controlproperties+xml"/>
  <Override PartName="/xl/ctrlProps/ctrlProp3332.xml" ContentType="application/vnd.ms-excel.controlproperties+xml"/>
  <Override PartName="/xl/ctrlProps/ctrlProp3333.xml" ContentType="application/vnd.ms-excel.controlproperties+xml"/>
  <Override PartName="/xl/drawings/drawing79.xml" ContentType="application/vnd.openxmlformats-officedocument.drawing+xml"/>
  <Override PartName="/xl/ctrlProps/ctrlProp3334.xml" ContentType="application/vnd.ms-excel.controlproperties+xml"/>
  <Override PartName="/xl/ctrlProps/ctrlProp3335.xml" ContentType="application/vnd.ms-excel.controlproperties+xml"/>
  <Override PartName="/xl/ctrlProps/ctrlProp3336.xml" ContentType="application/vnd.ms-excel.controlproperties+xml"/>
  <Override PartName="/xl/ctrlProps/ctrlProp3337.xml" ContentType="application/vnd.ms-excel.controlproperties+xml"/>
  <Override PartName="/xl/ctrlProps/ctrlProp3338.xml" ContentType="application/vnd.ms-excel.controlproperties+xml"/>
  <Override PartName="/xl/ctrlProps/ctrlProp3339.xml" ContentType="application/vnd.ms-excel.controlproperties+xml"/>
  <Override PartName="/xl/ctrlProps/ctrlProp3340.xml" ContentType="application/vnd.ms-excel.controlproperties+xml"/>
  <Override PartName="/xl/ctrlProps/ctrlProp3341.xml" ContentType="application/vnd.ms-excel.controlproperties+xml"/>
  <Override PartName="/xl/ctrlProps/ctrlProp3342.xml" ContentType="application/vnd.ms-excel.controlproperties+xml"/>
  <Override PartName="/xl/ctrlProps/ctrlProp3343.xml" ContentType="application/vnd.ms-excel.controlproperties+xml"/>
  <Override PartName="/xl/ctrlProps/ctrlProp3344.xml" ContentType="application/vnd.ms-excel.controlproperties+xml"/>
  <Override PartName="/xl/ctrlProps/ctrlProp3345.xml" ContentType="application/vnd.ms-excel.controlproperties+xml"/>
  <Override PartName="/xl/ctrlProps/ctrlProp3346.xml" ContentType="application/vnd.ms-excel.controlproperties+xml"/>
  <Override PartName="/xl/ctrlProps/ctrlProp3347.xml" ContentType="application/vnd.ms-excel.controlproperties+xml"/>
  <Override PartName="/xl/ctrlProps/ctrlProp3348.xml" ContentType="application/vnd.ms-excel.controlproperties+xml"/>
  <Override PartName="/xl/ctrlProps/ctrlProp3349.xml" ContentType="application/vnd.ms-excel.controlproperties+xml"/>
  <Override PartName="/xl/ctrlProps/ctrlProp3350.xml" ContentType="application/vnd.ms-excel.controlproperties+xml"/>
  <Override PartName="/xl/ctrlProps/ctrlProp3351.xml" ContentType="application/vnd.ms-excel.controlproperties+xml"/>
  <Override PartName="/xl/ctrlProps/ctrlProp3352.xml" ContentType="application/vnd.ms-excel.controlproperties+xml"/>
  <Override PartName="/xl/ctrlProps/ctrlProp3353.xml" ContentType="application/vnd.ms-excel.controlproperties+xml"/>
  <Override PartName="/xl/ctrlProps/ctrlProp3354.xml" ContentType="application/vnd.ms-excel.controlproperties+xml"/>
  <Override PartName="/xl/ctrlProps/ctrlProp3355.xml" ContentType="application/vnd.ms-excel.controlproperties+xml"/>
  <Override PartName="/xl/ctrlProps/ctrlProp3356.xml" ContentType="application/vnd.ms-excel.controlproperties+xml"/>
  <Override PartName="/xl/ctrlProps/ctrlProp3357.xml" ContentType="application/vnd.ms-excel.controlproperties+xml"/>
  <Override PartName="/xl/ctrlProps/ctrlProp3358.xml" ContentType="application/vnd.ms-excel.controlproperties+xml"/>
  <Override PartName="/xl/ctrlProps/ctrlProp3359.xml" ContentType="application/vnd.ms-excel.controlproperties+xml"/>
  <Override PartName="/xl/ctrlProps/ctrlProp3360.xml" ContentType="application/vnd.ms-excel.controlproperties+xml"/>
  <Override PartName="/xl/ctrlProps/ctrlProp3361.xml" ContentType="application/vnd.ms-excel.controlproperties+xml"/>
  <Override PartName="/xl/ctrlProps/ctrlProp3362.xml" ContentType="application/vnd.ms-excel.controlproperties+xml"/>
  <Override PartName="/xl/ctrlProps/ctrlProp3363.xml" ContentType="application/vnd.ms-excel.controlproperties+xml"/>
  <Override PartName="/xl/ctrlProps/ctrlProp3364.xml" ContentType="application/vnd.ms-excel.controlproperties+xml"/>
  <Override PartName="/xl/ctrlProps/ctrlProp3365.xml" ContentType="application/vnd.ms-excel.controlproperties+xml"/>
  <Override PartName="/xl/ctrlProps/ctrlProp3366.xml" ContentType="application/vnd.ms-excel.controlproperties+xml"/>
  <Override PartName="/xl/ctrlProps/ctrlProp3367.xml" ContentType="application/vnd.ms-excel.controlproperties+xml"/>
  <Override PartName="/xl/ctrlProps/ctrlProp3368.xml" ContentType="application/vnd.ms-excel.controlproperties+xml"/>
  <Override PartName="/xl/ctrlProps/ctrlProp3369.xml" ContentType="application/vnd.ms-excel.controlproperties+xml"/>
  <Override PartName="/xl/ctrlProps/ctrlProp3370.xml" ContentType="application/vnd.ms-excel.controlproperties+xml"/>
  <Override PartName="/xl/drawings/drawing80.xml" ContentType="application/vnd.openxmlformats-officedocument.drawing+xml"/>
  <Override PartName="/xl/ctrlProps/ctrlProp3371.xml" ContentType="application/vnd.ms-excel.controlproperties+xml"/>
  <Override PartName="/xl/ctrlProps/ctrlProp3372.xml" ContentType="application/vnd.ms-excel.controlproperties+xml"/>
  <Override PartName="/xl/ctrlProps/ctrlProp3373.xml" ContentType="application/vnd.ms-excel.controlproperties+xml"/>
  <Override PartName="/xl/ctrlProps/ctrlProp3374.xml" ContentType="application/vnd.ms-excel.controlproperties+xml"/>
  <Override PartName="/xl/ctrlProps/ctrlProp3375.xml" ContentType="application/vnd.ms-excel.controlproperties+xml"/>
  <Override PartName="/xl/ctrlProps/ctrlProp3376.xml" ContentType="application/vnd.ms-excel.controlproperties+xml"/>
  <Override PartName="/xl/ctrlProps/ctrlProp3377.xml" ContentType="application/vnd.ms-excel.controlproperties+xml"/>
  <Override PartName="/xl/ctrlProps/ctrlProp3378.xml" ContentType="application/vnd.ms-excel.controlproperties+xml"/>
  <Override PartName="/xl/ctrlProps/ctrlProp3379.xml" ContentType="application/vnd.ms-excel.controlproperties+xml"/>
  <Override PartName="/xl/ctrlProps/ctrlProp3380.xml" ContentType="application/vnd.ms-excel.controlproperties+xml"/>
  <Override PartName="/xl/ctrlProps/ctrlProp3381.xml" ContentType="application/vnd.ms-excel.controlproperties+xml"/>
  <Override PartName="/xl/ctrlProps/ctrlProp3382.xml" ContentType="application/vnd.ms-excel.controlproperties+xml"/>
  <Override PartName="/xl/ctrlProps/ctrlProp3383.xml" ContentType="application/vnd.ms-excel.controlproperties+xml"/>
  <Override PartName="/xl/ctrlProps/ctrlProp3384.xml" ContentType="application/vnd.ms-excel.controlproperties+xml"/>
  <Override PartName="/xl/ctrlProps/ctrlProp3385.xml" ContentType="application/vnd.ms-excel.controlproperties+xml"/>
  <Override PartName="/xl/ctrlProps/ctrlProp3386.xml" ContentType="application/vnd.ms-excel.controlproperties+xml"/>
  <Override PartName="/xl/ctrlProps/ctrlProp3387.xml" ContentType="application/vnd.ms-excel.controlproperties+xml"/>
  <Override PartName="/xl/ctrlProps/ctrlProp3388.xml" ContentType="application/vnd.ms-excel.controlproperties+xml"/>
  <Override PartName="/xl/ctrlProps/ctrlProp3389.xml" ContentType="application/vnd.ms-excel.controlproperties+xml"/>
  <Override PartName="/xl/ctrlProps/ctrlProp3390.xml" ContentType="application/vnd.ms-excel.controlproperties+xml"/>
  <Override PartName="/xl/ctrlProps/ctrlProp3391.xml" ContentType="application/vnd.ms-excel.controlproperties+xml"/>
  <Override PartName="/xl/ctrlProps/ctrlProp3392.xml" ContentType="application/vnd.ms-excel.controlproperties+xml"/>
  <Override PartName="/xl/ctrlProps/ctrlProp3393.xml" ContentType="application/vnd.ms-excel.controlproperties+xml"/>
  <Override PartName="/xl/ctrlProps/ctrlProp3394.xml" ContentType="application/vnd.ms-excel.controlproperties+xml"/>
  <Override PartName="/xl/ctrlProps/ctrlProp3395.xml" ContentType="application/vnd.ms-excel.controlproperties+xml"/>
  <Override PartName="/xl/ctrlProps/ctrlProp3396.xml" ContentType="application/vnd.ms-excel.controlproperties+xml"/>
  <Override PartName="/xl/ctrlProps/ctrlProp3397.xml" ContentType="application/vnd.ms-excel.controlproperties+xml"/>
  <Override PartName="/xl/ctrlProps/ctrlProp3398.xml" ContentType="application/vnd.ms-excel.controlproperties+xml"/>
  <Override PartName="/xl/ctrlProps/ctrlProp3399.xml" ContentType="application/vnd.ms-excel.controlproperties+xml"/>
  <Override PartName="/xl/ctrlProps/ctrlProp3400.xml" ContentType="application/vnd.ms-excel.controlproperties+xml"/>
  <Override PartName="/xl/ctrlProps/ctrlProp3401.xml" ContentType="application/vnd.ms-excel.controlproperties+xml"/>
  <Override PartName="/xl/ctrlProps/ctrlProp3402.xml" ContentType="application/vnd.ms-excel.controlproperties+xml"/>
  <Override PartName="/xl/ctrlProps/ctrlProp3403.xml" ContentType="application/vnd.ms-excel.controlproperties+xml"/>
  <Override PartName="/xl/ctrlProps/ctrlProp3404.xml" ContentType="application/vnd.ms-excel.controlproperties+xml"/>
  <Override PartName="/xl/ctrlProps/ctrlProp3405.xml" ContentType="application/vnd.ms-excel.controlproperties+xml"/>
  <Override PartName="/xl/ctrlProps/ctrlProp3406.xml" ContentType="application/vnd.ms-excel.controlproperties+xml"/>
  <Override PartName="/xl/ctrlProps/ctrlProp3407.xml" ContentType="application/vnd.ms-excel.controlproperties+xml"/>
  <Override PartName="/xl/drawings/drawing81.xml" ContentType="application/vnd.openxmlformats-officedocument.drawing+xml"/>
  <Override PartName="/xl/ctrlProps/ctrlProp3408.xml" ContentType="application/vnd.ms-excel.controlproperties+xml"/>
  <Override PartName="/xl/ctrlProps/ctrlProp3409.xml" ContentType="application/vnd.ms-excel.controlproperties+xml"/>
  <Override PartName="/xl/ctrlProps/ctrlProp3410.xml" ContentType="application/vnd.ms-excel.controlproperties+xml"/>
  <Override PartName="/xl/ctrlProps/ctrlProp3411.xml" ContentType="application/vnd.ms-excel.controlproperties+xml"/>
  <Override PartName="/xl/ctrlProps/ctrlProp3412.xml" ContentType="application/vnd.ms-excel.controlproperties+xml"/>
  <Override PartName="/xl/ctrlProps/ctrlProp3413.xml" ContentType="application/vnd.ms-excel.controlproperties+xml"/>
  <Override PartName="/xl/ctrlProps/ctrlProp3414.xml" ContentType="application/vnd.ms-excel.controlproperties+xml"/>
  <Override PartName="/xl/ctrlProps/ctrlProp3415.xml" ContentType="application/vnd.ms-excel.controlproperties+xml"/>
  <Override PartName="/xl/ctrlProps/ctrlProp3416.xml" ContentType="application/vnd.ms-excel.controlproperties+xml"/>
  <Override PartName="/xl/ctrlProps/ctrlProp3417.xml" ContentType="application/vnd.ms-excel.controlproperties+xml"/>
  <Override PartName="/xl/ctrlProps/ctrlProp3418.xml" ContentType="application/vnd.ms-excel.controlproperties+xml"/>
  <Override PartName="/xl/ctrlProps/ctrlProp3419.xml" ContentType="application/vnd.ms-excel.controlproperties+xml"/>
  <Override PartName="/xl/ctrlProps/ctrlProp3420.xml" ContentType="application/vnd.ms-excel.controlproperties+xml"/>
  <Override PartName="/xl/ctrlProps/ctrlProp3421.xml" ContentType="application/vnd.ms-excel.controlproperties+xml"/>
  <Override PartName="/xl/ctrlProps/ctrlProp3422.xml" ContentType="application/vnd.ms-excel.controlproperties+xml"/>
  <Override PartName="/xl/ctrlProps/ctrlProp3423.xml" ContentType="application/vnd.ms-excel.controlproperties+xml"/>
  <Override PartName="/xl/ctrlProps/ctrlProp3424.xml" ContentType="application/vnd.ms-excel.controlproperties+xml"/>
  <Override PartName="/xl/ctrlProps/ctrlProp3425.xml" ContentType="application/vnd.ms-excel.controlproperties+xml"/>
  <Override PartName="/xl/ctrlProps/ctrlProp3426.xml" ContentType="application/vnd.ms-excel.controlproperties+xml"/>
  <Override PartName="/xl/ctrlProps/ctrlProp3427.xml" ContentType="application/vnd.ms-excel.controlproperties+xml"/>
  <Override PartName="/xl/ctrlProps/ctrlProp3428.xml" ContentType="application/vnd.ms-excel.controlproperties+xml"/>
  <Override PartName="/xl/ctrlProps/ctrlProp3429.xml" ContentType="application/vnd.ms-excel.controlproperties+xml"/>
  <Override PartName="/xl/ctrlProps/ctrlProp3430.xml" ContentType="application/vnd.ms-excel.controlproperties+xml"/>
  <Override PartName="/xl/ctrlProps/ctrlProp3431.xml" ContentType="application/vnd.ms-excel.controlproperties+xml"/>
  <Override PartName="/xl/ctrlProps/ctrlProp3432.xml" ContentType="application/vnd.ms-excel.controlproperties+xml"/>
  <Override PartName="/xl/ctrlProps/ctrlProp3433.xml" ContentType="application/vnd.ms-excel.controlproperties+xml"/>
  <Override PartName="/xl/ctrlProps/ctrlProp3434.xml" ContentType="application/vnd.ms-excel.controlproperties+xml"/>
  <Override PartName="/xl/ctrlProps/ctrlProp3435.xml" ContentType="application/vnd.ms-excel.controlproperties+xml"/>
  <Override PartName="/xl/ctrlProps/ctrlProp3436.xml" ContentType="application/vnd.ms-excel.controlproperties+xml"/>
  <Override PartName="/xl/ctrlProps/ctrlProp3437.xml" ContentType="application/vnd.ms-excel.controlproperties+xml"/>
  <Override PartName="/xl/ctrlProps/ctrlProp3438.xml" ContentType="application/vnd.ms-excel.controlproperties+xml"/>
  <Override PartName="/xl/ctrlProps/ctrlProp3439.xml" ContentType="application/vnd.ms-excel.controlproperties+xml"/>
  <Override PartName="/xl/ctrlProps/ctrlProp3440.xml" ContentType="application/vnd.ms-excel.controlproperties+xml"/>
  <Override PartName="/xl/ctrlProps/ctrlProp3441.xml" ContentType="application/vnd.ms-excel.controlproperties+xml"/>
  <Override PartName="/xl/ctrlProps/ctrlProp3442.xml" ContentType="application/vnd.ms-excel.controlproperties+xml"/>
  <Override PartName="/xl/ctrlProps/ctrlProp3443.xml" ContentType="application/vnd.ms-excel.controlproperties+xml"/>
  <Override PartName="/xl/ctrlProps/ctrlProp3444.xml" ContentType="application/vnd.ms-excel.controlproperties+xml"/>
  <Override PartName="/xl/drawings/drawing82.xml" ContentType="application/vnd.openxmlformats-officedocument.drawing+xml"/>
  <Override PartName="/xl/ctrlProps/ctrlProp3445.xml" ContentType="application/vnd.ms-excel.controlproperties+xml"/>
  <Override PartName="/xl/ctrlProps/ctrlProp3446.xml" ContentType="application/vnd.ms-excel.controlproperties+xml"/>
  <Override PartName="/xl/ctrlProps/ctrlProp3447.xml" ContentType="application/vnd.ms-excel.controlproperties+xml"/>
  <Override PartName="/xl/ctrlProps/ctrlProp3448.xml" ContentType="application/vnd.ms-excel.controlproperties+xml"/>
  <Override PartName="/xl/ctrlProps/ctrlProp3449.xml" ContentType="application/vnd.ms-excel.controlproperties+xml"/>
  <Override PartName="/xl/ctrlProps/ctrlProp3450.xml" ContentType="application/vnd.ms-excel.controlproperties+xml"/>
  <Override PartName="/xl/ctrlProps/ctrlProp3451.xml" ContentType="application/vnd.ms-excel.controlproperties+xml"/>
  <Override PartName="/xl/ctrlProps/ctrlProp3452.xml" ContentType="application/vnd.ms-excel.controlproperties+xml"/>
  <Override PartName="/xl/ctrlProps/ctrlProp3453.xml" ContentType="application/vnd.ms-excel.controlproperties+xml"/>
  <Override PartName="/xl/ctrlProps/ctrlProp3454.xml" ContentType="application/vnd.ms-excel.controlproperties+xml"/>
  <Override PartName="/xl/ctrlProps/ctrlProp3455.xml" ContentType="application/vnd.ms-excel.controlproperties+xml"/>
  <Override PartName="/xl/ctrlProps/ctrlProp3456.xml" ContentType="application/vnd.ms-excel.controlproperties+xml"/>
  <Override PartName="/xl/ctrlProps/ctrlProp3457.xml" ContentType="application/vnd.ms-excel.controlproperties+xml"/>
  <Override PartName="/xl/ctrlProps/ctrlProp3458.xml" ContentType="application/vnd.ms-excel.controlproperties+xml"/>
  <Override PartName="/xl/ctrlProps/ctrlProp3459.xml" ContentType="application/vnd.ms-excel.controlproperties+xml"/>
  <Override PartName="/xl/ctrlProps/ctrlProp3460.xml" ContentType="application/vnd.ms-excel.controlproperties+xml"/>
  <Override PartName="/xl/ctrlProps/ctrlProp3461.xml" ContentType="application/vnd.ms-excel.controlproperties+xml"/>
  <Override PartName="/xl/ctrlProps/ctrlProp3462.xml" ContentType="application/vnd.ms-excel.controlproperties+xml"/>
  <Override PartName="/xl/ctrlProps/ctrlProp3463.xml" ContentType="application/vnd.ms-excel.controlproperties+xml"/>
  <Override PartName="/xl/ctrlProps/ctrlProp3464.xml" ContentType="application/vnd.ms-excel.controlproperties+xml"/>
  <Override PartName="/xl/ctrlProps/ctrlProp3465.xml" ContentType="application/vnd.ms-excel.controlproperties+xml"/>
  <Override PartName="/xl/ctrlProps/ctrlProp3466.xml" ContentType="application/vnd.ms-excel.controlproperties+xml"/>
  <Override PartName="/xl/ctrlProps/ctrlProp3467.xml" ContentType="application/vnd.ms-excel.controlproperties+xml"/>
  <Override PartName="/xl/ctrlProps/ctrlProp3468.xml" ContentType="application/vnd.ms-excel.controlproperties+xml"/>
  <Override PartName="/xl/ctrlProps/ctrlProp3469.xml" ContentType="application/vnd.ms-excel.controlproperties+xml"/>
  <Override PartName="/xl/ctrlProps/ctrlProp3470.xml" ContentType="application/vnd.ms-excel.controlproperties+xml"/>
  <Override PartName="/xl/ctrlProps/ctrlProp3471.xml" ContentType="application/vnd.ms-excel.controlproperties+xml"/>
  <Override PartName="/xl/ctrlProps/ctrlProp3472.xml" ContentType="application/vnd.ms-excel.controlproperties+xml"/>
  <Override PartName="/xl/ctrlProps/ctrlProp3473.xml" ContentType="application/vnd.ms-excel.controlproperties+xml"/>
  <Override PartName="/xl/ctrlProps/ctrlProp3474.xml" ContentType="application/vnd.ms-excel.controlproperties+xml"/>
  <Override PartName="/xl/ctrlProps/ctrlProp3475.xml" ContentType="application/vnd.ms-excel.controlproperties+xml"/>
  <Override PartName="/xl/ctrlProps/ctrlProp3476.xml" ContentType="application/vnd.ms-excel.controlproperties+xml"/>
  <Override PartName="/xl/ctrlProps/ctrlProp3477.xml" ContentType="application/vnd.ms-excel.controlproperties+xml"/>
  <Override PartName="/xl/ctrlProps/ctrlProp3478.xml" ContentType="application/vnd.ms-excel.controlproperties+xml"/>
  <Override PartName="/xl/ctrlProps/ctrlProp3479.xml" ContentType="application/vnd.ms-excel.controlproperties+xml"/>
  <Override PartName="/xl/ctrlProps/ctrlProp3480.xml" ContentType="application/vnd.ms-excel.controlproperties+xml"/>
  <Override PartName="/xl/ctrlProps/ctrlProp3481.xml" ContentType="application/vnd.ms-excel.controlproperties+xml"/>
  <Override PartName="/xl/drawings/drawing83.xml" ContentType="application/vnd.openxmlformats-officedocument.drawing+xml"/>
  <Override PartName="/xl/ctrlProps/ctrlProp3482.xml" ContentType="application/vnd.ms-excel.controlproperties+xml"/>
  <Override PartName="/xl/ctrlProps/ctrlProp3483.xml" ContentType="application/vnd.ms-excel.controlproperties+xml"/>
  <Override PartName="/xl/ctrlProps/ctrlProp3484.xml" ContentType="application/vnd.ms-excel.controlproperties+xml"/>
  <Override PartName="/xl/ctrlProps/ctrlProp3485.xml" ContentType="application/vnd.ms-excel.controlproperties+xml"/>
  <Override PartName="/xl/ctrlProps/ctrlProp3486.xml" ContentType="application/vnd.ms-excel.controlproperties+xml"/>
  <Override PartName="/xl/ctrlProps/ctrlProp3487.xml" ContentType="application/vnd.ms-excel.controlproperties+xml"/>
  <Override PartName="/xl/ctrlProps/ctrlProp3488.xml" ContentType="application/vnd.ms-excel.controlproperties+xml"/>
  <Override PartName="/xl/ctrlProps/ctrlProp3489.xml" ContentType="application/vnd.ms-excel.controlproperties+xml"/>
  <Override PartName="/xl/ctrlProps/ctrlProp3490.xml" ContentType="application/vnd.ms-excel.controlproperties+xml"/>
  <Override PartName="/xl/ctrlProps/ctrlProp3491.xml" ContentType="application/vnd.ms-excel.controlproperties+xml"/>
  <Override PartName="/xl/ctrlProps/ctrlProp3492.xml" ContentType="application/vnd.ms-excel.controlproperties+xml"/>
  <Override PartName="/xl/ctrlProps/ctrlProp3493.xml" ContentType="application/vnd.ms-excel.controlproperties+xml"/>
  <Override PartName="/xl/ctrlProps/ctrlProp3494.xml" ContentType="application/vnd.ms-excel.controlproperties+xml"/>
  <Override PartName="/xl/ctrlProps/ctrlProp3495.xml" ContentType="application/vnd.ms-excel.controlproperties+xml"/>
  <Override PartName="/xl/ctrlProps/ctrlProp3496.xml" ContentType="application/vnd.ms-excel.controlproperties+xml"/>
  <Override PartName="/xl/ctrlProps/ctrlProp3497.xml" ContentType="application/vnd.ms-excel.controlproperties+xml"/>
  <Override PartName="/xl/ctrlProps/ctrlProp3498.xml" ContentType="application/vnd.ms-excel.controlproperties+xml"/>
  <Override PartName="/xl/ctrlProps/ctrlProp3499.xml" ContentType="application/vnd.ms-excel.controlproperties+xml"/>
  <Override PartName="/xl/ctrlProps/ctrlProp3500.xml" ContentType="application/vnd.ms-excel.controlproperties+xml"/>
  <Override PartName="/xl/ctrlProps/ctrlProp3501.xml" ContentType="application/vnd.ms-excel.controlproperties+xml"/>
  <Override PartName="/xl/ctrlProps/ctrlProp3502.xml" ContentType="application/vnd.ms-excel.controlproperties+xml"/>
  <Override PartName="/xl/ctrlProps/ctrlProp3503.xml" ContentType="application/vnd.ms-excel.controlproperties+xml"/>
  <Override PartName="/xl/ctrlProps/ctrlProp3504.xml" ContentType="application/vnd.ms-excel.controlproperties+xml"/>
  <Override PartName="/xl/ctrlProps/ctrlProp3505.xml" ContentType="application/vnd.ms-excel.controlproperties+xml"/>
  <Override PartName="/xl/ctrlProps/ctrlProp3506.xml" ContentType="application/vnd.ms-excel.controlproperties+xml"/>
  <Override PartName="/xl/ctrlProps/ctrlProp3507.xml" ContentType="application/vnd.ms-excel.controlproperties+xml"/>
  <Override PartName="/xl/ctrlProps/ctrlProp3508.xml" ContentType="application/vnd.ms-excel.controlproperties+xml"/>
  <Override PartName="/xl/ctrlProps/ctrlProp3509.xml" ContentType="application/vnd.ms-excel.controlproperties+xml"/>
  <Override PartName="/xl/ctrlProps/ctrlProp3510.xml" ContentType="application/vnd.ms-excel.controlproperties+xml"/>
  <Override PartName="/xl/ctrlProps/ctrlProp3511.xml" ContentType="application/vnd.ms-excel.controlproperties+xml"/>
  <Override PartName="/xl/ctrlProps/ctrlProp3512.xml" ContentType="application/vnd.ms-excel.controlproperties+xml"/>
  <Override PartName="/xl/ctrlProps/ctrlProp3513.xml" ContentType="application/vnd.ms-excel.controlproperties+xml"/>
  <Override PartName="/xl/ctrlProps/ctrlProp3514.xml" ContentType="application/vnd.ms-excel.controlproperties+xml"/>
  <Override PartName="/xl/ctrlProps/ctrlProp3515.xml" ContentType="application/vnd.ms-excel.controlproperties+xml"/>
  <Override PartName="/xl/ctrlProps/ctrlProp3516.xml" ContentType="application/vnd.ms-excel.controlproperties+xml"/>
  <Override PartName="/xl/ctrlProps/ctrlProp3517.xml" ContentType="application/vnd.ms-excel.controlproperties+xml"/>
  <Override PartName="/xl/ctrlProps/ctrlProp3518.xml" ContentType="application/vnd.ms-excel.controlproperties+xml"/>
  <Override PartName="/xl/drawings/drawing84.xml" ContentType="application/vnd.openxmlformats-officedocument.drawing+xml"/>
  <Override PartName="/xl/ctrlProps/ctrlProp3519.xml" ContentType="application/vnd.ms-excel.controlproperties+xml"/>
  <Override PartName="/xl/ctrlProps/ctrlProp3520.xml" ContentType="application/vnd.ms-excel.controlproperties+xml"/>
  <Override PartName="/xl/ctrlProps/ctrlProp3521.xml" ContentType="application/vnd.ms-excel.controlproperties+xml"/>
  <Override PartName="/xl/ctrlProps/ctrlProp3522.xml" ContentType="application/vnd.ms-excel.controlproperties+xml"/>
  <Override PartName="/xl/ctrlProps/ctrlProp3523.xml" ContentType="application/vnd.ms-excel.controlproperties+xml"/>
  <Override PartName="/xl/ctrlProps/ctrlProp3524.xml" ContentType="application/vnd.ms-excel.controlproperties+xml"/>
  <Override PartName="/xl/ctrlProps/ctrlProp3525.xml" ContentType="application/vnd.ms-excel.controlproperties+xml"/>
  <Override PartName="/xl/ctrlProps/ctrlProp3526.xml" ContentType="application/vnd.ms-excel.controlproperties+xml"/>
  <Override PartName="/xl/ctrlProps/ctrlProp3527.xml" ContentType="application/vnd.ms-excel.controlproperties+xml"/>
  <Override PartName="/xl/ctrlProps/ctrlProp3528.xml" ContentType="application/vnd.ms-excel.controlproperties+xml"/>
  <Override PartName="/xl/ctrlProps/ctrlProp3529.xml" ContentType="application/vnd.ms-excel.controlproperties+xml"/>
  <Override PartName="/xl/ctrlProps/ctrlProp3530.xml" ContentType="application/vnd.ms-excel.controlproperties+xml"/>
  <Override PartName="/xl/ctrlProps/ctrlProp3531.xml" ContentType="application/vnd.ms-excel.controlproperties+xml"/>
  <Override PartName="/xl/ctrlProps/ctrlProp3532.xml" ContentType="application/vnd.ms-excel.controlproperties+xml"/>
  <Override PartName="/xl/ctrlProps/ctrlProp3533.xml" ContentType="application/vnd.ms-excel.controlproperties+xml"/>
  <Override PartName="/xl/ctrlProps/ctrlProp3534.xml" ContentType="application/vnd.ms-excel.controlproperties+xml"/>
  <Override PartName="/xl/ctrlProps/ctrlProp3535.xml" ContentType="application/vnd.ms-excel.controlproperties+xml"/>
  <Override PartName="/xl/ctrlProps/ctrlProp3536.xml" ContentType="application/vnd.ms-excel.controlproperties+xml"/>
  <Override PartName="/xl/ctrlProps/ctrlProp3537.xml" ContentType="application/vnd.ms-excel.controlproperties+xml"/>
  <Override PartName="/xl/ctrlProps/ctrlProp3538.xml" ContentType="application/vnd.ms-excel.controlproperties+xml"/>
  <Override PartName="/xl/ctrlProps/ctrlProp3539.xml" ContentType="application/vnd.ms-excel.controlproperties+xml"/>
  <Override PartName="/xl/ctrlProps/ctrlProp3540.xml" ContentType="application/vnd.ms-excel.controlproperties+xml"/>
  <Override PartName="/xl/ctrlProps/ctrlProp3541.xml" ContentType="application/vnd.ms-excel.controlproperties+xml"/>
  <Override PartName="/xl/ctrlProps/ctrlProp3542.xml" ContentType="application/vnd.ms-excel.controlproperties+xml"/>
  <Override PartName="/xl/ctrlProps/ctrlProp3543.xml" ContentType="application/vnd.ms-excel.controlproperties+xml"/>
  <Override PartName="/xl/ctrlProps/ctrlProp3544.xml" ContentType="application/vnd.ms-excel.controlproperties+xml"/>
  <Override PartName="/xl/ctrlProps/ctrlProp3545.xml" ContentType="application/vnd.ms-excel.controlproperties+xml"/>
  <Override PartName="/xl/ctrlProps/ctrlProp3546.xml" ContentType="application/vnd.ms-excel.controlproperties+xml"/>
  <Override PartName="/xl/ctrlProps/ctrlProp3547.xml" ContentType="application/vnd.ms-excel.controlproperties+xml"/>
  <Override PartName="/xl/ctrlProps/ctrlProp3548.xml" ContentType="application/vnd.ms-excel.controlproperties+xml"/>
  <Override PartName="/xl/ctrlProps/ctrlProp3549.xml" ContentType="application/vnd.ms-excel.controlproperties+xml"/>
  <Override PartName="/xl/ctrlProps/ctrlProp3550.xml" ContentType="application/vnd.ms-excel.controlproperties+xml"/>
  <Override PartName="/xl/ctrlProps/ctrlProp3551.xml" ContentType="application/vnd.ms-excel.controlproperties+xml"/>
  <Override PartName="/xl/ctrlProps/ctrlProp3552.xml" ContentType="application/vnd.ms-excel.controlproperties+xml"/>
  <Override PartName="/xl/ctrlProps/ctrlProp3553.xml" ContentType="application/vnd.ms-excel.controlproperties+xml"/>
  <Override PartName="/xl/ctrlProps/ctrlProp3554.xml" ContentType="application/vnd.ms-excel.controlproperties+xml"/>
  <Override PartName="/xl/ctrlProps/ctrlProp3555.xml" ContentType="application/vnd.ms-excel.controlproperties+xml"/>
  <Override PartName="/xl/drawings/drawing85.xml" ContentType="application/vnd.openxmlformats-officedocument.drawing+xml"/>
  <Override PartName="/xl/ctrlProps/ctrlProp3556.xml" ContentType="application/vnd.ms-excel.controlproperties+xml"/>
  <Override PartName="/xl/ctrlProps/ctrlProp3557.xml" ContentType="application/vnd.ms-excel.controlproperties+xml"/>
  <Override PartName="/xl/ctrlProps/ctrlProp3558.xml" ContentType="application/vnd.ms-excel.controlproperties+xml"/>
  <Override PartName="/xl/ctrlProps/ctrlProp3559.xml" ContentType="application/vnd.ms-excel.controlproperties+xml"/>
  <Override PartName="/xl/ctrlProps/ctrlProp3560.xml" ContentType="application/vnd.ms-excel.controlproperties+xml"/>
  <Override PartName="/xl/ctrlProps/ctrlProp3561.xml" ContentType="application/vnd.ms-excel.controlproperties+xml"/>
  <Override PartName="/xl/ctrlProps/ctrlProp3562.xml" ContentType="application/vnd.ms-excel.controlproperties+xml"/>
  <Override PartName="/xl/ctrlProps/ctrlProp3563.xml" ContentType="application/vnd.ms-excel.controlproperties+xml"/>
  <Override PartName="/xl/ctrlProps/ctrlProp3564.xml" ContentType="application/vnd.ms-excel.controlproperties+xml"/>
  <Override PartName="/xl/ctrlProps/ctrlProp3565.xml" ContentType="application/vnd.ms-excel.controlproperties+xml"/>
  <Override PartName="/xl/ctrlProps/ctrlProp3566.xml" ContentType="application/vnd.ms-excel.controlproperties+xml"/>
  <Override PartName="/xl/ctrlProps/ctrlProp3567.xml" ContentType="application/vnd.ms-excel.controlproperties+xml"/>
  <Override PartName="/xl/ctrlProps/ctrlProp3568.xml" ContentType="application/vnd.ms-excel.controlproperties+xml"/>
  <Override PartName="/xl/ctrlProps/ctrlProp3569.xml" ContentType="application/vnd.ms-excel.controlproperties+xml"/>
  <Override PartName="/xl/ctrlProps/ctrlProp3570.xml" ContentType="application/vnd.ms-excel.controlproperties+xml"/>
  <Override PartName="/xl/ctrlProps/ctrlProp3571.xml" ContentType="application/vnd.ms-excel.controlproperties+xml"/>
  <Override PartName="/xl/ctrlProps/ctrlProp3572.xml" ContentType="application/vnd.ms-excel.controlproperties+xml"/>
  <Override PartName="/xl/ctrlProps/ctrlProp3573.xml" ContentType="application/vnd.ms-excel.controlproperties+xml"/>
  <Override PartName="/xl/ctrlProps/ctrlProp3574.xml" ContentType="application/vnd.ms-excel.controlproperties+xml"/>
  <Override PartName="/xl/ctrlProps/ctrlProp3575.xml" ContentType="application/vnd.ms-excel.controlproperties+xml"/>
  <Override PartName="/xl/ctrlProps/ctrlProp3576.xml" ContentType="application/vnd.ms-excel.controlproperties+xml"/>
  <Override PartName="/xl/ctrlProps/ctrlProp3577.xml" ContentType="application/vnd.ms-excel.controlproperties+xml"/>
  <Override PartName="/xl/ctrlProps/ctrlProp3578.xml" ContentType="application/vnd.ms-excel.controlproperties+xml"/>
  <Override PartName="/xl/ctrlProps/ctrlProp3579.xml" ContentType="application/vnd.ms-excel.controlproperties+xml"/>
  <Override PartName="/xl/ctrlProps/ctrlProp3580.xml" ContentType="application/vnd.ms-excel.controlproperties+xml"/>
  <Override PartName="/xl/ctrlProps/ctrlProp3581.xml" ContentType="application/vnd.ms-excel.controlproperties+xml"/>
  <Override PartName="/xl/ctrlProps/ctrlProp3582.xml" ContentType="application/vnd.ms-excel.controlproperties+xml"/>
  <Override PartName="/xl/ctrlProps/ctrlProp3583.xml" ContentType="application/vnd.ms-excel.controlproperties+xml"/>
  <Override PartName="/xl/ctrlProps/ctrlProp3584.xml" ContentType="application/vnd.ms-excel.controlproperties+xml"/>
  <Override PartName="/xl/ctrlProps/ctrlProp3585.xml" ContentType="application/vnd.ms-excel.controlproperties+xml"/>
  <Override PartName="/xl/ctrlProps/ctrlProp3586.xml" ContentType="application/vnd.ms-excel.controlproperties+xml"/>
  <Override PartName="/xl/ctrlProps/ctrlProp3587.xml" ContentType="application/vnd.ms-excel.controlproperties+xml"/>
  <Override PartName="/xl/ctrlProps/ctrlProp3588.xml" ContentType="application/vnd.ms-excel.controlproperties+xml"/>
  <Override PartName="/xl/ctrlProps/ctrlProp3589.xml" ContentType="application/vnd.ms-excel.controlproperties+xml"/>
  <Override PartName="/xl/ctrlProps/ctrlProp3590.xml" ContentType="application/vnd.ms-excel.controlproperties+xml"/>
  <Override PartName="/xl/ctrlProps/ctrlProp3591.xml" ContentType="application/vnd.ms-excel.controlproperties+xml"/>
  <Override PartName="/xl/ctrlProps/ctrlProp3592.xml" ContentType="application/vnd.ms-excel.controlproperties+xml"/>
  <Override PartName="/xl/drawings/drawing86.xml" ContentType="application/vnd.openxmlformats-officedocument.drawing+xml"/>
  <Override PartName="/xl/ctrlProps/ctrlProp3593.xml" ContentType="application/vnd.ms-excel.controlproperties+xml"/>
  <Override PartName="/xl/ctrlProps/ctrlProp3594.xml" ContentType="application/vnd.ms-excel.controlproperties+xml"/>
  <Override PartName="/xl/ctrlProps/ctrlProp3595.xml" ContentType="application/vnd.ms-excel.controlproperties+xml"/>
  <Override PartName="/xl/ctrlProps/ctrlProp3596.xml" ContentType="application/vnd.ms-excel.controlproperties+xml"/>
  <Override PartName="/xl/ctrlProps/ctrlProp3597.xml" ContentType="application/vnd.ms-excel.controlproperties+xml"/>
  <Override PartName="/xl/ctrlProps/ctrlProp3598.xml" ContentType="application/vnd.ms-excel.controlproperties+xml"/>
  <Override PartName="/xl/ctrlProps/ctrlProp3599.xml" ContentType="application/vnd.ms-excel.controlproperties+xml"/>
  <Override PartName="/xl/ctrlProps/ctrlProp3600.xml" ContentType="application/vnd.ms-excel.controlproperties+xml"/>
  <Override PartName="/xl/ctrlProps/ctrlProp3601.xml" ContentType="application/vnd.ms-excel.controlproperties+xml"/>
  <Override PartName="/xl/ctrlProps/ctrlProp3602.xml" ContentType="application/vnd.ms-excel.controlproperties+xml"/>
  <Override PartName="/xl/ctrlProps/ctrlProp3603.xml" ContentType="application/vnd.ms-excel.controlproperties+xml"/>
  <Override PartName="/xl/ctrlProps/ctrlProp3604.xml" ContentType="application/vnd.ms-excel.controlproperties+xml"/>
  <Override PartName="/xl/ctrlProps/ctrlProp3605.xml" ContentType="application/vnd.ms-excel.controlproperties+xml"/>
  <Override PartName="/xl/ctrlProps/ctrlProp3606.xml" ContentType="application/vnd.ms-excel.controlproperties+xml"/>
  <Override PartName="/xl/ctrlProps/ctrlProp3607.xml" ContentType="application/vnd.ms-excel.controlproperties+xml"/>
  <Override PartName="/xl/ctrlProps/ctrlProp3608.xml" ContentType="application/vnd.ms-excel.controlproperties+xml"/>
  <Override PartName="/xl/ctrlProps/ctrlProp3609.xml" ContentType="application/vnd.ms-excel.controlproperties+xml"/>
  <Override PartName="/xl/ctrlProps/ctrlProp3610.xml" ContentType="application/vnd.ms-excel.controlproperties+xml"/>
  <Override PartName="/xl/ctrlProps/ctrlProp3611.xml" ContentType="application/vnd.ms-excel.controlproperties+xml"/>
  <Override PartName="/xl/ctrlProps/ctrlProp3612.xml" ContentType="application/vnd.ms-excel.controlproperties+xml"/>
  <Override PartName="/xl/ctrlProps/ctrlProp3613.xml" ContentType="application/vnd.ms-excel.controlproperties+xml"/>
  <Override PartName="/xl/ctrlProps/ctrlProp3614.xml" ContentType="application/vnd.ms-excel.controlproperties+xml"/>
  <Override PartName="/xl/ctrlProps/ctrlProp3615.xml" ContentType="application/vnd.ms-excel.controlproperties+xml"/>
  <Override PartName="/xl/ctrlProps/ctrlProp3616.xml" ContentType="application/vnd.ms-excel.controlproperties+xml"/>
  <Override PartName="/xl/ctrlProps/ctrlProp3617.xml" ContentType="application/vnd.ms-excel.controlproperties+xml"/>
  <Override PartName="/xl/ctrlProps/ctrlProp3618.xml" ContentType="application/vnd.ms-excel.controlproperties+xml"/>
  <Override PartName="/xl/ctrlProps/ctrlProp3619.xml" ContentType="application/vnd.ms-excel.controlproperties+xml"/>
  <Override PartName="/xl/ctrlProps/ctrlProp3620.xml" ContentType="application/vnd.ms-excel.controlproperties+xml"/>
  <Override PartName="/xl/ctrlProps/ctrlProp3621.xml" ContentType="application/vnd.ms-excel.controlproperties+xml"/>
  <Override PartName="/xl/ctrlProps/ctrlProp3622.xml" ContentType="application/vnd.ms-excel.controlproperties+xml"/>
  <Override PartName="/xl/ctrlProps/ctrlProp3623.xml" ContentType="application/vnd.ms-excel.controlproperties+xml"/>
  <Override PartName="/xl/ctrlProps/ctrlProp3624.xml" ContentType="application/vnd.ms-excel.controlproperties+xml"/>
  <Override PartName="/xl/ctrlProps/ctrlProp3625.xml" ContentType="application/vnd.ms-excel.controlproperties+xml"/>
  <Override PartName="/xl/ctrlProps/ctrlProp3626.xml" ContentType="application/vnd.ms-excel.controlproperties+xml"/>
  <Override PartName="/xl/ctrlProps/ctrlProp3627.xml" ContentType="application/vnd.ms-excel.controlproperties+xml"/>
  <Override PartName="/xl/ctrlProps/ctrlProp3628.xml" ContentType="application/vnd.ms-excel.controlproperties+xml"/>
  <Override PartName="/xl/ctrlProps/ctrlProp3629.xml" ContentType="application/vnd.ms-excel.controlproperties+xml"/>
  <Override PartName="/xl/drawings/drawing87.xml" ContentType="application/vnd.openxmlformats-officedocument.drawing+xml"/>
  <Override PartName="/xl/ctrlProps/ctrlProp3630.xml" ContentType="application/vnd.ms-excel.controlproperties+xml"/>
  <Override PartName="/xl/ctrlProps/ctrlProp3631.xml" ContentType="application/vnd.ms-excel.controlproperties+xml"/>
  <Override PartName="/xl/ctrlProps/ctrlProp3632.xml" ContentType="application/vnd.ms-excel.controlproperties+xml"/>
  <Override PartName="/xl/ctrlProps/ctrlProp3633.xml" ContentType="application/vnd.ms-excel.controlproperties+xml"/>
  <Override PartName="/xl/ctrlProps/ctrlProp3634.xml" ContentType="application/vnd.ms-excel.controlproperties+xml"/>
  <Override PartName="/xl/ctrlProps/ctrlProp3635.xml" ContentType="application/vnd.ms-excel.controlproperties+xml"/>
  <Override PartName="/xl/ctrlProps/ctrlProp3636.xml" ContentType="application/vnd.ms-excel.controlproperties+xml"/>
  <Override PartName="/xl/ctrlProps/ctrlProp3637.xml" ContentType="application/vnd.ms-excel.controlproperties+xml"/>
  <Override PartName="/xl/ctrlProps/ctrlProp3638.xml" ContentType="application/vnd.ms-excel.controlproperties+xml"/>
  <Override PartName="/xl/ctrlProps/ctrlProp3639.xml" ContentType="application/vnd.ms-excel.controlproperties+xml"/>
  <Override PartName="/xl/ctrlProps/ctrlProp3640.xml" ContentType="application/vnd.ms-excel.controlproperties+xml"/>
  <Override PartName="/xl/ctrlProps/ctrlProp3641.xml" ContentType="application/vnd.ms-excel.controlproperties+xml"/>
  <Override PartName="/xl/ctrlProps/ctrlProp3642.xml" ContentType="application/vnd.ms-excel.controlproperties+xml"/>
  <Override PartName="/xl/ctrlProps/ctrlProp3643.xml" ContentType="application/vnd.ms-excel.controlproperties+xml"/>
  <Override PartName="/xl/ctrlProps/ctrlProp3644.xml" ContentType="application/vnd.ms-excel.controlproperties+xml"/>
  <Override PartName="/xl/ctrlProps/ctrlProp3645.xml" ContentType="application/vnd.ms-excel.controlproperties+xml"/>
  <Override PartName="/xl/ctrlProps/ctrlProp3646.xml" ContentType="application/vnd.ms-excel.controlproperties+xml"/>
  <Override PartName="/xl/ctrlProps/ctrlProp3647.xml" ContentType="application/vnd.ms-excel.controlproperties+xml"/>
  <Override PartName="/xl/ctrlProps/ctrlProp3648.xml" ContentType="application/vnd.ms-excel.controlproperties+xml"/>
  <Override PartName="/xl/ctrlProps/ctrlProp3649.xml" ContentType="application/vnd.ms-excel.controlproperties+xml"/>
  <Override PartName="/xl/ctrlProps/ctrlProp3650.xml" ContentType="application/vnd.ms-excel.controlproperties+xml"/>
  <Override PartName="/xl/ctrlProps/ctrlProp3651.xml" ContentType="application/vnd.ms-excel.controlproperties+xml"/>
  <Override PartName="/xl/ctrlProps/ctrlProp3652.xml" ContentType="application/vnd.ms-excel.controlproperties+xml"/>
  <Override PartName="/xl/ctrlProps/ctrlProp3653.xml" ContentType="application/vnd.ms-excel.controlproperties+xml"/>
  <Override PartName="/xl/ctrlProps/ctrlProp3654.xml" ContentType="application/vnd.ms-excel.controlproperties+xml"/>
  <Override PartName="/xl/ctrlProps/ctrlProp3655.xml" ContentType="application/vnd.ms-excel.controlproperties+xml"/>
  <Override PartName="/xl/ctrlProps/ctrlProp3656.xml" ContentType="application/vnd.ms-excel.controlproperties+xml"/>
  <Override PartName="/xl/ctrlProps/ctrlProp3657.xml" ContentType="application/vnd.ms-excel.controlproperties+xml"/>
  <Override PartName="/xl/ctrlProps/ctrlProp3658.xml" ContentType="application/vnd.ms-excel.controlproperties+xml"/>
  <Override PartName="/xl/ctrlProps/ctrlProp3659.xml" ContentType="application/vnd.ms-excel.controlproperties+xml"/>
  <Override PartName="/xl/ctrlProps/ctrlProp3660.xml" ContentType="application/vnd.ms-excel.controlproperties+xml"/>
  <Override PartName="/xl/ctrlProps/ctrlProp3661.xml" ContentType="application/vnd.ms-excel.controlproperties+xml"/>
  <Override PartName="/xl/ctrlProps/ctrlProp3662.xml" ContentType="application/vnd.ms-excel.controlproperties+xml"/>
  <Override PartName="/xl/ctrlProps/ctrlProp3663.xml" ContentType="application/vnd.ms-excel.controlproperties+xml"/>
  <Override PartName="/xl/ctrlProps/ctrlProp3664.xml" ContentType="application/vnd.ms-excel.controlproperties+xml"/>
  <Override PartName="/xl/ctrlProps/ctrlProp3665.xml" ContentType="application/vnd.ms-excel.controlproperties+xml"/>
  <Override PartName="/xl/ctrlProps/ctrlProp3666.xml" ContentType="application/vnd.ms-excel.controlproperties+xml"/>
  <Override PartName="/xl/drawings/drawing88.xml" ContentType="application/vnd.openxmlformats-officedocument.drawing+xml"/>
  <Override PartName="/xl/ctrlProps/ctrlProp3667.xml" ContentType="application/vnd.ms-excel.controlproperties+xml"/>
  <Override PartName="/xl/ctrlProps/ctrlProp3668.xml" ContentType="application/vnd.ms-excel.controlproperties+xml"/>
  <Override PartName="/xl/ctrlProps/ctrlProp3669.xml" ContentType="application/vnd.ms-excel.controlproperties+xml"/>
  <Override PartName="/xl/ctrlProps/ctrlProp3670.xml" ContentType="application/vnd.ms-excel.controlproperties+xml"/>
  <Override PartName="/xl/ctrlProps/ctrlProp3671.xml" ContentType="application/vnd.ms-excel.controlproperties+xml"/>
  <Override PartName="/xl/ctrlProps/ctrlProp3672.xml" ContentType="application/vnd.ms-excel.controlproperties+xml"/>
  <Override PartName="/xl/ctrlProps/ctrlProp3673.xml" ContentType="application/vnd.ms-excel.controlproperties+xml"/>
  <Override PartName="/xl/ctrlProps/ctrlProp3674.xml" ContentType="application/vnd.ms-excel.controlproperties+xml"/>
  <Override PartName="/xl/ctrlProps/ctrlProp3675.xml" ContentType="application/vnd.ms-excel.controlproperties+xml"/>
  <Override PartName="/xl/ctrlProps/ctrlProp3676.xml" ContentType="application/vnd.ms-excel.controlproperties+xml"/>
  <Override PartName="/xl/ctrlProps/ctrlProp3677.xml" ContentType="application/vnd.ms-excel.controlproperties+xml"/>
  <Override PartName="/xl/ctrlProps/ctrlProp3678.xml" ContentType="application/vnd.ms-excel.controlproperties+xml"/>
  <Override PartName="/xl/ctrlProps/ctrlProp3679.xml" ContentType="application/vnd.ms-excel.controlproperties+xml"/>
  <Override PartName="/xl/ctrlProps/ctrlProp3680.xml" ContentType="application/vnd.ms-excel.controlproperties+xml"/>
  <Override PartName="/xl/ctrlProps/ctrlProp3681.xml" ContentType="application/vnd.ms-excel.controlproperties+xml"/>
  <Override PartName="/xl/ctrlProps/ctrlProp3682.xml" ContentType="application/vnd.ms-excel.controlproperties+xml"/>
  <Override PartName="/xl/ctrlProps/ctrlProp3683.xml" ContentType="application/vnd.ms-excel.controlproperties+xml"/>
  <Override PartName="/xl/ctrlProps/ctrlProp3684.xml" ContentType="application/vnd.ms-excel.controlproperties+xml"/>
  <Override PartName="/xl/ctrlProps/ctrlProp3685.xml" ContentType="application/vnd.ms-excel.controlproperties+xml"/>
  <Override PartName="/xl/ctrlProps/ctrlProp3686.xml" ContentType="application/vnd.ms-excel.controlproperties+xml"/>
  <Override PartName="/xl/ctrlProps/ctrlProp3687.xml" ContentType="application/vnd.ms-excel.controlproperties+xml"/>
  <Override PartName="/xl/ctrlProps/ctrlProp3688.xml" ContentType="application/vnd.ms-excel.controlproperties+xml"/>
  <Override PartName="/xl/ctrlProps/ctrlProp3689.xml" ContentType="application/vnd.ms-excel.controlproperties+xml"/>
  <Override PartName="/xl/ctrlProps/ctrlProp3690.xml" ContentType="application/vnd.ms-excel.controlproperties+xml"/>
  <Override PartName="/xl/ctrlProps/ctrlProp3691.xml" ContentType="application/vnd.ms-excel.controlproperties+xml"/>
  <Override PartName="/xl/ctrlProps/ctrlProp3692.xml" ContentType="application/vnd.ms-excel.controlproperties+xml"/>
  <Override PartName="/xl/ctrlProps/ctrlProp3693.xml" ContentType="application/vnd.ms-excel.controlproperties+xml"/>
  <Override PartName="/xl/ctrlProps/ctrlProp3694.xml" ContentType="application/vnd.ms-excel.controlproperties+xml"/>
  <Override PartName="/xl/ctrlProps/ctrlProp3695.xml" ContentType="application/vnd.ms-excel.controlproperties+xml"/>
  <Override PartName="/xl/ctrlProps/ctrlProp3696.xml" ContentType="application/vnd.ms-excel.controlproperties+xml"/>
  <Override PartName="/xl/ctrlProps/ctrlProp3697.xml" ContentType="application/vnd.ms-excel.controlproperties+xml"/>
  <Override PartName="/xl/ctrlProps/ctrlProp3698.xml" ContentType="application/vnd.ms-excel.controlproperties+xml"/>
  <Override PartName="/xl/ctrlProps/ctrlProp3699.xml" ContentType="application/vnd.ms-excel.controlproperties+xml"/>
  <Override PartName="/xl/ctrlProps/ctrlProp3700.xml" ContentType="application/vnd.ms-excel.controlproperties+xml"/>
  <Override PartName="/xl/ctrlProps/ctrlProp3701.xml" ContentType="application/vnd.ms-excel.controlproperties+xml"/>
  <Override PartName="/xl/ctrlProps/ctrlProp3702.xml" ContentType="application/vnd.ms-excel.controlproperties+xml"/>
  <Override PartName="/xl/ctrlProps/ctrlProp3703.xml" ContentType="application/vnd.ms-excel.controlproperties+xml"/>
  <Override PartName="/xl/drawings/drawing89.xml" ContentType="application/vnd.openxmlformats-officedocument.drawing+xml"/>
  <Override PartName="/xl/ctrlProps/ctrlProp3704.xml" ContentType="application/vnd.ms-excel.controlproperties+xml"/>
  <Override PartName="/xl/ctrlProps/ctrlProp3705.xml" ContentType="application/vnd.ms-excel.controlproperties+xml"/>
  <Override PartName="/xl/ctrlProps/ctrlProp3706.xml" ContentType="application/vnd.ms-excel.controlproperties+xml"/>
  <Override PartName="/xl/ctrlProps/ctrlProp3707.xml" ContentType="application/vnd.ms-excel.controlproperties+xml"/>
  <Override PartName="/xl/ctrlProps/ctrlProp3708.xml" ContentType="application/vnd.ms-excel.controlproperties+xml"/>
  <Override PartName="/xl/ctrlProps/ctrlProp3709.xml" ContentType="application/vnd.ms-excel.controlproperties+xml"/>
  <Override PartName="/xl/ctrlProps/ctrlProp3710.xml" ContentType="application/vnd.ms-excel.controlproperties+xml"/>
  <Override PartName="/xl/ctrlProps/ctrlProp3711.xml" ContentType="application/vnd.ms-excel.controlproperties+xml"/>
  <Override PartName="/xl/ctrlProps/ctrlProp3712.xml" ContentType="application/vnd.ms-excel.controlproperties+xml"/>
  <Override PartName="/xl/ctrlProps/ctrlProp3713.xml" ContentType="application/vnd.ms-excel.controlproperties+xml"/>
  <Override PartName="/xl/ctrlProps/ctrlProp3714.xml" ContentType="application/vnd.ms-excel.controlproperties+xml"/>
  <Override PartName="/xl/ctrlProps/ctrlProp3715.xml" ContentType="application/vnd.ms-excel.controlproperties+xml"/>
  <Override PartName="/xl/ctrlProps/ctrlProp3716.xml" ContentType="application/vnd.ms-excel.controlproperties+xml"/>
  <Override PartName="/xl/ctrlProps/ctrlProp3717.xml" ContentType="application/vnd.ms-excel.controlproperties+xml"/>
  <Override PartName="/xl/ctrlProps/ctrlProp3718.xml" ContentType="application/vnd.ms-excel.controlproperties+xml"/>
  <Override PartName="/xl/ctrlProps/ctrlProp3719.xml" ContentType="application/vnd.ms-excel.controlproperties+xml"/>
  <Override PartName="/xl/ctrlProps/ctrlProp3720.xml" ContentType="application/vnd.ms-excel.controlproperties+xml"/>
  <Override PartName="/xl/ctrlProps/ctrlProp3721.xml" ContentType="application/vnd.ms-excel.controlproperties+xml"/>
  <Override PartName="/xl/ctrlProps/ctrlProp3722.xml" ContentType="application/vnd.ms-excel.controlproperties+xml"/>
  <Override PartName="/xl/ctrlProps/ctrlProp3723.xml" ContentType="application/vnd.ms-excel.controlproperties+xml"/>
  <Override PartName="/xl/ctrlProps/ctrlProp3724.xml" ContentType="application/vnd.ms-excel.controlproperties+xml"/>
  <Override PartName="/xl/ctrlProps/ctrlProp3725.xml" ContentType="application/vnd.ms-excel.controlproperties+xml"/>
  <Override PartName="/xl/ctrlProps/ctrlProp3726.xml" ContentType="application/vnd.ms-excel.controlproperties+xml"/>
  <Override PartName="/xl/ctrlProps/ctrlProp3727.xml" ContentType="application/vnd.ms-excel.controlproperties+xml"/>
  <Override PartName="/xl/ctrlProps/ctrlProp3728.xml" ContentType="application/vnd.ms-excel.controlproperties+xml"/>
  <Override PartName="/xl/ctrlProps/ctrlProp3729.xml" ContentType="application/vnd.ms-excel.controlproperties+xml"/>
  <Override PartName="/xl/ctrlProps/ctrlProp3730.xml" ContentType="application/vnd.ms-excel.controlproperties+xml"/>
  <Override PartName="/xl/ctrlProps/ctrlProp3731.xml" ContentType="application/vnd.ms-excel.controlproperties+xml"/>
  <Override PartName="/xl/ctrlProps/ctrlProp3732.xml" ContentType="application/vnd.ms-excel.controlproperties+xml"/>
  <Override PartName="/xl/ctrlProps/ctrlProp3733.xml" ContentType="application/vnd.ms-excel.controlproperties+xml"/>
  <Override PartName="/xl/ctrlProps/ctrlProp3734.xml" ContentType="application/vnd.ms-excel.controlproperties+xml"/>
  <Override PartName="/xl/ctrlProps/ctrlProp3735.xml" ContentType="application/vnd.ms-excel.controlproperties+xml"/>
  <Override PartName="/xl/ctrlProps/ctrlProp3736.xml" ContentType="application/vnd.ms-excel.controlproperties+xml"/>
  <Override PartName="/xl/ctrlProps/ctrlProp3737.xml" ContentType="application/vnd.ms-excel.controlproperties+xml"/>
  <Override PartName="/xl/ctrlProps/ctrlProp3738.xml" ContentType="application/vnd.ms-excel.controlproperties+xml"/>
  <Override PartName="/xl/ctrlProps/ctrlProp3739.xml" ContentType="application/vnd.ms-excel.controlproperties+xml"/>
  <Override PartName="/xl/ctrlProps/ctrlProp3740.xml" ContentType="application/vnd.ms-excel.controlproperties+xml"/>
  <Override PartName="/xl/drawings/drawing90.xml" ContentType="application/vnd.openxmlformats-officedocument.drawing+xml"/>
  <Override PartName="/xl/ctrlProps/ctrlProp3741.xml" ContentType="application/vnd.ms-excel.controlproperties+xml"/>
  <Override PartName="/xl/ctrlProps/ctrlProp3742.xml" ContentType="application/vnd.ms-excel.controlproperties+xml"/>
  <Override PartName="/xl/ctrlProps/ctrlProp3743.xml" ContentType="application/vnd.ms-excel.controlproperties+xml"/>
  <Override PartName="/xl/ctrlProps/ctrlProp3744.xml" ContentType="application/vnd.ms-excel.controlproperties+xml"/>
  <Override PartName="/xl/ctrlProps/ctrlProp3745.xml" ContentType="application/vnd.ms-excel.controlproperties+xml"/>
  <Override PartName="/xl/ctrlProps/ctrlProp3746.xml" ContentType="application/vnd.ms-excel.controlproperties+xml"/>
  <Override PartName="/xl/ctrlProps/ctrlProp3747.xml" ContentType="application/vnd.ms-excel.controlproperties+xml"/>
  <Override PartName="/xl/ctrlProps/ctrlProp3748.xml" ContentType="application/vnd.ms-excel.controlproperties+xml"/>
  <Override PartName="/xl/ctrlProps/ctrlProp3749.xml" ContentType="application/vnd.ms-excel.controlproperties+xml"/>
  <Override PartName="/xl/ctrlProps/ctrlProp3750.xml" ContentType="application/vnd.ms-excel.controlproperties+xml"/>
  <Override PartName="/xl/ctrlProps/ctrlProp3751.xml" ContentType="application/vnd.ms-excel.controlproperties+xml"/>
  <Override PartName="/xl/ctrlProps/ctrlProp3752.xml" ContentType="application/vnd.ms-excel.controlproperties+xml"/>
  <Override PartName="/xl/ctrlProps/ctrlProp3753.xml" ContentType="application/vnd.ms-excel.controlproperties+xml"/>
  <Override PartName="/xl/ctrlProps/ctrlProp3754.xml" ContentType="application/vnd.ms-excel.controlproperties+xml"/>
  <Override PartName="/xl/ctrlProps/ctrlProp3755.xml" ContentType="application/vnd.ms-excel.controlproperties+xml"/>
  <Override PartName="/xl/ctrlProps/ctrlProp3756.xml" ContentType="application/vnd.ms-excel.controlproperties+xml"/>
  <Override PartName="/xl/ctrlProps/ctrlProp3757.xml" ContentType="application/vnd.ms-excel.controlproperties+xml"/>
  <Override PartName="/xl/ctrlProps/ctrlProp3758.xml" ContentType="application/vnd.ms-excel.controlproperties+xml"/>
  <Override PartName="/xl/ctrlProps/ctrlProp3759.xml" ContentType="application/vnd.ms-excel.controlproperties+xml"/>
  <Override PartName="/xl/ctrlProps/ctrlProp3760.xml" ContentType="application/vnd.ms-excel.controlproperties+xml"/>
  <Override PartName="/xl/ctrlProps/ctrlProp3761.xml" ContentType="application/vnd.ms-excel.controlproperties+xml"/>
  <Override PartName="/xl/ctrlProps/ctrlProp3762.xml" ContentType="application/vnd.ms-excel.controlproperties+xml"/>
  <Override PartName="/xl/ctrlProps/ctrlProp3763.xml" ContentType="application/vnd.ms-excel.controlproperties+xml"/>
  <Override PartName="/xl/ctrlProps/ctrlProp3764.xml" ContentType="application/vnd.ms-excel.controlproperties+xml"/>
  <Override PartName="/xl/ctrlProps/ctrlProp3765.xml" ContentType="application/vnd.ms-excel.controlproperties+xml"/>
  <Override PartName="/xl/ctrlProps/ctrlProp3766.xml" ContentType="application/vnd.ms-excel.controlproperties+xml"/>
  <Override PartName="/xl/ctrlProps/ctrlProp3767.xml" ContentType="application/vnd.ms-excel.controlproperties+xml"/>
  <Override PartName="/xl/ctrlProps/ctrlProp3768.xml" ContentType="application/vnd.ms-excel.controlproperties+xml"/>
  <Override PartName="/xl/ctrlProps/ctrlProp3769.xml" ContentType="application/vnd.ms-excel.controlproperties+xml"/>
  <Override PartName="/xl/ctrlProps/ctrlProp3770.xml" ContentType="application/vnd.ms-excel.controlproperties+xml"/>
  <Override PartName="/xl/ctrlProps/ctrlProp3771.xml" ContentType="application/vnd.ms-excel.controlproperties+xml"/>
  <Override PartName="/xl/ctrlProps/ctrlProp3772.xml" ContentType="application/vnd.ms-excel.controlproperties+xml"/>
  <Override PartName="/xl/ctrlProps/ctrlProp3773.xml" ContentType="application/vnd.ms-excel.controlproperties+xml"/>
  <Override PartName="/xl/ctrlProps/ctrlProp3774.xml" ContentType="application/vnd.ms-excel.controlproperties+xml"/>
  <Override PartName="/xl/ctrlProps/ctrlProp3775.xml" ContentType="application/vnd.ms-excel.controlproperties+xml"/>
  <Override PartName="/xl/ctrlProps/ctrlProp3776.xml" ContentType="application/vnd.ms-excel.controlproperties+xml"/>
  <Override PartName="/xl/ctrlProps/ctrlProp3777.xml" ContentType="application/vnd.ms-excel.controlproperties+xml"/>
  <Override PartName="/xl/drawings/drawing91.xml" ContentType="application/vnd.openxmlformats-officedocument.drawing+xml"/>
  <Override PartName="/xl/ctrlProps/ctrlProp3778.xml" ContentType="application/vnd.ms-excel.controlproperties+xml"/>
  <Override PartName="/xl/ctrlProps/ctrlProp3779.xml" ContentType="application/vnd.ms-excel.controlproperties+xml"/>
  <Override PartName="/xl/ctrlProps/ctrlProp3780.xml" ContentType="application/vnd.ms-excel.controlproperties+xml"/>
  <Override PartName="/xl/ctrlProps/ctrlProp3781.xml" ContentType="application/vnd.ms-excel.controlproperties+xml"/>
  <Override PartName="/xl/ctrlProps/ctrlProp3782.xml" ContentType="application/vnd.ms-excel.controlproperties+xml"/>
  <Override PartName="/xl/ctrlProps/ctrlProp3783.xml" ContentType="application/vnd.ms-excel.controlproperties+xml"/>
  <Override PartName="/xl/ctrlProps/ctrlProp3784.xml" ContentType="application/vnd.ms-excel.controlproperties+xml"/>
  <Override PartName="/xl/ctrlProps/ctrlProp3785.xml" ContentType="application/vnd.ms-excel.controlproperties+xml"/>
  <Override PartName="/xl/ctrlProps/ctrlProp3786.xml" ContentType="application/vnd.ms-excel.controlproperties+xml"/>
  <Override PartName="/xl/ctrlProps/ctrlProp3787.xml" ContentType="application/vnd.ms-excel.controlproperties+xml"/>
  <Override PartName="/xl/ctrlProps/ctrlProp3788.xml" ContentType="application/vnd.ms-excel.controlproperties+xml"/>
  <Override PartName="/xl/ctrlProps/ctrlProp3789.xml" ContentType="application/vnd.ms-excel.controlproperties+xml"/>
  <Override PartName="/xl/ctrlProps/ctrlProp3790.xml" ContentType="application/vnd.ms-excel.controlproperties+xml"/>
  <Override PartName="/xl/ctrlProps/ctrlProp3791.xml" ContentType="application/vnd.ms-excel.controlproperties+xml"/>
  <Override PartName="/xl/ctrlProps/ctrlProp3792.xml" ContentType="application/vnd.ms-excel.controlproperties+xml"/>
  <Override PartName="/xl/ctrlProps/ctrlProp3793.xml" ContentType="application/vnd.ms-excel.controlproperties+xml"/>
  <Override PartName="/xl/ctrlProps/ctrlProp3794.xml" ContentType="application/vnd.ms-excel.controlproperties+xml"/>
  <Override PartName="/xl/ctrlProps/ctrlProp3795.xml" ContentType="application/vnd.ms-excel.controlproperties+xml"/>
  <Override PartName="/xl/ctrlProps/ctrlProp3796.xml" ContentType="application/vnd.ms-excel.controlproperties+xml"/>
  <Override PartName="/xl/ctrlProps/ctrlProp3797.xml" ContentType="application/vnd.ms-excel.controlproperties+xml"/>
  <Override PartName="/xl/ctrlProps/ctrlProp3798.xml" ContentType="application/vnd.ms-excel.controlproperties+xml"/>
  <Override PartName="/xl/ctrlProps/ctrlProp3799.xml" ContentType="application/vnd.ms-excel.controlproperties+xml"/>
  <Override PartName="/xl/ctrlProps/ctrlProp3800.xml" ContentType="application/vnd.ms-excel.controlproperties+xml"/>
  <Override PartName="/xl/ctrlProps/ctrlProp3801.xml" ContentType="application/vnd.ms-excel.controlproperties+xml"/>
  <Override PartName="/xl/ctrlProps/ctrlProp3802.xml" ContentType="application/vnd.ms-excel.controlproperties+xml"/>
  <Override PartName="/xl/ctrlProps/ctrlProp3803.xml" ContentType="application/vnd.ms-excel.controlproperties+xml"/>
  <Override PartName="/xl/ctrlProps/ctrlProp3804.xml" ContentType="application/vnd.ms-excel.controlproperties+xml"/>
  <Override PartName="/xl/ctrlProps/ctrlProp3805.xml" ContentType="application/vnd.ms-excel.controlproperties+xml"/>
  <Override PartName="/xl/ctrlProps/ctrlProp3806.xml" ContentType="application/vnd.ms-excel.controlproperties+xml"/>
  <Override PartName="/xl/ctrlProps/ctrlProp3807.xml" ContentType="application/vnd.ms-excel.controlproperties+xml"/>
  <Override PartName="/xl/ctrlProps/ctrlProp3808.xml" ContentType="application/vnd.ms-excel.controlproperties+xml"/>
  <Override PartName="/xl/ctrlProps/ctrlProp3809.xml" ContentType="application/vnd.ms-excel.controlproperties+xml"/>
  <Override PartName="/xl/ctrlProps/ctrlProp3810.xml" ContentType="application/vnd.ms-excel.controlproperties+xml"/>
  <Override PartName="/xl/ctrlProps/ctrlProp3811.xml" ContentType="application/vnd.ms-excel.controlproperties+xml"/>
  <Override PartName="/xl/ctrlProps/ctrlProp3812.xml" ContentType="application/vnd.ms-excel.controlproperties+xml"/>
  <Override PartName="/xl/ctrlProps/ctrlProp3813.xml" ContentType="application/vnd.ms-excel.controlproperties+xml"/>
  <Override PartName="/xl/ctrlProps/ctrlProp3814.xml" ContentType="application/vnd.ms-excel.controlproperties+xml"/>
  <Override PartName="/xl/drawings/drawing92.xml" ContentType="application/vnd.openxmlformats-officedocument.drawing+xml"/>
  <Override PartName="/xl/ctrlProps/ctrlProp3815.xml" ContentType="application/vnd.ms-excel.controlproperties+xml"/>
  <Override PartName="/xl/ctrlProps/ctrlProp3816.xml" ContentType="application/vnd.ms-excel.controlproperties+xml"/>
  <Override PartName="/xl/ctrlProps/ctrlProp3817.xml" ContentType="application/vnd.ms-excel.controlproperties+xml"/>
  <Override PartName="/xl/ctrlProps/ctrlProp3818.xml" ContentType="application/vnd.ms-excel.controlproperties+xml"/>
  <Override PartName="/xl/ctrlProps/ctrlProp3819.xml" ContentType="application/vnd.ms-excel.controlproperties+xml"/>
  <Override PartName="/xl/ctrlProps/ctrlProp3820.xml" ContentType="application/vnd.ms-excel.controlproperties+xml"/>
  <Override PartName="/xl/ctrlProps/ctrlProp3821.xml" ContentType="application/vnd.ms-excel.controlproperties+xml"/>
  <Override PartName="/xl/ctrlProps/ctrlProp3822.xml" ContentType="application/vnd.ms-excel.controlproperties+xml"/>
  <Override PartName="/xl/ctrlProps/ctrlProp3823.xml" ContentType="application/vnd.ms-excel.controlproperties+xml"/>
  <Override PartName="/xl/ctrlProps/ctrlProp3824.xml" ContentType="application/vnd.ms-excel.controlproperties+xml"/>
  <Override PartName="/xl/ctrlProps/ctrlProp3825.xml" ContentType="application/vnd.ms-excel.controlproperties+xml"/>
  <Override PartName="/xl/ctrlProps/ctrlProp3826.xml" ContentType="application/vnd.ms-excel.controlproperties+xml"/>
  <Override PartName="/xl/ctrlProps/ctrlProp3827.xml" ContentType="application/vnd.ms-excel.controlproperties+xml"/>
  <Override PartName="/xl/ctrlProps/ctrlProp3828.xml" ContentType="application/vnd.ms-excel.controlproperties+xml"/>
  <Override PartName="/xl/ctrlProps/ctrlProp3829.xml" ContentType="application/vnd.ms-excel.controlproperties+xml"/>
  <Override PartName="/xl/ctrlProps/ctrlProp3830.xml" ContentType="application/vnd.ms-excel.controlproperties+xml"/>
  <Override PartName="/xl/ctrlProps/ctrlProp3831.xml" ContentType="application/vnd.ms-excel.controlproperties+xml"/>
  <Override PartName="/xl/ctrlProps/ctrlProp3832.xml" ContentType="application/vnd.ms-excel.controlproperties+xml"/>
  <Override PartName="/xl/ctrlProps/ctrlProp3833.xml" ContentType="application/vnd.ms-excel.controlproperties+xml"/>
  <Override PartName="/xl/ctrlProps/ctrlProp3834.xml" ContentType="application/vnd.ms-excel.controlproperties+xml"/>
  <Override PartName="/xl/ctrlProps/ctrlProp3835.xml" ContentType="application/vnd.ms-excel.controlproperties+xml"/>
  <Override PartName="/xl/ctrlProps/ctrlProp3836.xml" ContentType="application/vnd.ms-excel.controlproperties+xml"/>
  <Override PartName="/xl/ctrlProps/ctrlProp3837.xml" ContentType="application/vnd.ms-excel.controlproperties+xml"/>
  <Override PartName="/xl/ctrlProps/ctrlProp3838.xml" ContentType="application/vnd.ms-excel.controlproperties+xml"/>
  <Override PartName="/xl/ctrlProps/ctrlProp3839.xml" ContentType="application/vnd.ms-excel.controlproperties+xml"/>
  <Override PartName="/xl/ctrlProps/ctrlProp3840.xml" ContentType="application/vnd.ms-excel.controlproperties+xml"/>
  <Override PartName="/xl/ctrlProps/ctrlProp3841.xml" ContentType="application/vnd.ms-excel.controlproperties+xml"/>
  <Override PartName="/xl/ctrlProps/ctrlProp3842.xml" ContentType="application/vnd.ms-excel.controlproperties+xml"/>
  <Override PartName="/xl/ctrlProps/ctrlProp3843.xml" ContentType="application/vnd.ms-excel.controlproperties+xml"/>
  <Override PartName="/xl/ctrlProps/ctrlProp3844.xml" ContentType="application/vnd.ms-excel.controlproperties+xml"/>
  <Override PartName="/xl/ctrlProps/ctrlProp3845.xml" ContentType="application/vnd.ms-excel.controlproperties+xml"/>
  <Override PartName="/xl/ctrlProps/ctrlProp3846.xml" ContentType="application/vnd.ms-excel.controlproperties+xml"/>
  <Override PartName="/xl/ctrlProps/ctrlProp3847.xml" ContentType="application/vnd.ms-excel.controlproperties+xml"/>
  <Override PartName="/xl/ctrlProps/ctrlProp3848.xml" ContentType="application/vnd.ms-excel.controlproperties+xml"/>
  <Override PartName="/xl/ctrlProps/ctrlProp3849.xml" ContentType="application/vnd.ms-excel.controlproperties+xml"/>
  <Override PartName="/xl/ctrlProps/ctrlProp3850.xml" ContentType="application/vnd.ms-excel.controlproperties+xml"/>
  <Override PartName="/xl/ctrlProps/ctrlProp3851.xml" ContentType="application/vnd.ms-excel.controlproperties+xml"/>
  <Override PartName="/xl/drawings/drawing93.xml" ContentType="application/vnd.openxmlformats-officedocument.drawing+xml"/>
  <Override PartName="/xl/ctrlProps/ctrlProp3852.xml" ContentType="application/vnd.ms-excel.controlproperties+xml"/>
  <Override PartName="/xl/ctrlProps/ctrlProp3853.xml" ContentType="application/vnd.ms-excel.controlproperties+xml"/>
  <Override PartName="/xl/ctrlProps/ctrlProp3854.xml" ContentType="application/vnd.ms-excel.controlproperties+xml"/>
  <Override PartName="/xl/ctrlProps/ctrlProp3855.xml" ContentType="application/vnd.ms-excel.controlproperties+xml"/>
  <Override PartName="/xl/ctrlProps/ctrlProp3856.xml" ContentType="application/vnd.ms-excel.controlproperties+xml"/>
  <Override PartName="/xl/ctrlProps/ctrlProp3857.xml" ContentType="application/vnd.ms-excel.controlproperties+xml"/>
  <Override PartName="/xl/ctrlProps/ctrlProp3858.xml" ContentType="application/vnd.ms-excel.controlproperties+xml"/>
  <Override PartName="/xl/ctrlProps/ctrlProp3859.xml" ContentType="application/vnd.ms-excel.controlproperties+xml"/>
  <Override PartName="/xl/ctrlProps/ctrlProp3860.xml" ContentType="application/vnd.ms-excel.controlproperties+xml"/>
  <Override PartName="/xl/ctrlProps/ctrlProp3861.xml" ContentType="application/vnd.ms-excel.controlproperties+xml"/>
  <Override PartName="/xl/ctrlProps/ctrlProp3862.xml" ContentType="application/vnd.ms-excel.controlproperties+xml"/>
  <Override PartName="/xl/ctrlProps/ctrlProp3863.xml" ContentType="application/vnd.ms-excel.controlproperties+xml"/>
  <Override PartName="/xl/ctrlProps/ctrlProp3864.xml" ContentType="application/vnd.ms-excel.controlproperties+xml"/>
  <Override PartName="/xl/ctrlProps/ctrlProp3865.xml" ContentType="application/vnd.ms-excel.controlproperties+xml"/>
  <Override PartName="/xl/ctrlProps/ctrlProp3866.xml" ContentType="application/vnd.ms-excel.controlproperties+xml"/>
  <Override PartName="/xl/ctrlProps/ctrlProp3867.xml" ContentType="application/vnd.ms-excel.controlproperties+xml"/>
  <Override PartName="/xl/ctrlProps/ctrlProp3868.xml" ContentType="application/vnd.ms-excel.controlproperties+xml"/>
  <Override PartName="/xl/ctrlProps/ctrlProp3869.xml" ContentType="application/vnd.ms-excel.controlproperties+xml"/>
  <Override PartName="/xl/ctrlProps/ctrlProp3870.xml" ContentType="application/vnd.ms-excel.controlproperties+xml"/>
  <Override PartName="/xl/ctrlProps/ctrlProp3871.xml" ContentType="application/vnd.ms-excel.controlproperties+xml"/>
  <Override PartName="/xl/ctrlProps/ctrlProp3872.xml" ContentType="application/vnd.ms-excel.controlproperties+xml"/>
  <Override PartName="/xl/ctrlProps/ctrlProp3873.xml" ContentType="application/vnd.ms-excel.controlproperties+xml"/>
  <Override PartName="/xl/ctrlProps/ctrlProp3874.xml" ContentType="application/vnd.ms-excel.controlproperties+xml"/>
  <Override PartName="/xl/ctrlProps/ctrlProp3875.xml" ContentType="application/vnd.ms-excel.controlproperties+xml"/>
  <Override PartName="/xl/ctrlProps/ctrlProp3876.xml" ContentType="application/vnd.ms-excel.controlproperties+xml"/>
  <Override PartName="/xl/ctrlProps/ctrlProp3877.xml" ContentType="application/vnd.ms-excel.controlproperties+xml"/>
  <Override PartName="/xl/ctrlProps/ctrlProp3878.xml" ContentType="application/vnd.ms-excel.controlproperties+xml"/>
  <Override PartName="/xl/ctrlProps/ctrlProp3879.xml" ContentType="application/vnd.ms-excel.controlproperties+xml"/>
  <Override PartName="/xl/ctrlProps/ctrlProp3880.xml" ContentType="application/vnd.ms-excel.controlproperties+xml"/>
  <Override PartName="/xl/ctrlProps/ctrlProp3881.xml" ContentType="application/vnd.ms-excel.controlproperties+xml"/>
  <Override PartName="/xl/ctrlProps/ctrlProp3882.xml" ContentType="application/vnd.ms-excel.controlproperties+xml"/>
  <Override PartName="/xl/ctrlProps/ctrlProp3883.xml" ContentType="application/vnd.ms-excel.controlproperties+xml"/>
  <Override PartName="/xl/ctrlProps/ctrlProp3884.xml" ContentType="application/vnd.ms-excel.controlproperties+xml"/>
  <Override PartName="/xl/ctrlProps/ctrlProp3885.xml" ContentType="application/vnd.ms-excel.controlproperties+xml"/>
  <Override PartName="/xl/ctrlProps/ctrlProp3886.xml" ContentType="application/vnd.ms-excel.controlproperties+xml"/>
  <Override PartName="/xl/ctrlProps/ctrlProp3887.xml" ContentType="application/vnd.ms-excel.controlproperties+xml"/>
  <Override PartName="/xl/ctrlProps/ctrlProp3888.xml" ContentType="application/vnd.ms-excel.controlproperties+xml"/>
  <Override PartName="/xl/drawings/drawing94.xml" ContentType="application/vnd.openxmlformats-officedocument.drawing+xml"/>
  <Override PartName="/xl/ctrlProps/ctrlProp3889.xml" ContentType="application/vnd.ms-excel.controlproperties+xml"/>
  <Override PartName="/xl/ctrlProps/ctrlProp3890.xml" ContentType="application/vnd.ms-excel.controlproperties+xml"/>
  <Override PartName="/xl/ctrlProps/ctrlProp3891.xml" ContentType="application/vnd.ms-excel.controlproperties+xml"/>
  <Override PartName="/xl/ctrlProps/ctrlProp3892.xml" ContentType="application/vnd.ms-excel.controlproperties+xml"/>
  <Override PartName="/xl/ctrlProps/ctrlProp3893.xml" ContentType="application/vnd.ms-excel.controlproperties+xml"/>
  <Override PartName="/xl/ctrlProps/ctrlProp3894.xml" ContentType="application/vnd.ms-excel.controlproperties+xml"/>
  <Override PartName="/xl/ctrlProps/ctrlProp3895.xml" ContentType="application/vnd.ms-excel.controlproperties+xml"/>
  <Override PartName="/xl/ctrlProps/ctrlProp3896.xml" ContentType="application/vnd.ms-excel.controlproperties+xml"/>
  <Override PartName="/xl/ctrlProps/ctrlProp3897.xml" ContentType="application/vnd.ms-excel.controlproperties+xml"/>
  <Override PartName="/xl/ctrlProps/ctrlProp3898.xml" ContentType="application/vnd.ms-excel.controlproperties+xml"/>
  <Override PartName="/xl/ctrlProps/ctrlProp3899.xml" ContentType="application/vnd.ms-excel.controlproperties+xml"/>
  <Override PartName="/xl/ctrlProps/ctrlProp3900.xml" ContentType="application/vnd.ms-excel.controlproperties+xml"/>
  <Override PartName="/xl/ctrlProps/ctrlProp3901.xml" ContentType="application/vnd.ms-excel.controlproperties+xml"/>
  <Override PartName="/xl/ctrlProps/ctrlProp3902.xml" ContentType="application/vnd.ms-excel.controlproperties+xml"/>
  <Override PartName="/xl/ctrlProps/ctrlProp3903.xml" ContentType="application/vnd.ms-excel.controlproperties+xml"/>
  <Override PartName="/xl/ctrlProps/ctrlProp3904.xml" ContentType="application/vnd.ms-excel.controlproperties+xml"/>
  <Override PartName="/xl/ctrlProps/ctrlProp3905.xml" ContentType="application/vnd.ms-excel.controlproperties+xml"/>
  <Override PartName="/xl/ctrlProps/ctrlProp3906.xml" ContentType="application/vnd.ms-excel.controlproperties+xml"/>
  <Override PartName="/xl/ctrlProps/ctrlProp3907.xml" ContentType="application/vnd.ms-excel.controlproperties+xml"/>
  <Override PartName="/xl/ctrlProps/ctrlProp3908.xml" ContentType="application/vnd.ms-excel.controlproperties+xml"/>
  <Override PartName="/xl/ctrlProps/ctrlProp3909.xml" ContentType="application/vnd.ms-excel.controlproperties+xml"/>
  <Override PartName="/xl/ctrlProps/ctrlProp3910.xml" ContentType="application/vnd.ms-excel.controlproperties+xml"/>
  <Override PartName="/xl/ctrlProps/ctrlProp3911.xml" ContentType="application/vnd.ms-excel.controlproperties+xml"/>
  <Override PartName="/xl/ctrlProps/ctrlProp3912.xml" ContentType="application/vnd.ms-excel.controlproperties+xml"/>
  <Override PartName="/xl/ctrlProps/ctrlProp3913.xml" ContentType="application/vnd.ms-excel.controlproperties+xml"/>
  <Override PartName="/xl/ctrlProps/ctrlProp3914.xml" ContentType="application/vnd.ms-excel.controlproperties+xml"/>
  <Override PartName="/xl/ctrlProps/ctrlProp3915.xml" ContentType="application/vnd.ms-excel.controlproperties+xml"/>
  <Override PartName="/xl/ctrlProps/ctrlProp3916.xml" ContentType="application/vnd.ms-excel.controlproperties+xml"/>
  <Override PartName="/xl/ctrlProps/ctrlProp3917.xml" ContentType="application/vnd.ms-excel.controlproperties+xml"/>
  <Override PartName="/xl/ctrlProps/ctrlProp3918.xml" ContentType="application/vnd.ms-excel.controlproperties+xml"/>
  <Override PartName="/xl/ctrlProps/ctrlProp3919.xml" ContentType="application/vnd.ms-excel.controlproperties+xml"/>
  <Override PartName="/xl/ctrlProps/ctrlProp3920.xml" ContentType="application/vnd.ms-excel.controlproperties+xml"/>
  <Override PartName="/xl/ctrlProps/ctrlProp3921.xml" ContentType="application/vnd.ms-excel.controlproperties+xml"/>
  <Override PartName="/xl/ctrlProps/ctrlProp3922.xml" ContentType="application/vnd.ms-excel.controlproperties+xml"/>
  <Override PartName="/xl/ctrlProps/ctrlProp3923.xml" ContentType="application/vnd.ms-excel.controlproperties+xml"/>
  <Override PartName="/xl/ctrlProps/ctrlProp3924.xml" ContentType="application/vnd.ms-excel.controlproperties+xml"/>
  <Override PartName="/xl/ctrlProps/ctrlProp3925.xml" ContentType="application/vnd.ms-excel.controlproperties+xml"/>
  <Override PartName="/xl/drawings/drawing95.xml" ContentType="application/vnd.openxmlformats-officedocument.drawing+xml"/>
  <Override PartName="/xl/ctrlProps/ctrlProp3926.xml" ContentType="application/vnd.ms-excel.controlproperties+xml"/>
  <Override PartName="/xl/ctrlProps/ctrlProp3927.xml" ContentType="application/vnd.ms-excel.controlproperties+xml"/>
  <Override PartName="/xl/ctrlProps/ctrlProp3928.xml" ContentType="application/vnd.ms-excel.controlproperties+xml"/>
  <Override PartName="/xl/ctrlProps/ctrlProp3929.xml" ContentType="application/vnd.ms-excel.controlproperties+xml"/>
  <Override PartName="/xl/ctrlProps/ctrlProp3930.xml" ContentType="application/vnd.ms-excel.controlproperties+xml"/>
  <Override PartName="/xl/ctrlProps/ctrlProp3931.xml" ContentType="application/vnd.ms-excel.controlproperties+xml"/>
  <Override PartName="/xl/ctrlProps/ctrlProp3932.xml" ContentType="application/vnd.ms-excel.controlproperties+xml"/>
  <Override PartName="/xl/ctrlProps/ctrlProp3933.xml" ContentType="application/vnd.ms-excel.controlproperties+xml"/>
  <Override PartName="/xl/ctrlProps/ctrlProp3934.xml" ContentType="application/vnd.ms-excel.controlproperties+xml"/>
  <Override PartName="/xl/ctrlProps/ctrlProp3935.xml" ContentType="application/vnd.ms-excel.controlproperties+xml"/>
  <Override PartName="/xl/ctrlProps/ctrlProp3936.xml" ContentType="application/vnd.ms-excel.controlproperties+xml"/>
  <Override PartName="/xl/ctrlProps/ctrlProp3937.xml" ContentType="application/vnd.ms-excel.controlproperties+xml"/>
  <Override PartName="/xl/ctrlProps/ctrlProp3938.xml" ContentType="application/vnd.ms-excel.controlproperties+xml"/>
  <Override PartName="/xl/ctrlProps/ctrlProp3939.xml" ContentType="application/vnd.ms-excel.controlproperties+xml"/>
  <Override PartName="/xl/ctrlProps/ctrlProp3940.xml" ContentType="application/vnd.ms-excel.controlproperties+xml"/>
  <Override PartName="/xl/ctrlProps/ctrlProp3941.xml" ContentType="application/vnd.ms-excel.controlproperties+xml"/>
  <Override PartName="/xl/ctrlProps/ctrlProp3942.xml" ContentType="application/vnd.ms-excel.controlproperties+xml"/>
  <Override PartName="/xl/ctrlProps/ctrlProp3943.xml" ContentType="application/vnd.ms-excel.controlproperties+xml"/>
  <Override PartName="/xl/ctrlProps/ctrlProp3944.xml" ContentType="application/vnd.ms-excel.controlproperties+xml"/>
  <Override PartName="/xl/ctrlProps/ctrlProp3945.xml" ContentType="application/vnd.ms-excel.controlproperties+xml"/>
  <Override PartName="/xl/ctrlProps/ctrlProp3946.xml" ContentType="application/vnd.ms-excel.controlproperties+xml"/>
  <Override PartName="/xl/ctrlProps/ctrlProp3947.xml" ContentType="application/vnd.ms-excel.controlproperties+xml"/>
  <Override PartName="/xl/ctrlProps/ctrlProp3948.xml" ContentType="application/vnd.ms-excel.controlproperties+xml"/>
  <Override PartName="/xl/ctrlProps/ctrlProp3949.xml" ContentType="application/vnd.ms-excel.controlproperties+xml"/>
  <Override PartName="/xl/ctrlProps/ctrlProp3950.xml" ContentType="application/vnd.ms-excel.controlproperties+xml"/>
  <Override PartName="/xl/ctrlProps/ctrlProp3951.xml" ContentType="application/vnd.ms-excel.controlproperties+xml"/>
  <Override PartName="/xl/ctrlProps/ctrlProp3952.xml" ContentType="application/vnd.ms-excel.controlproperties+xml"/>
  <Override PartName="/xl/ctrlProps/ctrlProp3953.xml" ContentType="application/vnd.ms-excel.controlproperties+xml"/>
  <Override PartName="/xl/ctrlProps/ctrlProp3954.xml" ContentType="application/vnd.ms-excel.controlproperties+xml"/>
  <Override PartName="/xl/ctrlProps/ctrlProp3955.xml" ContentType="application/vnd.ms-excel.controlproperties+xml"/>
  <Override PartName="/xl/ctrlProps/ctrlProp3956.xml" ContentType="application/vnd.ms-excel.controlproperties+xml"/>
  <Override PartName="/xl/ctrlProps/ctrlProp3957.xml" ContentType="application/vnd.ms-excel.controlproperties+xml"/>
  <Override PartName="/xl/ctrlProps/ctrlProp3958.xml" ContentType="application/vnd.ms-excel.controlproperties+xml"/>
  <Override PartName="/xl/ctrlProps/ctrlProp3959.xml" ContentType="application/vnd.ms-excel.controlproperties+xml"/>
  <Override PartName="/xl/ctrlProps/ctrlProp3960.xml" ContentType="application/vnd.ms-excel.controlproperties+xml"/>
  <Override PartName="/xl/ctrlProps/ctrlProp3961.xml" ContentType="application/vnd.ms-excel.controlproperties+xml"/>
  <Override PartName="/xl/ctrlProps/ctrlProp3962.xml" ContentType="application/vnd.ms-excel.controlproperties+xml"/>
  <Override PartName="/xl/drawings/drawing96.xml" ContentType="application/vnd.openxmlformats-officedocument.drawing+xml"/>
  <Override PartName="/xl/ctrlProps/ctrlProp3963.xml" ContentType="application/vnd.ms-excel.controlproperties+xml"/>
  <Override PartName="/xl/ctrlProps/ctrlProp3964.xml" ContentType="application/vnd.ms-excel.controlproperties+xml"/>
  <Override PartName="/xl/ctrlProps/ctrlProp3965.xml" ContentType="application/vnd.ms-excel.controlproperties+xml"/>
  <Override PartName="/xl/ctrlProps/ctrlProp3966.xml" ContentType="application/vnd.ms-excel.controlproperties+xml"/>
  <Override PartName="/xl/ctrlProps/ctrlProp3967.xml" ContentType="application/vnd.ms-excel.controlproperties+xml"/>
  <Override PartName="/xl/ctrlProps/ctrlProp3968.xml" ContentType="application/vnd.ms-excel.controlproperties+xml"/>
  <Override PartName="/xl/ctrlProps/ctrlProp3969.xml" ContentType="application/vnd.ms-excel.controlproperties+xml"/>
  <Override PartName="/xl/ctrlProps/ctrlProp3970.xml" ContentType="application/vnd.ms-excel.controlproperties+xml"/>
  <Override PartName="/xl/ctrlProps/ctrlProp3971.xml" ContentType="application/vnd.ms-excel.controlproperties+xml"/>
  <Override PartName="/xl/ctrlProps/ctrlProp3972.xml" ContentType="application/vnd.ms-excel.controlproperties+xml"/>
  <Override PartName="/xl/ctrlProps/ctrlProp3973.xml" ContentType="application/vnd.ms-excel.controlproperties+xml"/>
  <Override PartName="/xl/ctrlProps/ctrlProp3974.xml" ContentType="application/vnd.ms-excel.controlproperties+xml"/>
  <Override PartName="/xl/ctrlProps/ctrlProp3975.xml" ContentType="application/vnd.ms-excel.controlproperties+xml"/>
  <Override PartName="/xl/ctrlProps/ctrlProp3976.xml" ContentType="application/vnd.ms-excel.controlproperties+xml"/>
  <Override PartName="/xl/ctrlProps/ctrlProp3977.xml" ContentType="application/vnd.ms-excel.controlproperties+xml"/>
  <Override PartName="/xl/ctrlProps/ctrlProp3978.xml" ContentType="application/vnd.ms-excel.controlproperties+xml"/>
  <Override PartName="/xl/ctrlProps/ctrlProp3979.xml" ContentType="application/vnd.ms-excel.controlproperties+xml"/>
  <Override PartName="/xl/ctrlProps/ctrlProp3980.xml" ContentType="application/vnd.ms-excel.controlproperties+xml"/>
  <Override PartName="/xl/ctrlProps/ctrlProp3981.xml" ContentType="application/vnd.ms-excel.controlproperties+xml"/>
  <Override PartName="/xl/ctrlProps/ctrlProp3982.xml" ContentType="application/vnd.ms-excel.controlproperties+xml"/>
  <Override PartName="/xl/ctrlProps/ctrlProp3983.xml" ContentType="application/vnd.ms-excel.controlproperties+xml"/>
  <Override PartName="/xl/ctrlProps/ctrlProp3984.xml" ContentType="application/vnd.ms-excel.controlproperties+xml"/>
  <Override PartName="/xl/ctrlProps/ctrlProp3985.xml" ContentType="application/vnd.ms-excel.controlproperties+xml"/>
  <Override PartName="/xl/ctrlProps/ctrlProp3986.xml" ContentType="application/vnd.ms-excel.controlproperties+xml"/>
  <Override PartName="/xl/ctrlProps/ctrlProp3987.xml" ContentType="application/vnd.ms-excel.controlproperties+xml"/>
  <Override PartName="/xl/ctrlProps/ctrlProp3988.xml" ContentType="application/vnd.ms-excel.controlproperties+xml"/>
  <Override PartName="/xl/ctrlProps/ctrlProp3989.xml" ContentType="application/vnd.ms-excel.controlproperties+xml"/>
  <Override PartName="/xl/ctrlProps/ctrlProp3990.xml" ContentType="application/vnd.ms-excel.controlproperties+xml"/>
  <Override PartName="/xl/ctrlProps/ctrlProp3991.xml" ContentType="application/vnd.ms-excel.controlproperties+xml"/>
  <Override PartName="/xl/ctrlProps/ctrlProp3992.xml" ContentType="application/vnd.ms-excel.controlproperties+xml"/>
  <Override PartName="/xl/ctrlProps/ctrlProp3993.xml" ContentType="application/vnd.ms-excel.controlproperties+xml"/>
  <Override PartName="/xl/ctrlProps/ctrlProp3994.xml" ContentType="application/vnd.ms-excel.controlproperties+xml"/>
  <Override PartName="/xl/ctrlProps/ctrlProp3995.xml" ContentType="application/vnd.ms-excel.controlproperties+xml"/>
  <Override PartName="/xl/ctrlProps/ctrlProp3996.xml" ContentType="application/vnd.ms-excel.controlproperties+xml"/>
  <Override PartName="/xl/ctrlProps/ctrlProp3997.xml" ContentType="application/vnd.ms-excel.controlproperties+xml"/>
  <Override PartName="/xl/ctrlProps/ctrlProp3998.xml" ContentType="application/vnd.ms-excel.controlproperties+xml"/>
  <Override PartName="/xl/ctrlProps/ctrlProp3999.xml" ContentType="application/vnd.ms-excel.controlproperties+xml"/>
  <Override PartName="/xl/drawings/drawing97.xml" ContentType="application/vnd.openxmlformats-officedocument.drawing+xml"/>
  <Override PartName="/xl/ctrlProps/ctrlProp4000.xml" ContentType="application/vnd.ms-excel.controlproperties+xml"/>
  <Override PartName="/xl/ctrlProps/ctrlProp4001.xml" ContentType="application/vnd.ms-excel.controlproperties+xml"/>
  <Override PartName="/xl/ctrlProps/ctrlProp4002.xml" ContentType="application/vnd.ms-excel.controlproperties+xml"/>
  <Override PartName="/xl/ctrlProps/ctrlProp4003.xml" ContentType="application/vnd.ms-excel.controlproperties+xml"/>
  <Override PartName="/xl/ctrlProps/ctrlProp4004.xml" ContentType="application/vnd.ms-excel.controlproperties+xml"/>
  <Override PartName="/xl/ctrlProps/ctrlProp4005.xml" ContentType="application/vnd.ms-excel.controlproperties+xml"/>
  <Override PartName="/xl/ctrlProps/ctrlProp4006.xml" ContentType="application/vnd.ms-excel.controlproperties+xml"/>
  <Override PartName="/xl/ctrlProps/ctrlProp4007.xml" ContentType="application/vnd.ms-excel.controlproperties+xml"/>
  <Override PartName="/xl/ctrlProps/ctrlProp4008.xml" ContentType="application/vnd.ms-excel.controlproperties+xml"/>
  <Override PartName="/xl/ctrlProps/ctrlProp4009.xml" ContentType="application/vnd.ms-excel.controlproperties+xml"/>
  <Override PartName="/xl/ctrlProps/ctrlProp4010.xml" ContentType="application/vnd.ms-excel.controlproperties+xml"/>
  <Override PartName="/xl/ctrlProps/ctrlProp4011.xml" ContentType="application/vnd.ms-excel.controlproperties+xml"/>
  <Override PartName="/xl/ctrlProps/ctrlProp4012.xml" ContentType="application/vnd.ms-excel.controlproperties+xml"/>
  <Override PartName="/xl/ctrlProps/ctrlProp4013.xml" ContentType="application/vnd.ms-excel.controlproperties+xml"/>
  <Override PartName="/xl/ctrlProps/ctrlProp4014.xml" ContentType="application/vnd.ms-excel.controlproperties+xml"/>
  <Override PartName="/xl/ctrlProps/ctrlProp4015.xml" ContentType="application/vnd.ms-excel.controlproperties+xml"/>
  <Override PartName="/xl/ctrlProps/ctrlProp4016.xml" ContentType="application/vnd.ms-excel.controlproperties+xml"/>
  <Override PartName="/xl/ctrlProps/ctrlProp4017.xml" ContentType="application/vnd.ms-excel.controlproperties+xml"/>
  <Override PartName="/xl/ctrlProps/ctrlProp4018.xml" ContentType="application/vnd.ms-excel.controlproperties+xml"/>
  <Override PartName="/xl/ctrlProps/ctrlProp4019.xml" ContentType="application/vnd.ms-excel.controlproperties+xml"/>
  <Override PartName="/xl/ctrlProps/ctrlProp4020.xml" ContentType="application/vnd.ms-excel.controlproperties+xml"/>
  <Override PartName="/xl/ctrlProps/ctrlProp4021.xml" ContentType="application/vnd.ms-excel.controlproperties+xml"/>
  <Override PartName="/xl/ctrlProps/ctrlProp4022.xml" ContentType="application/vnd.ms-excel.controlproperties+xml"/>
  <Override PartName="/xl/ctrlProps/ctrlProp4023.xml" ContentType="application/vnd.ms-excel.controlproperties+xml"/>
  <Override PartName="/xl/ctrlProps/ctrlProp4024.xml" ContentType="application/vnd.ms-excel.controlproperties+xml"/>
  <Override PartName="/xl/ctrlProps/ctrlProp4025.xml" ContentType="application/vnd.ms-excel.controlproperties+xml"/>
  <Override PartName="/xl/ctrlProps/ctrlProp4026.xml" ContentType="application/vnd.ms-excel.controlproperties+xml"/>
  <Override PartName="/xl/ctrlProps/ctrlProp4027.xml" ContentType="application/vnd.ms-excel.controlproperties+xml"/>
  <Override PartName="/xl/ctrlProps/ctrlProp4028.xml" ContentType="application/vnd.ms-excel.controlproperties+xml"/>
  <Override PartName="/xl/ctrlProps/ctrlProp4029.xml" ContentType="application/vnd.ms-excel.controlproperties+xml"/>
  <Override PartName="/xl/ctrlProps/ctrlProp4030.xml" ContentType="application/vnd.ms-excel.controlproperties+xml"/>
  <Override PartName="/xl/ctrlProps/ctrlProp4031.xml" ContentType="application/vnd.ms-excel.controlproperties+xml"/>
  <Override PartName="/xl/ctrlProps/ctrlProp4032.xml" ContentType="application/vnd.ms-excel.controlproperties+xml"/>
  <Override PartName="/xl/ctrlProps/ctrlProp4033.xml" ContentType="application/vnd.ms-excel.controlproperties+xml"/>
  <Override PartName="/xl/ctrlProps/ctrlProp4034.xml" ContentType="application/vnd.ms-excel.controlproperties+xml"/>
  <Override PartName="/xl/ctrlProps/ctrlProp4035.xml" ContentType="application/vnd.ms-excel.controlproperties+xml"/>
  <Override PartName="/xl/ctrlProps/ctrlProp4036.xml" ContentType="application/vnd.ms-excel.controlproperties+xml"/>
  <Override PartName="/xl/drawings/drawing98.xml" ContentType="application/vnd.openxmlformats-officedocument.drawing+xml"/>
  <Override PartName="/xl/ctrlProps/ctrlProp4037.xml" ContentType="application/vnd.ms-excel.controlproperties+xml"/>
  <Override PartName="/xl/ctrlProps/ctrlProp4038.xml" ContentType="application/vnd.ms-excel.controlproperties+xml"/>
  <Override PartName="/xl/ctrlProps/ctrlProp4039.xml" ContentType="application/vnd.ms-excel.controlproperties+xml"/>
  <Override PartName="/xl/ctrlProps/ctrlProp4040.xml" ContentType="application/vnd.ms-excel.controlproperties+xml"/>
  <Override PartName="/xl/ctrlProps/ctrlProp4041.xml" ContentType="application/vnd.ms-excel.controlproperties+xml"/>
  <Override PartName="/xl/ctrlProps/ctrlProp4042.xml" ContentType="application/vnd.ms-excel.controlproperties+xml"/>
  <Override PartName="/xl/ctrlProps/ctrlProp4043.xml" ContentType="application/vnd.ms-excel.controlproperties+xml"/>
  <Override PartName="/xl/ctrlProps/ctrlProp4044.xml" ContentType="application/vnd.ms-excel.controlproperties+xml"/>
  <Override PartName="/xl/ctrlProps/ctrlProp4045.xml" ContentType="application/vnd.ms-excel.controlproperties+xml"/>
  <Override PartName="/xl/ctrlProps/ctrlProp4046.xml" ContentType="application/vnd.ms-excel.controlproperties+xml"/>
  <Override PartName="/xl/ctrlProps/ctrlProp4047.xml" ContentType="application/vnd.ms-excel.controlproperties+xml"/>
  <Override PartName="/xl/ctrlProps/ctrlProp4048.xml" ContentType="application/vnd.ms-excel.controlproperties+xml"/>
  <Override PartName="/xl/ctrlProps/ctrlProp4049.xml" ContentType="application/vnd.ms-excel.controlproperties+xml"/>
  <Override PartName="/xl/ctrlProps/ctrlProp4050.xml" ContentType="application/vnd.ms-excel.controlproperties+xml"/>
  <Override PartName="/xl/ctrlProps/ctrlProp4051.xml" ContentType="application/vnd.ms-excel.controlproperties+xml"/>
  <Override PartName="/xl/ctrlProps/ctrlProp4052.xml" ContentType="application/vnd.ms-excel.controlproperties+xml"/>
  <Override PartName="/xl/ctrlProps/ctrlProp4053.xml" ContentType="application/vnd.ms-excel.controlproperties+xml"/>
  <Override PartName="/xl/ctrlProps/ctrlProp4054.xml" ContentType="application/vnd.ms-excel.controlproperties+xml"/>
  <Override PartName="/xl/ctrlProps/ctrlProp4055.xml" ContentType="application/vnd.ms-excel.controlproperties+xml"/>
  <Override PartName="/xl/ctrlProps/ctrlProp4056.xml" ContentType="application/vnd.ms-excel.controlproperties+xml"/>
  <Override PartName="/xl/ctrlProps/ctrlProp4057.xml" ContentType="application/vnd.ms-excel.controlproperties+xml"/>
  <Override PartName="/xl/ctrlProps/ctrlProp4058.xml" ContentType="application/vnd.ms-excel.controlproperties+xml"/>
  <Override PartName="/xl/ctrlProps/ctrlProp4059.xml" ContentType="application/vnd.ms-excel.controlproperties+xml"/>
  <Override PartName="/xl/ctrlProps/ctrlProp4060.xml" ContentType="application/vnd.ms-excel.controlproperties+xml"/>
  <Override PartName="/xl/ctrlProps/ctrlProp4061.xml" ContentType="application/vnd.ms-excel.controlproperties+xml"/>
  <Override PartName="/xl/ctrlProps/ctrlProp4062.xml" ContentType="application/vnd.ms-excel.controlproperties+xml"/>
  <Override PartName="/xl/ctrlProps/ctrlProp4063.xml" ContentType="application/vnd.ms-excel.controlproperties+xml"/>
  <Override PartName="/xl/ctrlProps/ctrlProp4064.xml" ContentType="application/vnd.ms-excel.controlproperties+xml"/>
  <Override PartName="/xl/ctrlProps/ctrlProp4065.xml" ContentType="application/vnd.ms-excel.controlproperties+xml"/>
  <Override PartName="/xl/ctrlProps/ctrlProp4066.xml" ContentType="application/vnd.ms-excel.controlproperties+xml"/>
  <Override PartName="/xl/ctrlProps/ctrlProp4067.xml" ContentType="application/vnd.ms-excel.controlproperties+xml"/>
  <Override PartName="/xl/ctrlProps/ctrlProp4068.xml" ContentType="application/vnd.ms-excel.controlproperties+xml"/>
  <Override PartName="/xl/ctrlProps/ctrlProp4069.xml" ContentType="application/vnd.ms-excel.controlproperties+xml"/>
  <Override PartName="/xl/ctrlProps/ctrlProp4070.xml" ContentType="application/vnd.ms-excel.controlproperties+xml"/>
  <Override PartName="/xl/ctrlProps/ctrlProp4071.xml" ContentType="application/vnd.ms-excel.controlproperties+xml"/>
  <Override PartName="/xl/ctrlProps/ctrlProp4072.xml" ContentType="application/vnd.ms-excel.controlproperties+xml"/>
  <Override PartName="/xl/ctrlProps/ctrlProp4073.xml" ContentType="application/vnd.ms-excel.controlproperties+xml"/>
  <Override PartName="/xl/drawings/drawing99.xml" ContentType="application/vnd.openxmlformats-officedocument.drawing+xml"/>
  <Override PartName="/xl/ctrlProps/ctrlProp4074.xml" ContentType="application/vnd.ms-excel.controlproperties+xml"/>
  <Override PartName="/xl/ctrlProps/ctrlProp4075.xml" ContentType="application/vnd.ms-excel.controlproperties+xml"/>
  <Override PartName="/xl/ctrlProps/ctrlProp4076.xml" ContentType="application/vnd.ms-excel.controlproperties+xml"/>
  <Override PartName="/xl/ctrlProps/ctrlProp4077.xml" ContentType="application/vnd.ms-excel.controlproperties+xml"/>
  <Override PartName="/xl/ctrlProps/ctrlProp4078.xml" ContentType="application/vnd.ms-excel.controlproperties+xml"/>
  <Override PartName="/xl/ctrlProps/ctrlProp4079.xml" ContentType="application/vnd.ms-excel.controlproperties+xml"/>
  <Override PartName="/xl/ctrlProps/ctrlProp4080.xml" ContentType="application/vnd.ms-excel.controlproperties+xml"/>
  <Override PartName="/xl/ctrlProps/ctrlProp4081.xml" ContentType="application/vnd.ms-excel.controlproperties+xml"/>
  <Override PartName="/xl/ctrlProps/ctrlProp4082.xml" ContentType="application/vnd.ms-excel.controlproperties+xml"/>
  <Override PartName="/xl/ctrlProps/ctrlProp4083.xml" ContentType="application/vnd.ms-excel.controlproperties+xml"/>
  <Override PartName="/xl/ctrlProps/ctrlProp4084.xml" ContentType="application/vnd.ms-excel.controlproperties+xml"/>
  <Override PartName="/xl/ctrlProps/ctrlProp4085.xml" ContentType="application/vnd.ms-excel.controlproperties+xml"/>
  <Override PartName="/xl/ctrlProps/ctrlProp4086.xml" ContentType="application/vnd.ms-excel.controlproperties+xml"/>
  <Override PartName="/xl/ctrlProps/ctrlProp4087.xml" ContentType="application/vnd.ms-excel.controlproperties+xml"/>
  <Override PartName="/xl/ctrlProps/ctrlProp4088.xml" ContentType="application/vnd.ms-excel.controlproperties+xml"/>
  <Override PartName="/xl/ctrlProps/ctrlProp4089.xml" ContentType="application/vnd.ms-excel.controlproperties+xml"/>
  <Override PartName="/xl/ctrlProps/ctrlProp4090.xml" ContentType="application/vnd.ms-excel.controlproperties+xml"/>
  <Override PartName="/xl/ctrlProps/ctrlProp4091.xml" ContentType="application/vnd.ms-excel.controlproperties+xml"/>
  <Override PartName="/xl/ctrlProps/ctrlProp4092.xml" ContentType="application/vnd.ms-excel.controlproperties+xml"/>
  <Override PartName="/xl/ctrlProps/ctrlProp4093.xml" ContentType="application/vnd.ms-excel.controlproperties+xml"/>
  <Override PartName="/xl/ctrlProps/ctrlProp4094.xml" ContentType="application/vnd.ms-excel.controlproperties+xml"/>
  <Override PartName="/xl/ctrlProps/ctrlProp4095.xml" ContentType="application/vnd.ms-excel.controlproperties+xml"/>
  <Override PartName="/xl/ctrlProps/ctrlProp4096.xml" ContentType="application/vnd.ms-excel.controlproperties+xml"/>
  <Override PartName="/xl/ctrlProps/ctrlProp4097.xml" ContentType="application/vnd.ms-excel.controlproperties+xml"/>
  <Override PartName="/xl/ctrlProps/ctrlProp4098.xml" ContentType="application/vnd.ms-excel.controlproperties+xml"/>
  <Override PartName="/xl/ctrlProps/ctrlProp4099.xml" ContentType="application/vnd.ms-excel.controlproperties+xml"/>
  <Override PartName="/xl/ctrlProps/ctrlProp4100.xml" ContentType="application/vnd.ms-excel.controlproperties+xml"/>
  <Override PartName="/xl/ctrlProps/ctrlProp4101.xml" ContentType="application/vnd.ms-excel.controlproperties+xml"/>
  <Override PartName="/xl/ctrlProps/ctrlProp4102.xml" ContentType="application/vnd.ms-excel.controlproperties+xml"/>
  <Override PartName="/xl/ctrlProps/ctrlProp4103.xml" ContentType="application/vnd.ms-excel.controlproperties+xml"/>
  <Override PartName="/xl/ctrlProps/ctrlProp4104.xml" ContentType="application/vnd.ms-excel.controlproperties+xml"/>
  <Override PartName="/xl/ctrlProps/ctrlProp4105.xml" ContentType="application/vnd.ms-excel.controlproperties+xml"/>
  <Override PartName="/xl/ctrlProps/ctrlProp4106.xml" ContentType="application/vnd.ms-excel.controlproperties+xml"/>
  <Override PartName="/xl/ctrlProps/ctrlProp4107.xml" ContentType="application/vnd.ms-excel.controlproperties+xml"/>
  <Override PartName="/xl/ctrlProps/ctrlProp4108.xml" ContentType="application/vnd.ms-excel.controlproperties+xml"/>
  <Override PartName="/xl/ctrlProps/ctrlProp4109.xml" ContentType="application/vnd.ms-excel.controlproperties+xml"/>
  <Override PartName="/xl/ctrlProps/ctrlProp4110.xml" ContentType="application/vnd.ms-excel.controlproperties+xml"/>
  <Override PartName="/xl/drawings/drawing100.xml" ContentType="application/vnd.openxmlformats-officedocument.drawing+xml"/>
  <Override PartName="/xl/ctrlProps/ctrlProp4111.xml" ContentType="application/vnd.ms-excel.controlproperties+xml"/>
  <Override PartName="/xl/ctrlProps/ctrlProp4112.xml" ContentType="application/vnd.ms-excel.controlproperties+xml"/>
  <Override PartName="/xl/ctrlProps/ctrlProp4113.xml" ContentType="application/vnd.ms-excel.controlproperties+xml"/>
  <Override PartName="/xl/ctrlProps/ctrlProp4114.xml" ContentType="application/vnd.ms-excel.controlproperties+xml"/>
  <Override PartName="/xl/ctrlProps/ctrlProp4115.xml" ContentType="application/vnd.ms-excel.controlproperties+xml"/>
  <Override PartName="/xl/ctrlProps/ctrlProp4116.xml" ContentType="application/vnd.ms-excel.controlproperties+xml"/>
  <Override PartName="/xl/ctrlProps/ctrlProp4117.xml" ContentType="application/vnd.ms-excel.controlproperties+xml"/>
  <Override PartName="/xl/ctrlProps/ctrlProp4118.xml" ContentType="application/vnd.ms-excel.controlproperties+xml"/>
  <Override PartName="/xl/ctrlProps/ctrlProp4119.xml" ContentType="application/vnd.ms-excel.controlproperties+xml"/>
  <Override PartName="/xl/ctrlProps/ctrlProp4120.xml" ContentType="application/vnd.ms-excel.controlproperties+xml"/>
  <Override PartName="/xl/ctrlProps/ctrlProp4121.xml" ContentType="application/vnd.ms-excel.controlproperties+xml"/>
  <Override PartName="/xl/ctrlProps/ctrlProp4122.xml" ContentType="application/vnd.ms-excel.controlproperties+xml"/>
  <Override PartName="/xl/ctrlProps/ctrlProp4123.xml" ContentType="application/vnd.ms-excel.controlproperties+xml"/>
  <Override PartName="/xl/ctrlProps/ctrlProp4124.xml" ContentType="application/vnd.ms-excel.controlproperties+xml"/>
  <Override PartName="/xl/ctrlProps/ctrlProp4125.xml" ContentType="application/vnd.ms-excel.controlproperties+xml"/>
  <Override PartName="/xl/ctrlProps/ctrlProp4126.xml" ContentType="application/vnd.ms-excel.controlproperties+xml"/>
  <Override PartName="/xl/ctrlProps/ctrlProp4127.xml" ContentType="application/vnd.ms-excel.controlproperties+xml"/>
  <Override PartName="/xl/ctrlProps/ctrlProp4128.xml" ContentType="application/vnd.ms-excel.controlproperties+xml"/>
  <Override PartName="/xl/ctrlProps/ctrlProp4129.xml" ContentType="application/vnd.ms-excel.controlproperties+xml"/>
  <Override PartName="/xl/ctrlProps/ctrlProp4130.xml" ContentType="application/vnd.ms-excel.controlproperties+xml"/>
  <Override PartName="/xl/ctrlProps/ctrlProp4131.xml" ContentType="application/vnd.ms-excel.controlproperties+xml"/>
  <Override PartName="/xl/ctrlProps/ctrlProp4132.xml" ContentType="application/vnd.ms-excel.controlproperties+xml"/>
  <Override PartName="/xl/ctrlProps/ctrlProp4133.xml" ContentType="application/vnd.ms-excel.controlproperties+xml"/>
  <Override PartName="/xl/ctrlProps/ctrlProp4134.xml" ContentType="application/vnd.ms-excel.controlproperties+xml"/>
  <Override PartName="/xl/ctrlProps/ctrlProp4135.xml" ContentType="application/vnd.ms-excel.controlproperties+xml"/>
  <Override PartName="/xl/ctrlProps/ctrlProp4136.xml" ContentType="application/vnd.ms-excel.controlproperties+xml"/>
  <Override PartName="/xl/ctrlProps/ctrlProp4137.xml" ContentType="application/vnd.ms-excel.controlproperties+xml"/>
  <Override PartName="/xl/ctrlProps/ctrlProp4138.xml" ContentType="application/vnd.ms-excel.controlproperties+xml"/>
  <Override PartName="/xl/ctrlProps/ctrlProp4139.xml" ContentType="application/vnd.ms-excel.controlproperties+xml"/>
  <Override PartName="/xl/ctrlProps/ctrlProp4140.xml" ContentType="application/vnd.ms-excel.controlproperties+xml"/>
  <Override PartName="/xl/ctrlProps/ctrlProp4141.xml" ContentType="application/vnd.ms-excel.controlproperties+xml"/>
  <Override PartName="/xl/ctrlProps/ctrlProp4142.xml" ContentType="application/vnd.ms-excel.controlproperties+xml"/>
  <Override PartName="/xl/ctrlProps/ctrlProp4143.xml" ContentType="application/vnd.ms-excel.controlproperties+xml"/>
  <Override PartName="/xl/ctrlProps/ctrlProp4144.xml" ContentType="application/vnd.ms-excel.controlproperties+xml"/>
  <Override PartName="/xl/ctrlProps/ctrlProp4145.xml" ContentType="application/vnd.ms-excel.controlproperties+xml"/>
  <Override PartName="/xl/ctrlProps/ctrlProp4146.xml" ContentType="application/vnd.ms-excel.controlproperties+xml"/>
  <Override PartName="/xl/ctrlProps/ctrlProp4147.xml" ContentType="application/vnd.ms-excel.controlproperties+xml"/>
  <Override PartName="/xl/drawings/drawing101.xml" ContentType="application/vnd.openxmlformats-officedocument.drawing+xml"/>
  <Override PartName="/xl/ctrlProps/ctrlProp4148.xml" ContentType="application/vnd.ms-excel.controlproperties+xml"/>
  <Override PartName="/xl/ctrlProps/ctrlProp4149.xml" ContentType="application/vnd.ms-excel.controlproperties+xml"/>
  <Override PartName="/xl/ctrlProps/ctrlProp4150.xml" ContentType="application/vnd.ms-excel.controlproperties+xml"/>
  <Override PartName="/xl/ctrlProps/ctrlProp4151.xml" ContentType="application/vnd.ms-excel.controlproperties+xml"/>
  <Override PartName="/xl/ctrlProps/ctrlProp4152.xml" ContentType="application/vnd.ms-excel.controlproperties+xml"/>
  <Override PartName="/xl/ctrlProps/ctrlProp4153.xml" ContentType="application/vnd.ms-excel.controlproperties+xml"/>
  <Override PartName="/xl/ctrlProps/ctrlProp4154.xml" ContentType="application/vnd.ms-excel.controlproperties+xml"/>
  <Override PartName="/xl/ctrlProps/ctrlProp4155.xml" ContentType="application/vnd.ms-excel.controlproperties+xml"/>
  <Override PartName="/xl/ctrlProps/ctrlProp4156.xml" ContentType="application/vnd.ms-excel.controlproperties+xml"/>
  <Override PartName="/xl/ctrlProps/ctrlProp4157.xml" ContentType="application/vnd.ms-excel.controlproperties+xml"/>
  <Override PartName="/xl/ctrlProps/ctrlProp4158.xml" ContentType="application/vnd.ms-excel.controlproperties+xml"/>
  <Override PartName="/xl/ctrlProps/ctrlProp4159.xml" ContentType="application/vnd.ms-excel.controlproperties+xml"/>
  <Override PartName="/xl/ctrlProps/ctrlProp4160.xml" ContentType="application/vnd.ms-excel.controlproperties+xml"/>
  <Override PartName="/xl/ctrlProps/ctrlProp4161.xml" ContentType="application/vnd.ms-excel.controlproperties+xml"/>
  <Override PartName="/xl/ctrlProps/ctrlProp4162.xml" ContentType="application/vnd.ms-excel.controlproperties+xml"/>
  <Override PartName="/xl/ctrlProps/ctrlProp4163.xml" ContentType="application/vnd.ms-excel.controlproperties+xml"/>
  <Override PartName="/xl/ctrlProps/ctrlProp4164.xml" ContentType="application/vnd.ms-excel.controlproperties+xml"/>
  <Override PartName="/xl/ctrlProps/ctrlProp4165.xml" ContentType="application/vnd.ms-excel.controlproperties+xml"/>
  <Override PartName="/xl/ctrlProps/ctrlProp4166.xml" ContentType="application/vnd.ms-excel.controlproperties+xml"/>
  <Override PartName="/xl/ctrlProps/ctrlProp4167.xml" ContentType="application/vnd.ms-excel.controlproperties+xml"/>
  <Override PartName="/xl/ctrlProps/ctrlProp4168.xml" ContentType="application/vnd.ms-excel.controlproperties+xml"/>
  <Override PartName="/xl/ctrlProps/ctrlProp4169.xml" ContentType="application/vnd.ms-excel.controlproperties+xml"/>
  <Override PartName="/xl/ctrlProps/ctrlProp4170.xml" ContentType="application/vnd.ms-excel.controlproperties+xml"/>
  <Override PartName="/xl/ctrlProps/ctrlProp4171.xml" ContentType="application/vnd.ms-excel.controlproperties+xml"/>
  <Override PartName="/xl/ctrlProps/ctrlProp4172.xml" ContentType="application/vnd.ms-excel.controlproperties+xml"/>
  <Override PartName="/xl/ctrlProps/ctrlProp4173.xml" ContentType="application/vnd.ms-excel.controlproperties+xml"/>
  <Override PartName="/xl/ctrlProps/ctrlProp4174.xml" ContentType="application/vnd.ms-excel.controlproperties+xml"/>
  <Override PartName="/xl/ctrlProps/ctrlProp4175.xml" ContentType="application/vnd.ms-excel.controlproperties+xml"/>
  <Override PartName="/xl/ctrlProps/ctrlProp4176.xml" ContentType="application/vnd.ms-excel.controlproperties+xml"/>
  <Override PartName="/xl/ctrlProps/ctrlProp4177.xml" ContentType="application/vnd.ms-excel.controlproperties+xml"/>
  <Override PartName="/xl/ctrlProps/ctrlProp4178.xml" ContentType="application/vnd.ms-excel.controlproperties+xml"/>
  <Override PartName="/xl/ctrlProps/ctrlProp4179.xml" ContentType="application/vnd.ms-excel.controlproperties+xml"/>
  <Override PartName="/xl/ctrlProps/ctrlProp4180.xml" ContentType="application/vnd.ms-excel.controlproperties+xml"/>
  <Override PartName="/xl/ctrlProps/ctrlProp4181.xml" ContentType="application/vnd.ms-excel.controlproperties+xml"/>
  <Override PartName="/xl/ctrlProps/ctrlProp4182.xml" ContentType="application/vnd.ms-excel.controlproperties+xml"/>
  <Override PartName="/xl/ctrlProps/ctrlProp4183.xml" ContentType="application/vnd.ms-excel.controlproperties+xml"/>
  <Override PartName="/xl/ctrlProps/ctrlProp4184.xml" ContentType="application/vnd.ms-excel.controlproperties+xml"/>
  <Override PartName="/xl/drawings/drawing102.xml" ContentType="application/vnd.openxmlformats-officedocument.drawing+xml"/>
  <Override PartName="/xl/ctrlProps/ctrlProp4185.xml" ContentType="application/vnd.ms-excel.controlproperties+xml"/>
  <Override PartName="/xl/ctrlProps/ctrlProp4186.xml" ContentType="application/vnd.ms-excel.controlproperties+xml"/>
  <Override PartName="/xl/ctrlProps/ctrlProp4187.xml" ContentType="application/vnd.ms-excel.controlproperties+xml"/>
  <Override PartName="/xl/ctrlProps/ctrlProp4188.xml" ContentType="application/vnd.ms-excel.controlproperties+xml"/>
  <Override PartName="/xl/ctrlProps/ctrlProp4189.xml" ContentType="application/vnd.ms-excel.controlproperties+xml"/>
  <Override PartName="/xl/ctrlProps/ctrlProp4190.xml" ContentType="application/vnd.ms-excel.controlproperties+xml"/>
  <Override PartName="/xl/ctrlProps/ctrlProp4191.xml" ContentType="application/vnd.ms-excel.controlproperties+xml"/>
  <Override PartName="/xl/ctrlProps/ctrlProp4192.xml" ContentType="application/vnd.ms-excel.controlproperties+xml"/>
  <Override PartName="/xl/ctrlProps/ctrlProp4193.xml" ContentType="application/vnd.ms-excel.controlproperties+xml"/>
  <Override PartName="/xl/ctrlProps/ctrlProp4194.xml" ContentType="application/vnd.ms-excel.controlproperties+xml"/>
  <Override PartName="/xl/ctrlProps/ctrlProp4195.xml" ContentType="application/vnd.ms-excel.controlproperties+xml"/>
  <Override PartName="/xl/ctrlProps/ctrlProp4196.xml" ContentType="application/vnd.ms-excel.controlproperties+xml"/>
  <Override PartName="/xl/ctrlProps/ctrlProp4197.xml" ContentType="application/vnd.ms-excel.controlproperties+xml"/>
  <Override PartName="/xl/ctrlProps/ctrlProp4198.xml" ContentType="application/vnd.ms-excel.controlproperties+xml"/>
  <Override PartName="/xl/ctrlProps/ctrlProp4199.xml" ContentType="application/vnd.ms-excel.controlproperties+xml"/>
  <Override PartName="/xl/ctrlProps/ctrlProp4200.xml" ContentType="application/vnd.ms-excel.controlproperties+xml"/>
  <Override PartName="/xl/ctrlProps/ctrlProp4201.xml" ContentType="application/vnd.ms-excel.controlproperties+xml"/>
  <Override PartName="/xl/ctrlProps/ctrlProp4202.xml" ContentType="application/vnd.ms-excel.controlproperties+xml"/>
  <Override PartName="/xl/ctrlProps/ctrlProp4203.xml" ContentType="application/vnd.ms-excel.controlproperties+xml"/>
  <Override PartName="/xl/ctrlProps/ctrlProp4204.xml" ContentType="application/vnd.ms-excel.controlproperties+xml"/>
  <Override PartName="/xl/ctrlProps/ctrlProp4205.xml" ContentType="application/vnd.ms-excel.controlproperties+xml"/>
  <Override PartName="/xl/ctrlProps/ctrlProp4206.xml" ContentType="application/vnd.ms-excel.controlproperties+xml"/>
  <Override PartName="/xl/ctrlProps/ctrlProp4207.xml" ContentType="application/vnd.ms-excel.controlproperties+xml"/>
  <Override PartName="/xl/ctrlProps/ctrlProp4208.xml" ContentType="application/vnd.ms-excel.controlproperties+xml"/>
  <Override PartName="/xl/ctrlProps/ctrlProp4209.xml" ContentType="application/vnd.ms-excel.controlproperties+xml"/>
  <Override PartName="/xl/ctrlProps/ctrlProp4210.xml" ContentType="application/vnd.ms-excel.controlproperties+xml"/>
  <Override PartName="/xl/ctrlProps/ctrlProp4211.xml" ContentType="application/vnd.ms-excel.controlproperties+xml"/>
  <Override PartName="/xl/ctrlProps/ctrlProp4212.xml" ContentType="application/vnd.ms-excel.controlproperties+xml"/>
  <Override PartName="/xl/ctrlProps/ctrlProp4213.xml" ContentType="application/vnd.ms-excel.controlproperties+xml"/>
  <Override PartName="/xl/ctrlProps/ctrlProp4214.xml" ContentType="application/vnd.ms-excel.controlproperties+xml"/>
  <Override PartName="/xl/ctrlProps/ctrlProp4215.xml" ContentType="application/vnd.ms-excel.controlproperties+xml"/>
  <Override PartName="/xl/ctrlProps/ctrlProp4216.xml" ContentType="application/vnd.ms-excel.controlproperties+xml"/>
  <Override PartName="/xl/ctrlProps/ctrlProp4217.xml" ContentType="application/vnd.ms-excel.controlproperties+xml"/>
  <Override PartName="/xl/ctrlProps/ctrlProp4218.xml" ContentType="application/vnd.ms-excel.controlproperties+xml"/>
  <Override PartName="/xl/ctrlProps/ctrlProp4219.xml" ContentType="application/vnd.ms-excel.controlproperties+xml"/>
  <Override PartName="/xl/ctrlProps/ctrlProp4220.xml" ContentType="application/vnd.ms-excel.controlproperties+xml"/>
  <Override PartName="/xl/ctrlProps/ctrlProp4221.xml" ContentType="application/vnd.ms-excel.controlproperties+xml"/>
  <Override PartName="/xl/drawings/drawing103.xml" ContentType="application/vnd.openxmlformats-officedocument.drawing+xml"/>
  <Override PartName="/xl/ctrlProps/ctrlProp4222.xml" ContentType="application/vnd.ms-excel.controlproperties+xml"/>
  <Override PartName="/xl/ctrlProps/ctrlProp4223.xml" ContentType="application/vnd.ms-excel.controlproperties+xml"/>
  <Override PartName="/xl/ctrlProps/ctrlProp4224.xml" ContentType="application/vnd.ms-excel.controlproperties+xml"/>
  <Override PartName="/xl/ctrlProps/ctrlProp4225.xml" ContentType="application/vnd.ms-excel.controlproperties+xml"/>
  <Override PartName="/xl/ctrlProps/ctrlProp4226.xml" ContentType="application/vnd.ms-excel.controlproperties+xml"/>
  <Override PartName="/xl/ctrlProps/ctrlProp4227.xml" ContentType="application/vnd.ms-excel.controlproperties+xml"/>
  <Override PartName="/xl/ctrlProps/ctrlProp4228.xml" ContentType="application/vnd.ms-excel.controlproperties+xml"/>
  <Override PartName="/xl/ctrlProps/ctrlProp4229.xml" ContentType="application/vnd.ms-excel.controlproperties+xml"/>
  <Override PartName="/xl/ctrlProps/ctrlProp4230.xml" ContentType="application/vnd.ms-excel.controlproperties+xml"/>
  <Override PartName="/xl/ctrlProps/ctrlProp4231.xml" ContentType="application/vnd.ms-excel.controlproperties+xml"/>
  <Override PartName="/xl/ctrlProps/ctrlProp4232.xml" ContentType="application/vnd.ms-excel.controlproperties+xml"/>
  <Override PartName="/xl/ctrlProps/ctrlProp4233.xml" ContentType="application/vnd.ms-excel.controlproperties+xml"/>
  <Override PartName="/xl/ctrlProps/ctrlProp4234.xml" ContentType="application/vnd.ms-excel.controlproperties+xml"/>
  <Override PartName="/xl/ctrlProps/ctrlProp4235.xml" ContentType="application/vnd.ms-excel.controlproperties+xml"/>
  <Override PartName="/xl/ctrlProps/ctrlProp4236.xml" ContentType="application/vnd.ms-excel.controlproperties+xml"/>
  <Override PartName="/xl/ctrlProps/ctrlProp4237.xml" ContentType="application/vnd.ms-excel.controlproperties+xml"/>
  <Override PartName="/xl/ctrlProps/ctrlProp4238.xml" ContentType="application/vnd.ms-excel.controlproperties+xml"/>
  <Override PartName="/xl/ctrlProps/ctrlProp4239.xml" ContentType="application/vnd.ms-excel.controlproperties+xml"/>
  <Override PartName="/xl/ctrlProps/ctrlProp4240.xml" ContentType="application/vnd.ms-excel.controlproperties+xml"/>
  <Override PartName="/xl/ctrlProps/ctrlProp4241.xml" ContentType="application/vnd.ms-excel.controlproperties+xml"/>
  <Override PartName="/xl/ctrlProps/ctrlProp4242.xml" ContentType="application/vnd.ms-excel.controlproperties+xml"/>
  <Override PartName="/xl/ctrlProps/ctrlProp4243.xml" ContentType="application/vnd.ms-excel.controlproperties+xml"/>
  <Override PartName="/xl/ctrlProps/ctrlProp4244.xml" ContentType="application/vnd.ms-excel.controlproperties+xml"/>
  <Override PartName="/xl/ctrlProps/ctrlProp4245.xml" ContentType="application/vnd.ms-excel.controlproperties+xml"/>
  <Override PartName="/xl/ctrlProps/ctrlProp4246.xml" ContentType="application/vnd.ms-excel.controlproperties+xml"/>
  <Override PartName="/xl/ctrlProps/ctrlProp4247.xml" ContentType="application/vnd.ms-excel.controlproperties+xml"/>
  <Override PartName="/xl/ctrlProps/ctrlProp4248.xml" ContentType="application/vnd.ms-excel.controlproperties+xml"/>
  <Override PartName="/xl/ctrlProps/ctrlProp4249.xml" ContentType="application/vnd.ms-excel.controlproperties+xml"/>
  <Override PartName="/xl/ctrlProps/ctrlProp4250.xml" ContentType="application/vnd.ms-excel.controlproperties+xml"/>
  <Override PartName="/xl/ctrlProps/ctrlProp4251.xml" ContentType="application/vnd.ms-excel.controlproperties+xml"/>
  <Override PartName="/xl/ctrlProps/ctrlProp4252.xml" ContentType="application/vnd.ms-excel.controlproperties+xml"/>
  <Override PartName="/xl/ctrlProps/ctrlProp4253.xml" ContentType="application/vnd.ms-excel.controlproperties+xml"/>
  <Override PartName="/xl/ctrlProps/ctrlProp4254.xml" ContentType="application/vnd.ms-excel.controlproperties+xml"/>
  <Override PartName="/xl/ctrlProps/ctrlProp4255.xml" ContentType="application/vnd.ms-excel.controlproperties+xml"/>
  <Override PartName="/xl/ctrlProps/ctrlProp4256.xml" ContentType="application/vnd.ms-excel.controlproperties+xml"/>
  <Override PartName="/xl/ctrlProps/ctrlProp4257.xml" ContentType="application/vnd.ms-excel.controlproperties+xml"/>
  <Override PartName="/xl/ctrlProps/ctrlProp4258.xml" ContentType="application/vnd.ms-excel.controlproperties+xml"/>
  <Override PartName="/xl/ctrlProps/ctrlProp4259.xml" ContentType="application/vnd.ms-excel.controlproperties+xml"/>
  <Override PartName="/xl/ctrlProps/ctrlProp4260.xml" ContentType="application/vnd.ms-excel.controlproperties+xml"/>
  <Override PartName="/xl/drawings/drawing104.xml" ContentType="application/vnd.openxmlformats-officedocument.drawing+xml"/>
  <Override PartName="/xl/ctrlProps/ctrlProp4261.xml" ContentType="application/vnd.ms-excel.controlproperties+xml"/>
  <Override PartName="/xl/ctrlProps/ctrlProp4262.xml" ContentType="application/vnd.ms-excel.controlproperties+xml"/>
  <Override PartName="/xl/ctrlProps/ctrlProp4263.xml" ContentType="application/vnd.ms-excel.controlproperties+xml"/>
  <Override PartName="/xl/ctrlProps/ctrlProp4264.xml" ContentType="application/vnd.ms-excel.controlproperties+xml"/>
  <Override PartName="/xl/ctrlProps/ctrlProp4265.xml" ContentType="application/vnd.ms-excel.controlproperties+xml"/>
  <Override PartName="/xl/ctrlProps/ctrlProp4266.xml" ContentType="application/vnd.ms-excel.controlproperties+xml"/>
  <Override PartName="/xl/ctrlProps/ctrlProp4267.xml" ContentType="application/vnd.ms-excel.controlproperties+xml"/>
  <Override PartName="/xl/ctrlProps/ctrlProp4268.xml" ContentType="application/vnd.ms-excel.controlproperties+xml"/>
  <Override PartName="/xl/ctrlProps/ctrlProp4269.xml" ContentType="application/vnd.ms-excel.controlproperties+xml"/>
  <Override PartName="/xl/ctrlProps/ctrlProp4270.xml" ContentType="application/vnd.ms-excel.controlproperties+xml"/>
  <Override PartName="/xl/ctrlProps/ctrlProp4271.xml" ContentType="application/vnd.ms-excel.controlproperties+xml"/>
  <Override PartName="/xl/ctrlProps/ctrlProp4272.xml" ContentType="application/vnd.ms-excel.controlproperties+xml"/>
  <Override PartName="/xl/ctrlProps/ctrlProp4273.xml" ContentType="application/vnd.ms-excel.controlproperties+xml"/>
  <Override PartName="/xl/ctrlProps/ctrlProp4274.xml" ContentType="application/vnd.ms-excel.controlproperties+xml"/>
  <Override PartName="/xl/ctrlProps/ctrlProp4275.xml" ContentType="application/vnd.ms-excel.controlproperties+xml"/>
  <Override PartName="/xl/ctrlProps/ctrlProp4276.xml" ContentType="application/vnd.ms-excel.controlproperties+xml"/>
  <Override PartName="/xl/ctrlProps/ctrlProp4277.xml" ContentType="application/vnd.ms-excel.controlproperties+xml"/>
  <Override PartName="/xl/ctrlProps/ctrlProp4278.xml" ContentType="application/vnd.ms-excel.controlproperties+xml"/>
  <Override PartName="/xl/ctrlProps/ctrlProp4279.xml" ContentType="application/vnd.ms-excel.controlproperties+xml"/>
  <Override PartName="/xl/ctrlProps/ctrlProp4280.xml" ContentType="application/vnd.ms-excel.controlproperties+xml"/>
  <Override PartName="/xl/ctrlProps/ctrlProp4281.xml" ContentType="application/vnd.ms-excel.controlproperties+xml"/>
  <Override PartName="/xl/ctrlProps/ctrlProp4282.xml" ContentType="application/vnd.ms-excel.controlproperties+xml"/>
  <Override PartName="/xl/ctrlProps/ctrlProp4283.xml" ContentType="application/vnd.ms-excel.controlproperties+xml"/>
  <Override PartName="/xl/ctrlProps/ctrlProp4284.xml" ContentType="application/vnd.ms-excel.controlproperties+xml"/>
  <Override PartName="/xl/ctrlProps/ctrlProp4285.xml" ContentType="application/vnd.ms-excel.controlproperties+xml"/>
  <Override PartName="/xl/ctrlProps/ctrlProp4286.xml" ContentType="application/vnd.ms-excel.controlproperties+xml"/>
  <Override PartName="/xl/ctrlProps/ctrlProp4287.xml" ContentType="application/vnd.ms-excel.controlproperties+xml"/>
  <Override PartName="/xl/ctrlProps/ctrlProp4288.xml" ContentType="application/vnd.ms-excel.controlproperties+xml"/>
  <Override PartName="/xl/ctrlProps/ctrlProp4289.xml" ContentType="application/vnd.ms-excel.controlproperties+xml"/>
  <Override PartName="/xl/ctrlProps/ctrlProp4290.xml" ContentType="application/vnd.ms-excel.controlproperties+xml"/>
  <Override PartName="/xl/ctrlProps/ctrlProp4291.xml" ContentType="application/vnd.ms-excel.controlproperties+xml"/>
  <Override PartName="/xl/ctrlProps/ctrlProp4292.xml" ContentType="application/vnd.ms-excel.controlproperties+xml"/>
  <Override PartName="/xl/ctrlProps/ctrlProp4293.xml" ContentType="application/vnd.ms-excel.controlproperties+xml"/>
  <Override PartName="/xl/ctrlProps/ctrlProp4294.xml" ContentType="application/vnd.ms-excel.controlproperties+xml"/>
  <Override PartName="/xl/ctrlProps/ctrlProp4295.xml" ContentType="application/vnd.ms-excel.controlproperties+xml"/>
  <Override PartName="/xl/ctrlProps/ctrlProp4296.xml" ContentType="application/vnd.ms-excel.controlproperties+xml"/>
  <Override PartName="/xl/ctrlProps/ctrlProp4297.xml" ContentType="application/vnd.ms-excel.controlproperties+xml"/>
  <Override PartName="/xl/ctrlProps/ctrlProp4298.xml" ContentType="application/vnd.ms-excel.controlproperties+xml"/>
  <Override PartName="/xl/ctrlProps/ctrlProp4299.xml" ContentType="application/vnd.ms-excel.controlproperties+xml"/>
  <Override PartName="/xl/ctrlProps/ctrlProp4300.xml" ContentType="application/vnd.ms-excel.controlproperties+xml"/>
  <Override PartName="/xl/drawings/drawing105.xml" ContentType="application/vnd.openxmlformats-officedocument.drawing+xml"/>
  <Override PartName="/xl/ctrlProps/ctrlProp4301.xml" ContentType="application/vnd.ms-excel.controlproperties+xml"/>
  <Override PartName="/xl/ctrlProps/ctrlProp4302.xml" ContentType="application/vnd.ms-excel.controlproperties+xml"/>
  <Override PartName="/xl/ctrlProps/ctrlProp4303.xml" ContentType="application/vnd.ms-excel.controlproperties+xml"/>
  <Override PartName="/xl/ctrlProps/ctrlProp4304.xml" ContentType="application/vnd.ms-excel.controlproperties+xml"/>
  <Override PartName="/xl/ctrlProps/ctrlProp4305.xml" ContentType="application/vnd.ms-excel.controlproperties+xml"/>
  <Override PartName="/xl/ctrlProps/ctrlProp4306.xml" ContentType="application/vnd.ms-excel.controlproperties+xml"/>
  <Override PartName="/xl/ctrlProps/ctrlProp4307.xml" ContentType="application/vnd.ms-excel.controlproperties+xml"/>
  <Override PartName="/xl/ctrlProps/ctrlProp4308.xml" ContentType="application/vnd.ms-excel.controlproperties+xml"/>
  <Override PartName="/xl/ctrlProps/ctrlProp4309.xml" ContentType="application/vnd.ms-excel.controlproperties+xml"/>
  <Override PartName="/xl/ctrlProps/ctrlProp4310.xml" ContentType="application/vnd.ms-excel.controlproperties+xml"/>
  <Override PartName="/xl/ctrlProps/ctrlProp4311.xml" ContentType="application/vnd.ms-excel.controlproperties+xml"/>
  <Override PartName="/xl/ctrlProps/ctrlProp4312.xml" ContentType="application/vnd.ms-excel.controlproperties+xml"/>
  <Override PartName="/xl/ctrlProps/ctrlProp4313.xml" ContentType="application/vnd.ms-excel.controlproperties+xml"/>
  <Override PartName="/xl/ctrlProps/ctrlProp4314.xml" ContentType="application/vnd.ms-excel.controlproperties+xml"/>
  <Override PartName="/xl/ctrlProps/ctrlProp4315.xml" ContentType="application/vnd.ms-excel.controlproperties+xml"/>
  <Override PartName="/xl/ctrlProps/ctrlProp4316.xml" ContentType="application/vnd.ms-excel.controlproperties+xml"/>
  <Override PartName="/xl/ctrlProps/ctrlProp4317.xml" ContentType="application/vnd.ms-excel.controlproperties+xml"/>
  <Override PartName="/xl/ctrlProps/ctrlProp4318.xml" ContentType="application/vnd.ms-excel.controlproperties+xml"/>
  <Override PartName="/xl/ctrlProps/ctrlProp4319.xml" ContentType="application/vnd.ms-excel.controlproperties+xml"/>
  <Override PartName="/xl/ctrlProps/ctrlProp4320.xml" ContentType="application/vnd.ms-excel.controlproperties+xml"/>
  <Override PartName="/xl/ctrlProps/ctrlProp4321.xml" ContentType="application/vnd.ms-excel.controlproperties+xml"/>
  <Override PartName="/xl/ctrlProps/ctrlProp4322.xml" ContentType="application/vnd.ms-excel.controlproperties+xml"/>
  <Override PartName="/xl/ctrlProps/ctrlProp4323.xml" ContentType="application/vnd.ms-excel.controlproperties+xml"/>
  <Override PartName="/xl/ctrlProps/ctrlProp4324.xml" ContentType="application/vnd.ms-excel.controlproperties+xml"/>
  <Override PartName="/xl/ctrlProps/ctrlProp4325.xml" ContentType="application/vnd.ms-excel.controlproperties+xml"/>
  <Override PartName="/xl/ctrlProps/ctrlProp4326.xml" ContentType="application/vnd.ms-excel.controlproperties+xml"/>
  <Override PartName="/xl/ctrlProps/ctrlProp4327.xml" ContentType="application/vnd.ms-excel.controlproperties+xml"/>
  <Override PartName="/xl/ctrlProps/ctrlProp4328.xml" ContentType="application/vnd.ms-excel.controlproperties+xml"/>
  <Override PartName="/xl/ctrlProps/ctrlProp4329.xml" ContentType="application/vnd.ms-excel.controlproperties+xml"/>
  <Override PartName="/xl/ctrlProps/ctrlProp4330.xml" ContentType="application/vnd.ms-excel.controlproperties+xml"/>
  <Override PartName="/xl/ctrlProps/ctrlProp4331.xml" ContentType="application/vnd.ms-excel.controlproperties+xml"/>
  <Override PartName="/xl/ctrlProps/ctrlProp4332.xml" ContentType="application/vnd.ms-excel.controlproperties+xml"/>
  <Override PartName="/xl/ctrlProps/ctrlProp4333.xml" ContentType="application/vnd.ms-excel.controlproperties+xml"/>
  <Override PartName="/xl/ctrlProps/ctrlProp4334.xml" ContentType="application/vnd.ms-excel.controlproperties+xml"/>
  <Override PartName="/xl/ctrlProps/ctrlProp4335.xml" ContentType="application/vnd.ms-excel.controlproperties+xml"/>
  <Override PartName="/xl/ctrlProps/ctrlProp4336.xml" ContentType="application/vnd.ms-excel.controlproperties+xml"/>
  <Override PartName="/xl/ctrlProps/ctrlProp4337.xml" ContentType="application/vnd.ms-excel.controlproperties+xml"/>
  <Override PartName="/xl/ctrlProps/ctrlProp4338.xml" ContentType="application/vnd.ms-excel.controlproperties+xml"/>
  <Override PartName="/xl/ctrlProps/ctrlProp4339.xml" ContentType="application/vnd.ms-excel.controlproperties+xml"/>
  <Override PartName="/xl/ctrlProps/ctrlProp4340.xml" ContentType="application/vnd.ms-excel.controlproperties+xml"/>
  <Override PartName="/xl/ctrlProps/ctrlProp4341.xml" ContentType="application/vnd.ms-excel.controlproperties+xml"/>
  <Override PartName="/xl/ctrlProps/ctrlProp4342.xml" ContentType="application/vnd.ms-excel.controlproperties+xml"/>
  <Override PartName="/xl/ctrlProps/ctrlProp4343.xml" ContentType="application/vnd.ms-excel.controlproperties+xml"/>
  <Override PartName="/xl/drawings/drawing106.xml" ContentType="application/vnd.openxmlformats-officedocument.drawing+xml"/>
  <Override PartName="/xl/ctrlProps/ctrlProp4344.xml" ContentType="application/vnd.ms-excel.controlproperties+xml"/>
  <Override PartName="/xl/ctrlProps/ctrlProp4345.xml" ContentType="application/vnd.ms-excel.controlproperties+xml"/>
  <Override PartName="/xl/ctrlProps/ctrlProp4346.xml" ContentType="application/vnd.ms-excel.controlproperties+xml"/>
  <Override PartName="/xl/ctrlProps/ctrlProp4347.xml" ContentType="application/vnd.ms-excel.controlproperties+xml"/>
  <Override PartName="/xl/ctrlProps/ctrlProp4348.xml" ContentType="application/vnd.ms-excel.controlproperties+xml"/>
  <Override PartName="/xl/ctrlProps/ctrlProp4349.xml" ContentType="application/vnd.ms-excel.controlproperties+xml"/>
  <Override PartName="/xl/ctrlProps/ctrlProp4350.xml" ContentType="application/vnd.ms-excel.controlproperties+xml"/>
  <Override PartName="/xl/ctrlProps/ctrlProp4351.xml" ContentType="application/vnd.ms-excel.controlproperties+xml"/>
  <Override PartName="/xl/ctrlProps/ctrlProp4352.xml" ContentType="application/vnd.ms-excel.controlproperties+xml"/>
  <Override PartName="/xl/ctrlProps/ctrlProp4353.xml" ContentType="application/vnd.ms-excel.controlproperties+xml"/>
  <Override PartName="/xl/ctrlProps/ctrlProp4354.xml" ContentType="application/vnd.ms-excel.controlproperties+xml"/>
  <Override PartName="/xl/ctrlProps/ctrlProp4355.xml" ContentType="application/vnd.ms-excel.controlproperties+xml"/>
  <Override PartName="/xl/ctrlProps/ctrlProp4356.xml" ContentType="application/vnd.ms-excel.controlproperties+xml"/>
  <Override PartName="/xl/ctrlProps/ctrlProp4357.xml" ContentType="application/vnd.ms-excel.controlproperties+xml"/>
  <Override PartName="/xl/ctrlProps/ctrlProp4358.xml" ContentType="application/vnd.ms-excel.controlproperties+xml"/>
  <Override PartName="/xl/ctrlProps/ctrlProp4359.xml" ContentType="application/vnd.ms-excel.controlproperties+xml"/>
  <Override PartName="/xl/ctrlProps/ctrlProp4360.xml" ContentType="application/vnd.ms-excel.controlproperties+xml"/>
  <Override PartName="/xl/ctrlProps/ctrlProp4361.xml" ContentType="application/vnd.ms-excel.controlproperties+xml"/>
  <Override PartName="/xl/ctrlProps/ctrlProp4362.xml" ContentType="application/vnd.ms-excel.controlproperties+xml"/>
  <Override PartName="/xl/ctrlProps/ctrlProp4363.xml" ContentType="application/vnd.ms-excel.controlproperties+xml"/>
  <Override PartName="/xl/ctrlProps/ctrlProp4364.xml" ContentType="application/vnd.ms-excel.controlproperties+xml"/>
  <Override PartName="/xl/ctrlProps/ctrlProp4365.xml" ContentType="application/vnd.ms-excel.controlproperties+xml"/>
  <Override PartName="/xl/ctrlProps/ctrlProp4366.xml" ContentType="application/vnd.ms-excel.controlproperties+xml"/>
  <Override PartName="/xl/ctrlProps/ctrlProp4367.xml" ContentType="application/vnd.ms-excel.controlproperties+xml"/>
  <Override PartName="/xl/ctrlProps/ctrlProp4368.xml" ContentType="application/vnd.ms-excel.controlproperties+xml"/>
  <Override PartName="/xl/ctrlProps/ctrlProp4369.xml" ContentType="application/vnd.ms-excel.controlproperties+xml"/>
  <Override PartName="/xl/ctrlProps/ctrlProp4370.xml" ContentType="application/vnd.ms-excel.controlproperties+xml"/>
  <Override PartName="/xl/ctrlProps/ctrlProp4371.xml" ContentType="application/vnd.ms-excel.controlproperties+xml"/>
  <Override PartName="/xl/ctrlProps/ctrlProp4372.xml" ContentType="application/vnd.ms-excel.controlproperties+xml"/>
  <Override PartName="/xl/ctrlProps/ctrlProp4373.xml" ContentType="application/vnd.ms-excel.controlproperties+xml"/>
  <Override PartName="/xl/ctrlProps/ctrlProp4374.xml" ContentType="application/vnd.ms-excel.controlproperties+xml"/>
  <Override PartName="/xl/ctrlProps/ctrlProp4375.xml" ContentType="application/vnd.ms-excel.controlproperties+xml"/>
  <Override PartName="/xl/ctrlProps/ctrlProp4376.xml" ContentType="application/vnd.ms-excel.controlproperties+xml"/>
  <Override PartName="/xl/ctrlProps/ctrlProp4377.xml" ContentType="application/vnd.ms-excel.controlproperties+xml"/>
  <Override PartName="/xl/ctrlProps/ctrlProp4378.xml" ContentType="application/vnd.ms-excel.controlproperties+xml"/>
  <Override PartName="/xl/ctrlProps/ctrlProp4379.xml" ContentType="application/vnd.ms-excel.controlproperties+xml"/>
  <Override PartName="/xl/ctrlProps/ctrlProp4380.xml" ContentType="application/vnd.ms-excel.controlproperties+xml"/>
  <Override PartName="/xl/drawings/drawing107.xml" ContentType="application/vnd.openxmlformats-officedocument.drawing+xml"/>
  <Override PartName="/xl/ctrlProps/ctrlProp4381.xml" ContentType="application/vnd.ms-excel.controlproperties+xml"/>
  <Override PartName="/xl/ctrlProps/ctrlProp4382.xml" ContentType="application/vnd.ms-excel.controlproperties+xml"/>
  <Override PartName="/xl/ctrlProps/ctrlProp4383.xml" ContentType="application/vnd.ms-excel.controlproperties+xml"/>
  <Override PartName="/xl/ctrlProps/ctrlProp4384.xml" ContentType="application/vnd.ms-excel.controlproperties+xml"/>
  <Override PartName="/xl/ctrlProps/ctrlProp4385.xml" ContentType="application/vnd.ms-excel.controlproperties+xml"/>
  <Override PartName="/xl/ctrlProps/ctrlProp4386.xml" ContentType="application/vnd.ms-excel.controlproperties+xml"/>
  <Override PartName="/xl/ctrlProps/ctrlProp4387.xml" ContentType="application/vnd.ms-excel.controlproperties+xml"/>
  <Override PartName="/xl/ctrlProps/ctrlProp4388.xml" ContentType="application/vnd.ms-excel.controlproperties+xml"/>
  <Override PartName="/xl/ctrlProps/ctrlProp4389.xml" ContentType="application/vnd.ms-excel.controlproperties+xml"/>
  <Override PartName="/xl/ctrlProps/ctrlProp4390.xml" ContentType="application/vnd.ms-excel.controlproperties+xml"/>
  <Override PartName="/xl/ctrlProps/ctrlProp4391.xml" ContentType="application/vnd.ms-excel.controlproperties+xml"/>
  <Override PartName="/xl/ctrlProps/ctrlProp4392.xml" ContentType="application/vnd.ms-excel.controlproperties+xml"/>
  <Override PartName="/xl/ctrlProps/ctrlProp4393.xml" ContentType="application/vnd.ms-excel.controlproperties+xml"/>
  <Override PartName="/xl/ctrlProps/ctrlProp4394.xml" ContentType="application/vnd.ms-excel.controlproperties+xml"/>
  <Override PartName="/xl/ctrlProps/ctrlProp4395.xml" ContentType="application/vnd.ms-excel.controlproperties+xml"/>
  <Override PartName="/xl/ctrlProps/ctrlProp4396.xml" ContentType="application/vnd.ms-excel.controlproperties+xml"/>
  <Override PartName="/xl/ctrlProps/ctrlProp4397.xml" ContentType="application/vnd.ms-excel.controlproperties+xml"/>
  <Override PartName="/xl/ctrlProps/ctrlProp4398.xml" ContentType="application/vnd.ms-excel.controlproperties+xml"/>
  <Override PartName="/xl/ctrlProps/ctrlProp4399.xml" ContentType="application/vnd.ms-excel.controlproperties+xml"/>
  <Override PartName="/xl/ctrlProps/ctrlProp4400.xml" ContentType="application/vnd.ms-excel.controlproperties+xml"/>
  <Override PartName="/xl/ctrlProps/ctrlProp4401.xml" ContentType="application/vnd.ms-excel.controlproperties+xml"/>
  <Override PartName="/xl/ctrlProps/ctrlProp4402.xml" ContentType="application/vnd.ms-excel.controlproperties+xml"/>
  <Override PartName="/xl/ctrlProps/ctrlProp4403.xml" ContentType="application/vnd.ms-excel.controlproperties+xml"/>
  <Override PartName="/xl/ctrlProps/ctrlProp4404.xml" ContentType="application/vnd.ms-excel.controlproperties+xml"/>
  <Override PartName="/xl/ctrlProps/ctrlProp4405.xml" ContentType="application/vnd.ms-excel.controlproperties+xml"/>
  <Override PartName="/xl/ctrlProps/ctrlProp4406.xml" ContentType="application/vnd.ms-excel.controlproperties+xml"/>
  <Override PartName="/xl/ctrlProps/ctrlProp4407.xml" ContentType="application/vnd.ms-excel.controlproperties+xml"/>
  <Override PartName="/xl/ctrlProps/ctrlProp4408.xml" ContentType="application/vnd.ms-excel.controlproperties+xml"/>
  <Override PartName="/xl/ctrlProps/ctrlProp4409.xml" ContentType="application/vnd.ms-excel.controlproperties+xml"/>
  <Override PartName="/xl/ctrlProps/ctrlProp4410.xml" ContentType="application/vnd.ms-excel.controlproperties+xml"/>
  <Override PartName="/xl/ctrlProps/ctrlProp4411.xml" ContentType="application/vnd.ms-excel.controlproperties+xml"/>
  <Override PartName="/xl/ctrlProps/ctrlProp4412.xml" ContentType="application/vnd.ms-excel.controlproperties+xml"/>
  <Override PartName="/xl/ctrlProps/ctrlProp4413.xml" ContentType="application/vnd.ms-excel.controlproperties+xml"/>
  <Override PartName="/xl/ctrlProps/ctrlProp4414.xml" ContentType="application/vnd.ms-excel.controlproperties+xml"/>
  <Override PartName="/xl/ctrlProps/ctrlProp4415.xml" ContentType="application/vnd.ms-excel.controlproperties+xml"/>
  <Override PartName="/xl/ctrlProps/ctrlProp4416.xml" ContentType="application/vnd.ms-excel.controlproperties+xml"/>
  <Override PartName="/xl/ctrlProps/ctrlProp4417.xml" ContentType="application/vnd.ms-excel.controlproperties+xml"/>
  <Override PartName="/xl/drawings/drawing108.xml" ContentType="application/vnd.openxmlformats-officedocument.drawing+xml"/>
  <Override PartName="/xl/ctrlProps/ctrlProp4418.xml" ContentType="application/vnd.ms-excel.controlproperties+xml"/>
  <Override PartName="/xl/ctrlProps/ctrlProp4419.xml" ContentType="application/vnd.ms-excel.controlproperties+xml"/>
  <Override PartName="/xl/ctrlProps/ctrlProp4420.xml" ContentType="application/vnd.ms-excel.controlproperties+xml"/>
  <Override PartName="/xl/ctrlProps/ctrlProp4421.xml" ContentType="application/vnd.ms-excel.controlproperties+xml"/>
  <Override PartName="/xl/ctrlProps/ctrlProp4422.xml" ContentType="application/vnd.ms-excel.controlproperties+xml"/>
  <Override PartName="/xl/ctrlProps/ctrlProp4423.xml" ContentType="application/vnd.ms-excel.controlproperties+xml"/>
  <Override PartName="/xl/ctrlProps/ctrlProp4424.xml" ContentType="application/vnd.ms-excel.controlproperties+xml"/>
  <Override PartName="/xl/ctrlProps/ctrlProp4425.xml" ContentType="application/vnd.ms-excel.controlproperties+xml"/>
  <Override PartName="/xl/ctrlProps/ctrlProp4426.xml" ContentType="application/vnd.ms-excel.controlproperties+xml"/>
  <Override PartName="/xl/ctrlProps/ctrlProp4427.xml" ContentType="application/vnd.ms-excel.controlproperties+xml"/>
  <Override PartName="/xl/ctrlProps/ctrlProp4428.xml" ContentType="application/vnd.ms-excel.controlproperties+xml"/>
  <Override PartName="/xl/ctrlProps/ctrlProp4429.xml" ContentType="application/vnd.ms-excel.controlproperties+xml"/>
  <Override PartName="/xl/ctrlProps/ctrlProp4430.xml" ContentType="application/vnd.ms-excel.controlproperties+xml"/>
  <Override PartName="/xl/ctrlProps/ctrlProp4431.xml" ContentType="application/vnd.ms-excel.controlproperties+xml"/>
  <Override PartName="/xl/ctrlProps/ctrlProp4432.xml" ContentType="application/vnd.ms-excel.controlproperties+xml"/>
  <Override PartName="/xl/ctrlProps/ctrlProp4433.xml" ContentType="application/vnd.ms-excel.controlproperties+xml"/>
  <Override PartName="/xl/ctrlProps/ctrlProp4434.xml" ContentType="application/vnd.ms-excel.controlproperties+xml"/>
  <Override PartName="/xl/ctrlProps/ctrlProp4435.xml" ContentType="application/vnd.ms-excel.controlproperties+xml"/>
  <Override PartName="/xl/ctrlProps/ctrlProp4436.xml" ContentType="application/vnd.ms-excel.controlproperties+xml"/>
  <Override PartName="/xl/ctrlProps/ctrlProp4437.xml" ContentType="application/vnd.ms-excel.controlproperties+xml"/>
  <Override PartName="/xl/ctrlProps/ctrlProp4438.xml" ContentType="application/vnd.ms-excel.controlproperties+xml"/>
  <Override PartName="/xl/ctrlProps/ctrlProp4439.xml" ContentType="application/vnd.ms-excel.controlproperties+xml"/>
  <Override PartName="/xl/ctrlProps/ctrlProp4440.xml" ContentType="application/vnd.ms-excel.controlproperties+xml"/>
  <Override PartName="/xl/ctrlProps/ctrlProp4441.xml" ContentType="application/vnd.ms-excel.controlproperties+xml"/>
  <Override PartName="/xl/ctrlProps/ctrlProp4442.xml" ContentType="application/vnd.ms-excel.controlproperties+xml"/>
  <Override PartName="/xl/ctrlProps/ctrlProp4443.xml" ContentType="application/vnd.ms-excel.controlproperties+xml"/>
  <Override PartName="/xl/ctrlProps/ctrlProp4444.xml" ContentType="application/vnd.ms-excel.controlproperties+xml"/>
  <Override PartName="/xl/ctrlProps/ctrlProp4445.xml" ContentType="application/vnd.ms-excel.controlproperties+xml"/>
  <Override PartName="/xl/ctrlProps/ctrlProp4446.xml" ContentType="application/vnd.ms-excel.controlproperties+xml"/>
  <Override PartName="/xl/ctrlProps/ctrlProp4447.xml" ContentType="application/vnd.ms-excel.controlproperties+xml"/>
  <Override PartName="/xl/ctrlProps/ctrlProp4448.xml" ContentType="application/vnd.ms-excel.controlproperties+xml"/>
  <Override PartName="/xl/ctrlProps/ctrlProp4449.xml" ContentType="application/vnd.ms-excel.controlproperties+xml"/>
  <Override PartName="/xl/ctrlProps/ctrlProp4450.xml" ContentType="application/vnd.ms-excel.controlproperties+xml"/>
  <Override PartName="/xl/ctrlProps/ctrlProp4451.xml" ContentType="application/vnd.ms-excel.controlproperties+xml"/>
  <Override PartName="/xl/ctrlProps/ctrlProp4452.xml" ContentType="application/vnd.ms-excel.controlproperties+xml"/>
  <Override PartName="/xl/ctrlProps/ctrlProp4453.xml" ContentType="application/vnd.ms-excel.controlproperties+xml"/>
  <Override PartName="/xl/ctrlProps/ctrlProp4454.xml" ContentType="application/vnd.ms-excel.controlproperties+xml"/>
  <Override PartName="/xl/ctrlProps/ctrlProp4455.xml" ContentType="application/vnd.ms-excel.controlproperties+xml"/>
  <Override PartName="/xl/ctrlProps/ctrlProp4456.xml" ContentType="application/vnd.ms-excel.controlproperties+xml"/>
  <Override PartName="/xl/drawings/drawing109.xml" ContentType="application/vnd.openxmlformats-officedocument.drawing+xml"/>
  <Override PartName="/xl/ctrlProps/ctrlProp4457.xml" ContentType="application/vnd.ms-excel.controlproperties+xml"/>
  <Override PartName="/xl/ctrlProps/ctrlProp4458.xml" ContentType="application/vnd.ms-excel.controlproperties+xml"/>
  <Override PartName="/xl/ctrlProps/ctrlProp4459.xml" ContentType="application/vnd.ms-excel.controlproperties+xml"/>
  <Override PartName="/xl/ctrlProps/ctrlProp4460.xml" ContentType="application/vnd.ms-excel.controlproperties+xml"/>
  <Override PartName="/xl/ctrlProps/ctrlProp4461.xml" ContentType="application/vnd.ms-excel.controlproperties+xml"/>
  <Override PartName="/xl/ctrlProps/ctrlProp4462.xml" ContentType="application/vnd.ms-excel.controlproperties+xml"/>
  <Override PartName="/xl/ctrlProps/ctrlProp4463.xml" ContentType="application/vnd.ms-excel.controlproperties+xml"/>
  <Override PartName="/xl/ctrlProps/ctrlProp4464.xml" ContentType="application/vnd.ms-excel.controlproperties+xml"/>
  <Override PartName="/xl/ctrlProps/ctrlProp4465.xml" ContentType="application/vnd.ms-excel.controlproperties+xml"/>
  <Override PartName="/xl/ctrlProps/ctrlProp4466.xml" ContentType="application/vnd.ms-excel.controlproperties+xml"/>
  <Override PartName="/xl/ctrlProps/ctrlProp4467.xml" ContentType="application/vnd.ms-excel.controlproperties+xml"/>
  <Override PartName="/xl/ctrlProps/ctrlProp4468.xml" ContentType="application/vnd.ms-excel.controlproperties+xml"/>
  <Override PartName="/xl/ctrlProps/ctrlProp4469.xml" ContentType="application/vnd.ms-excel.controlproperties+xml"/>
  <Override PartName="/xl/ctrlProps/ctrlProp4470.xml" ContentType="application/vnd.ms-excel.controlproperties+xml"/>
  <Override PartName="/xl/ctrlProps/ctrlProp4471.xml" ContentType="application/vnd.ms-excel.controlproperties+xml"/>
  <Override PartName="/xl/ctrlProps/ctrlProp4472.xml" ContentType="application/vnd.ms-excel.controlproperties+xml"/>
  <Override PartName="/xl/ctrlProps/ctrlProp4473.xml" ContentType="application/vnd.ms-excel.controlproperties+xml"/>
  <Override PartName="/xl/ctrlProps/ctrlProp4474.xml" ContentType="application/vnd.ms-excel.controlproperties+xml"/>
  <Override PartName="/xl/ctrlProps/ctrlProp4475.xml" ContentType="application/vnd.ms-excel.controlproperties+xml"/>
  <Override PartName="/xl/ctrlProps/ctrlProp4476.xml" ContentType="application/vnd.ms-excel.controlproperties+xml"/>
  <Override PartName="/xl/ctrlProps/ctrlProp4477.xml" ContentType="application/vnd.ms-excel.controlproperties+xml"/>
  <Override PartName="/xl/ctrlProps/ctrlProp4478.xml" ContentType="application/vnd.ms-excel.controlproperties+xml"/>
  <Override PartName="/xl/ctrlProps/ctrlProp4479.xml" ContentType="application/vnd.ms-excel.controlproperties+xml"/>
  <Override PartName="/xl/ctrlProps/ctrlProp4480.xml" ContentType="application/vnd.ms-excel.controlproperties+xml"/>
  <Override PartName="/xl/ctrlProps/ctrlProp4481.xml" ContentType="application/vnd.ms-excel.controlproperties+xml"/>
  <Override PartName="/xl/ctrlProps/ctrlProp4482.xml" ContentType="application/vnd.ms-excel.controlproperties+xml"/>
  <Override PartName="/xl/ctrlProps/ctrlProp4483.xml" ContentType="application/vnd.ms-excel.controlproperties+xml"/>
  <Override PartName="/xl/ctrlProps/ctrlProp4484.xml" ContentType="application/vnd.ms-excel.controlproperties+xml"/>
  <Override PartName="/xl/ctrlProps/ctrlProp4485.xml" ContentType="application/vnd.ms-excel.controlproperties+xml"/>
  <Override PartName="/xl/ctrlProps/ctrlProp4486.xml" ContentType="application/vnd.ms-excel.controlproperties+xml"/>
  <Override PartName="/xl/ctrlProps/ctrlProp4487.xml" ContentType="application/vnd.ms-excel.controlproperties+xml"/>
  <Override PartName="/xl/ctrlProps/ctrlProp4488.xml" ContentType="application/vnd.ms-excel.controlproperties+xml"/>
  <Override PartName="/xl/ctrlProps/ctrlProp4489.xml" ContentType="application/vnd.ms-excel.controlproperties+xml"/>
  <Override PartName="/xl/ctrlProps/ctrlProp4490.xml" ContentType="application/vnd.ms-excel.controlproperties+xml"/>
  <Override PartName="/xl/ctrlProps/ctrlProp4491.xml" ContentType="application/vnd.ms-excel.controlproperties+xml"/>
  <Override PartName="/xl/ctrlProps/ctrlProp4492.xml" ContentType="application/vnd.ms-excel.controlproperties+xml"/>
  <Override PartName="/xl/ctrlProps/ctrlProp4493.xml" ContentType="application/vnd.ms-excel.controlproperties+xml"/>
  <Override PartName="/xl/ctrlProps/ctrlProp4494.xml" ContentType="application/vnd.ms-excel.controlproperties+xml"/>
  <Override PartName="/xl/ctrlProps/ctrlProp4495.xml" ContentType="application/vnd.ms-excel.controlproperties+xml"/>
  <Override PartName="/xl/ctrlProps/ctrlProp4496.xml" ContentType="application/vnd.ms-excel.controlproperties+xml"/>
  <Override PartName="/xl/drawings/drawing110.xml" ContentType="application/vnd.openxmlformats-officedocument.drawing+xml"/>
  <Override PartName="/xl/ctrlProps/ctrlProp4497.xml" ContentType="application/vnd.ms-excel.controlproperties+xml"/>
  <Override PartName="/xl/ctrlProps/ctrlProp4498.xml" ContentType="application/vnd.ms-excel.controlproperties+xml"/>
  <Override PartName="/xl/ctrlProps/ctrlProp4499.xml" ContentType="application/vnd.ms-excel.controlproperties+xml"/>
  <Override PartName="/xl/ctrlProps/ctrlProp4500.xml" ContentType="application/vnd.ms-excel.controlproperties+xml"/>
  <Override PartName="/xl/ctrlProps/ctrlProp4501.xml" ContentType="application/vnd.ms-excel.controlproperties+xml"/>
  <Override PartName="/xl/ctrlProps/ctrlProp4502.xml" ContentType="application/vnd.ms-excel.controlproperties+xml"/>
  <Override PartName="/xl/ctrlProps/ctrlProp4503.xml" ContentType="application/vnd.ms-excel.controlproperties+xml"/>
  <Override PartName="/xl/ctrlProps/ctrlProp4504.xml" ContentType="application/vnd.ms-excel.controlproperties+xml"/>
  <Override PartName="/xl/ctrlProps/ctrlProp4505.xml" ContentType="application/vnd.ms-excel.controlproperties+xml"/>
  <Override PartName="/xl/ctrlProps/ctrlProp4506.xml" ContentType="application/vnd.ms-excel.controlproperties+xml"/>
  <Override PartName="/xl/ctrlProps/ctrlProp4507.xml" ContentType="application/vnd.ms-excel.controlproperties+xml"/>
  <Override PartName="/xl/ctrlProps/ctrlProp4508.xml" ContentType="application/vnd.ms-excel.controlproperties+xml"/>
  <Override PartName="/xl/ctrlProps/ctrlProp4509.xml" ContentType="application/vnd.ms-excel.controlproperties+xml"/>
  <Override PartName="/xl/ctrlProps/ctrlProp4510.xml" ContentType="application/vnd.ms-excel.controlproperties+xml"/>
  <Override PartName="/xl/ctrlProps/ctrlProp4511.xml" ContentType="application/vnd.ms-excel.controlproperties+xml"/>
  <Override PartName="/xl/ctrlProps/ctrlProp4512.xml" ContentType="application/vnd.ms-excel.controlproperties+xml"/>
  <Override PartName="/xl/ctrlProps/ctrlProp4513.xml" ContentType="application/vnd.ms-excel.controlproperties+xml"/>
  <Override PartName="/xl/ctrlProps/ctrlProp4514.xml" ContentType="application/vnd.ms-excel.controlproperties+xml"/>
  <Override PartName="/xl/ctrlProps/ctrlProp4515.xml" ContentType="application/vnd.ms-excel.controlproperties+xml"/>
  <Override PartName="/xl/ctrlProps/ctrlProp4516.xml" ContentType="application/vnd.ms-excel.controlproperties+xml"/>
  <Override PartName="/xl/ctrlProps/ctrlProp4517.xml" ContentType="application/vnd.ms-excel.controlproperties+xml"/>
  <Override PartName="/xl/ctrlProps/ctrlProp4518.xml" ContentType="application/vnd.ms-excel.controlproperties+xml"/>
  <Override PartName="/xl/ctrlProps/ctrlProp4519.xml" ContentType="application/vnd.ms-excel.controlproperties+xml"/>
  <Override PartName="/xl/ctrlProps/ctrlProp4520.xml" ContentType="application/vnd.ms-excel.controlproperties+xml"/>
  <Override PartName="/xl/ctrlProps/ctrlProp4521.xml" ContentType="application/vnd.ms-excel.controlproperties+xml"/>
  <Override PartName="/xl/ctrlProps/ctrlProp4522.xml" ContentType="application/vnd.ms-excel.controlproperties+xml"/>
  <Override PartName="/xl/ctrlProps/ctrlProp4523.xml" ContentType="application/vnd.ms-excel.controlproperties+xml"/>
  <Override PartName="/xl/ctrlProps/ctrlProp4524.xml" ContentType="application/vnd.ms-excel.controlproperties+xml"/>
  <Override PartName="/xl/ctrlProps/ctrlProp4525.xml" ContentType="application/vnd.ms-excel.controlproperties+xml"/>
  <Override PartName="/xl/ctrlProps/ctrlProp4526.xml" ContentType="application/vnd.ms-excel.controlproperties+xml"/>
  <Override PartName="/xl/ctrlProps/ctrlProp4527.xml" ContentType="application/vnd.ms-excel.controlproperties+xml"/>
  <Override PartName="/xl/ctrlProps/ctrlProp4528.xml" ContentType="application/vnd.ms-excel.controlproperties+xml"/>
  <Override PartName="/xl/ctrlProps/ctrlProp4529.xml" ContentType="application/vnd.ms-excel.controlproperties+xml"/>
  <Override PartName="/xl/ctrlProps/ctrlProp4530.xml" ContentType="application/vnd.ms-excel.controlproperties+xml"/>
  <Override PartName="/xl/ctrlProps/ctrlProp4531.xml" ContentType="application/vnd.ms-excel.controlproperties+xml"/>
  <Override PartName="/xl/ctrlProps/ctrlProp4532.xml" ContentType="application/vnd.ms-excel.controlproperties+xml"/>
  <Override PartName="/xl/ctrlProps/ctrlProp4533.xml" ContentType="application/vnd.ms-excel.controlproperties+xml"/>
  <Override PartName="/xl/drawings/drawing111.xml" ContentType="application/vnd.openxmlformats-officedocument.drawing+xml"/>
  <Override PartName="/xl/ctrlProps/ctrlProp4534.xml" ContentType="application/vnd.ms-excel.controlproperties+xml"/>
  <Override PartName="/xl/ctrlProps/ctrlProp4535.xml" ContentType="application/vnd.ms-excel.controlproperties+xml"/>
  <Override PartName="/xl/ctrlProps/ctrlProp4536.xml" ContentType="application/vnd.ms-excel.controlproperties+xml"/>
  <Override PartName="/xl/ctrlProps/ctrlProp4537.xml" ContentType="application/vnd.ms-excel.controlproperties+xml"/>
  <Override PartName="/xl/ctrlProps/ctrlProp4538.xml" ContentType="application/vnd.ms-excel.controlproperties+xml"/>
  <Override PartName="/xl/ctrlProps/ctrlProp4539.xml" ContentType="application/vnd.ms-excel.controlproperties+xml"/>
  <Override PartName="/xl/ctrlProps/ctrlProp4540.xml" ContentType="application/vnd.ms-excel.controlproperties+xml"/>
  <Override PartName="/xl/ctrlProps/ctrlProp4541.xml" ContentType="application/vnd.ms-excel.controlproperties+xml"/>
  <Override PartName="/xl/ctrlProps/ctrlProp4542.xml" ContentType="application/vnd.ms-excel.controlproperties+xml"/>
  <Override PartName="/xl/ctrlProps/ctrlProp4543.xml" ContentType="application/vnd.ms-excel.controlproperties+xml"/>
  <Override PartName="/xl/ctrlProps/ctrlProp4544.xml" ContentType="application/vnd.ms-excel.controlproperties+xml"/>
  <Override PartName="/xl/ctrlProps/ctrlProp4545.xml" ContentType="application/vnd.ms-excel.controlproperties+xml"/>
  <Override PartName="/xl/ctrlProps/ctrlProp4546.xml" ContentType="application/vnd.ms-excel.controlproperties+xml"/>
  <Override PartName="/xl/ctrlProps/ctrlProp4547.xml" ContentType="application/vnd.ms-excel.controlproperties+xml"/>
  <Override PartName="/xl/ctrlProps/ctrlProp4548.xml" ContentType="application/vnd.ms-excel.controlproperties+xml"/>
  <Override PartName="/xl/ctrlProps/ctrlProp4549.xml" ContentType="application/vnd.ms-excel.controlproperties+xml"/>
  <Override PartName="/xl/ctrlProps/ctrlProp4550.xml" ContentType="application/vnd.ms-excel.controlproperties+xml"/>
  <Override PartName="/xl/ctrlProps/ctrlProp4551.xml" ContentType="application/vnd.ms-excel.controlproperties+xml"/>
  <Override PartName="/xl/ctrlProps/ctrlProp4552.xml" ContentType="application/vnd.ms-excel.controlproperties+xml"/>
  <Override PartName="/xl/ctrlProps/ctrlProp4553.xml" ContentType="application/vnd.ms-excel.controlproperties+xml"/>
  <Override PartName="/xl/ctrlProps/ctrlProp4554.xml" ContentType="application/vnd.ms-excel.controlproperties+xml"/>
  <Override PartName="/xl/ctrlProps/ctrlProp4555.xml" ContentType="application/vnd.ms-excel.controlproperties+xml"/>
  <Override PartName="/xl/ctrlProps/ctrlProp4556.xml" ContentType="application/vnd.ms-excel.controlproperties+xml"/>
  <Override PartName="/xl/ctrlProps/ctrlProp4557.xml" ContentType="application/vnd.ms-excel.controlproperties+xml"/>
  <Override PartName="/xl/ctrlProps/ctrlProp4558.xml" ContentType="application/vnd.ms-excel.controlproperties+xml"/>
  <Override PartName="/xl/ctrlProps/ctrlProp4559.xml" ContentType="application/vnd.ms-excel.controlproperties+xml"/>
  <Override PartName="/xl/ctrlProps/ctrlProp4560.xml" ContentType="application/vnd.ms-excel.controlproperties+xml"/>
  <Override PartName="/xl/ctrlProps/ctrlProp4561.xml" ContentType="application/vnd.ms-excel.controlproperties+xml"/>
  <Override PartName="/xl/ctrlProps/ctrlProp4562.xml" ContentType="application/vnd.ms-excel.controlproperties+xml"/>
  <Override PartName="/xl/ctrlProps/ctrlProp4563.xml" ContentType="application/vnd.ms-excel.controlproperties+xml"/>
  <Override PartName="/xl/ctrlProps/ctrlProp4564.xml" ContentType="application/vnd.ms-excel.controlproperties+xml"/>
  <Override PartName="/xl/ctrlProps/ctrlProp4565.xml" ContentType="application/vnd.ms-excel.controlproperties+xml"/>
  <Override PartName="/xl/ctrlProps/ctrlProp4566.xml" ContentType="application/vnd.ms-excel.controlproperties+xml"/>
  <Override PartName="/xl/ctrlProps/ctrlProp4567.xml" ContentType="application/vnd.ms-excel.controlproperties+xml"/>
  <Override PartName="/xl/ctrlProps/ctrlProp4568.xml" ContentType="application/vnd.ms-excel.controlproperties+xml"/>
  <Override PartName="/xl/ctrlProps/ctrlProp4569.xml" ContentType="application/vnd.ms-excel.controlproperties+xml"/>
  <Override PartName="/xl/ctrlProps/ctrlProp4570.xml" ContentType="application/vnd.ms-excel.controlproperties+xml"/>
  <Override PartName="/xl/drawings/drawing112.xml" ContentType="application/vnd.openxmlformats-officedocument.drawing+xml"/>
  <Override PartName="/xl/ctrlProps/ctrlProp4571.xml" ContentType="application/vnd.ms-excel.controlproperties+xml"/>
  <Override PartName="/xl/ctrlProps/ctrlProp4572.xml" ContentType="application/vnd.ms-excel.controlproperties+xml"/>
  <Override PartName="/xl/ctrlProps/ctrlProp4573.xml" ContentType="application/vnd.ms-excel.controlproperties+xml"/>
  <Override PartName="/xl/ctrlProps/ctrlProp4574.xml" ContentType="application/vnd.ms-excel.controlproperties+xml"/>
  <Override PartName="/xl/ctrlProps/ctrlProp4575.xml" ContentType="application/vnd.ms-excel.controlproperties+xml"/>
  <Override PartName="/xl/ctrlProps/ctrlProp4576.xml" ContentType="application/vnd.ms-excel.controlproperties+xml"/>
  <Override PartName="/xl/ctrlProps/ctrlProp4577.xml" ContentType="application/vnd.ms-excel.controlproperties+xml"/>
  <Override PartName="/xl/ctrlProps/ctrlProp4578.xml" ContentType="application/vnd.ms-excel.controlproperties+xml"/>
  <Override PartName="/xl/ctrlProps/ctrlProp4579.xml" ContentType="application/vnd.ms-excel.controlproperties+xml"/>
  <Override PartName="/xl/ctrlProps/ctrlProp4580.xml" ContentType="application/vnd.ms-excel.controlproperties+xml"/>
  <Override PartName="/xl/ctrlProps/ctrlProp4581.xml" ContentType="application/vnd.ms-excel.controlproperties+xml"/>
  <Override PartName="/xl/ctrlProps/ctrlProp4582.xml" ContentType="application/vnd.ms-excel.controlproperties+xml"/>
  <Override PartName="/xl/ctrlProps/ctrlProp4583.xml" ContentType="application/vnd.ms-excel.controlproperties+xml"/>
  <Override PartName="/xl/ctrlProps/ctrlProp4584.xml" ContentType="application/vnd.ms-excel.controlproperties+xml"/>
  <Override PartName="/xl/ctrlProps/ctrlProp4585.xml" ContentType="application/vnd.ms-excel.controlproperties+xml"/>
  <Override PartName="/xl/ctrlProps/ctrlProp4586.xml" ContentType="application/vnd.ms-excel.controlproperties+xml"/>
  <Override PartName="/xl/ctrlProps/ctrlProp4587.xml" ContentType="application/vnd.ms-excel.controlproperties+xml"/>
  <Override PartName="/xl/ctrlProps/ctrlProp4588.xml" ContentType="application/vnd.ms-excel.controlproperties+xml"/>
  <Override PartName="/xl/ctrlProps/ctrlProp4589.xml" ContentType="application/vnd.ms-excel.controlproperties+xml"/>
  <Override PartName="/xl/ctrlProps/ctrlProp4590.xml" ContentType="application/vnd.ms-excel.controlproperties+xml"/>
  <Override PartName="/xl/ctrlProps/ctrlProp4591.xml" ContentType="application/vnd.ms-excel.controlproperties+xml"/>
  <Override PartName="/xl/ctrlProps/ctrlProp4592.xml" ContentType="application/vnd.ms-excel.controlproperties+xml"/>
  <Override PartName="/xl/ctrlProps/ctrlProp4593.xml" ContentType="application/vnd.ms-excel.controlproperties+xml"/>
  <Override PartName="/xl/ctrlProps/ctrlProp4594.xml" ContentType="application/vnd.ms-excel.controlproperties+xml"/>
  <Override PartName="/xl/ctrlProps/ctrlProp4595.xml" ContentType="application/vnd.ms-excel.controlproperties+xml"/>
  <Override PartName="/xl/ctrlProps/ctrlProp4596.xml" ContentType="application/vnd.ms-excel.controlproperties+xml"/>
  <Override PartName="/xl/ctrlProps/ctrlProp4597.xml" ContentType="application/vnd.ms-excel.controlproperties+xml"/>
  <Override PartName="/xl/ctrlProps/ctrlProp4598.xml" ContentType="application/vnd.ms-excel.controlproperties+xml"/>
  <Override PartName="/xl/ctrlProps/ctrlProp4599.xml" ContentType="application/vnd.ms-excel.controlproperties+xml"/>
  <Override PartName="/xl/ctrlProps/ctrlProp4600.xml" ContentType="application/vnd.ms-excel.controlproperties+xml"/>
  <Override PartName="/xl/ctrlProps/ctrlProp4601.xml" ContentType="application/vnd.ms-excel.controlproperties+xml"/>
  <Override PartName="/xl/ctrlProps/ctrlProp4602.xml" ContentType="application/vnd.ms-excel.controlproperties+xml"/>
  <Override PartName="/xl/ctrlProps/ctrlProp4603.xml" ContentType="application/vnd.ms-excel.controlproperties+xml"/>
  <Override PartName="/xl/ctrlProps/ctrlProp4604.xml" ContentType="application/vnd.ms-excel.controlproperties+xml"/>
  <Override PartName="/xl/ctrlProps/ctrlProp4605.xml" ContentType="application/vnd.ms-excel.controlproperties+xml"/>
  <Override PartName="/xl/ctrlProps/ctrlProp4606.xml" ContentType="application/vnd.ms-excel.controlproperties+xml"/>
  <Override PartName="/xl/ctrlProps/ctrlProp4607.xml" ContentType="application/vnd.ms-excel.controlproperties+xml"/>
  <Override PartName="/xl/ctrlProps/ctrlProp4608.xml" ContentType="application/vnd.ms-excel.controlproperties+xml"/>
  <Override PartName="/xl/ctrlProps/ctrlProp4609.xml" ContentType="application/vnd.ms-excel.controlproperties+xml"/>
  <Override PartName="/xl/ctrlProps/ctrlProp4610.xml" ContentType="application/vnd.ms-excel.controlproperties+xml"/>
  <Override PartName="/xl/ctrlProps/ctrlProp4611.xml" ContentType="application/vnd.ms-excel.controlproperties+xml"/>
  <Override PartName="/xl/ctrlProps/ctrlProp4612.xml" ContentType="application/vnd.ms-excel.controlproperties+xml"/>
  <Override PartName="/xl/ctrlProps/ctrlProp4613.xml" ContentType="application/vnd.ms-excel.controlproperties+xml"/>
  <Override PartName="/xl/drawings/drawing113.xml" ContentType="application/vnd.openxmlformats-officedocument.drawing+xml"/>
  <Override PartName="/xl/ctrlProps/ctrlProp4614.xml" ContentType="application/vnd.ms-excel.controlproperties+xml"/>
  <Override PartName="/xl/ctrlProps/ctrlProp4615.xml" ContentType="application/vnd.ms-excel.controlproperties+xml"/>
  <Override PartName="/xl/ctrlProps/ctrlProp4616.xml" ContentType="application/vnd.ms-excel.controlproperties+xml"/>
  <Override PartName="/xl/ctrlProps/ctrlProp4617.xml" ContentType="application/vnd.ms-excel.controlproperties+xml"/>
  <Override PartName="/xl/ctrlProps/ctrlProp4618.xml" ContentType="application/vnd.ms-excel.controlproperties+xml"/>
  <Override PartName="/xl/ctrlProps/ctrlProp4619.xml" ContentType="application/vnd.ms-excel.controlproperties+xml"/>
  <Override PartName="/xl/ctrlProps/ctrlProp4620.xml" ContentType="application/vnd.ms-excel.controlproperties+xml"/>
  <Override PartName="/xl/ctrlProps/ctrlProp4621.xml" ContentType="application/vnd.ms-excel.controlproperties+xml"/>
  <Override PartName="/xl/ctrlProps/ctrlProp4622.xml" ContentType="application/vnd.ms-excel.controlproperties+xml"/>
  <Override PartName="/xl/ctrlProps/ctrlProp4623.xml" ContentType="application/vnd.ms-excel.controlproperties+xml"/>
  <Override PartName="/xl/ctrlProps/ctrlProp4624.xml" ContentType="application/vnd.ms-excel.controlproperties+xml"/>
  <Override PartName="/xl/ctrlProps/ctrlProp4625.xml" ContentType="application/vnd.ms-excel.controlproperties+xml"/>
  <Override PartName="/xl/ctrlProps/ctrlProp4626.xml" ContentType="application/vnd.ms-excel.controlproperties+xml"/>
  <Override PartName="/xl/ctrlProps/ctrlProp4627.xml" ContentType="application/vnd.ms-excel.controlproperties+xml"/>
  <Override PartName="/xl/ctrlProps/ctrlProp4628.xml" ContentType="application/vnd.ms-excel.controlproperties+xml"/>
  <Override PartName="/xl/ctrlProps/ctrlProp4629.xml" ContentType="application/vnd.ms-excel.controlproperties+xml"/>
  <Override PartName="/xl/ctrlProps/ctrlProp4630.xml" ContentType="application/vnd.ms-excel.controlproperties+xml"/>
  <Override PartName="/xl/ctrlProps/ctrlProp4631.xml" ContentType="application/vnd.ms-excel.controlproperties+xml"/>
  <Override PartName="/xl/ctrlProps/ctrlProp4632.xml" ContentType="application/vnd.ms-excel.controlproperties+xml"/>
  <Override PartName="/xl/ctrlProps/ctrlProp4633.xml" ContentType="application/vnd.ms-excel.controlproperties+xml"/>
  <Override PartName="/xl/ctrlProps/ctrlProp4634.xml" ContentType="application/vnd.ms-excel.controlproperties+xml"/>
  <Override PartName="/xl/ctrlProps/ctrlProp4635.xml" ContentType="application/vnd.ms-excel.controlproperties+xml"/>
  <Override PartName="/xl/ctrlProps/ctrlProp4636.xml" ContentType="application/vnd.ms-excel.controlproperties+xml"/>
  <Override PartName="/xl/ctrlProps/ctrlProp4637.xml" ContentType="application/vnd.ms-excel.controlproperties+xml"/>
  <Override PartName="/xl/ctrlProps/ctrlProp4638.xml" ContentType="application/vnd.ms-excel.controlproperties+xml"/>
  <Override PartName="/xl/ctrlProps/ctrlProp4639.xml" ContentType="application/vnd.ms-excel.controlproperties+xml"/>
  <Override PartName="/xl/ctrlProps/ctrlProp4640.xml" ContentType="application/vnd.ms-excel.controlproperties+xml"/>
  <Override PartName="/xl/ctrlProps/ctrlProp4641.xml" ContentType="application/vnd.ms-excel.controlproperties+xml"/>
  <Override PartName="/xl/ctrlProps/ctrlProp4642.xml" ContentType="application/vnd.ms-excel.controlproperties+xml"/>
  <Override PartName="/xl/ctrlProps/ctrlProp4643.xml" ContentType="application/vnd.ms-excel.controlproperties+xml"/>
  <Override PartName="/xl/ctrlProps/ctrlProp4644.xml" ContentType="application/vnd.ms-excel.controlproperties+xml"/>
  <Override PartName="/xl/ctrlProps/ctrlProp4645.xml" ContentType="application/vnd.ms-excel.controlproperties+xml"/>
  <Override PartName="/xl/ctrlProps/ctrlProp4646.xml" ContentType="application/vnd.ms-excel.controlproperties+xml"/>
  <Override PartName="/xl/ctrlProps/ctrlProp4647.xml" ContentType="application/vnd.ms-excel.controlproperties+xml"/>
  <Override PartName="/xl/ctrlProps/ctrlProp4648.xml" ContentType="application/vnd.ms-excel.controlproperties+xml"/>
  <Override PartName="/xl/ctrlProps/ctrlProp4649.xml" ContentType="application/vnd.ms-excel.controlproperties+xml"/>
  <Override PartName="/xl/ctrlProps/ctrlProp4650.xml" ContentType="application/vnd.ms-excel.controlproperties+xml"/>
  <Override PartName="/xl/ctrlProps/ctrlProp4651.xml" ContentType="application/vnd.ms-excel.controlproperties+xml"/>
  <Override PartName="/xl/ctrlProps/ctrlProp4652.xml" ContentType="application/vnd.ms-excel.controlproperties+xml"/>
  <Override PartName="/xl/ctrlProps/ctrlProp4653.xml" ContentType="application/vnd.ms-excel.controlproperties+xml"/>
  <Override PartName="/xl/ctrlProps/ctrlProp4654.xml" ContentType="application/vnd.ms-excel.controlproperties+xml"/>
  <Override PartName="/xl/ctrlProps/ctrlProp4655.xml" ContentType="application/vnd.ms-excel.controlproperties+xml"/>
  <Override PartName="/xl/drawings/drawing114.xml" ContentType="application/vnd.openxmlformats-officedocument.drawing+xml"/>
  <Override PartName="/xl/ctrlProps/ctrlProp4656.xml" ContentType="application/vnd.ms-excel.controlproperties+xml"/>
  <Override PartName="/xl/ctrlProps/ctrlProp4657.xml" ContentType="application/vnd.ms-excel.controlproperties+xml"/>
  <Override PartName="/xl/ctrlProps/ctrlProp4658.xml" ContentType="application/vnd.ms-excel.controlproperties+xml"/>
  <Override PartName="/xl/ctrlProps/ctrlProp4659.xml" ContentType="application/vnd.ms-excel.controlproperties+xml"/>
  <Override PartName="/xl/ctrlProps/ctrlProp4660.xml" ContentType="application/vnd.ms-excel.controlproperties+xml"/>
  <Override PartName="/xl/ctrlProps/ctrlProp4661.xml" ContentType="application/vnd.ms-excel.controlproperties+xml"/>
  <Override PartName="/xl/ctrlProps/ctrlProp4662.xml" ContentType="application/vnd.ms-excel.controlproperties+xml"/>
  <Override PartName="/xl/ctrlProps/ctrlProp4663.xml" ContentType="application/vnd.ms-excel.controlproperties+xml"/>
  <Override PartName="/xl/ctrlProps/ctrlProp4664.xml" ContentType="application/vnd.ms-excel.controlproperties+xml"/>
  <Override PartName="/xl/ctrlProps/ctrlProp4665.xml" ContentType="application/vnd.ms-excel.controlproperties+xml"/>
  <Override PartName="/xl/ctrlProps/ctrlProp4666.xml" ContentType="application/vnd.ms-excel.controlproperties+xml"/>
  <Override PartName="/xl/ctrlProps/ctrlProp4667.xml" ContentType="application/vnd.ms-excel.controlproperties+xml"/>
  <Override PartName="/xl/ctrlProps/ctrlProp4668.xml" ContentType="application/vnd.ms-excel.controlproperties+xml"/>
  <Override PartName="/xl/ctrlProps/ctrlProp4669.xml" ContentType="application/vnd.ms-excel.controlproperties+xml"/>
  <Override PartName="/xl/ctrlProps/ctrlProp4670.xml" ContentType="application/vnd.ms-excel.controlproperties+xml"/>
  <Override PartName="/xl/ctrlProps/ctrlProp4671.xml" ContentType="application/vnd.ms-excel.controlproperties+xml"/>
  <Override PartName="/xl/ctrlProps/ctrlProp4672.xml" ContentType="application/vnd.ms-excel.controlproperties+xml"/>
  <Override PartName="/xl/ctrlProps/ctrlProp4673.xml" ContentType="application/vnd.ms-excel.controlproperties+xml"/>
  <Override PartName="/xl/ctrlProps/ctrlProp4674.xml" ContentType="application/vnd.ms-excel.controlproperties+xml"/>
  <Override PartName="/xl/ctrlProps/ctrlProp4675.xml" ContentType="application/vnd.ms-excel.controlproperties+xml"/>
  <Override PartName="/xl/ctrlProps/ctrlProp4676.xml" ContentType="application/vnd.ms-excel.controlproperties+xml"/>
  <Override PartName="/xl/ctrlProps/ctrlProp4677.xml" ContentType="application/vnd.ms-excel.controlproperties+xml"/>
  <Override PartName="/xl/ctrlProps/ctrlProp4678.xml" ContentType="application/vnd.ms-excel.controlproperties+xml"/>
  <Override PartName="/xl/ctrlProps/ctrlProp4679.xml" ContentType="application/vnd.ms-excel.controlproperties+xml"/>
  <Override PartName="/xl/ctrlProps/ctrlProp4680.xml" ContentType="application/vnd.ms-excel.controlproperties+xml"/>
  <Override PartName="/xl/ctrlProps/ctrlProp4681.xml" ContentType="application/vnd.ms-excel.controlproperties+xml"/>
  <Override PartName="/xl/ctrlProps/ctrlProp4682.xml" ContentType="application/vnd.ms-excel.controlproperties+xml"/>
  <Override PartName="/xl/ctrlProps/ctrlProp4683.xml" ContentType="application/vnd.ms-excel.controlproperties+xml"/>
  <Override PartName="/xl/ctrlProps/ctrlProp4684.xml" ContentType="application/vnd.ms-excel.controlproperties+xml"/>
  <Override PartName="/xl/ctrlProps/ctrlProp4685.xml" ContentType="application/vnd.ms-excel.controlproperties+xml"/>
  <Override PartName="/xl/ctrlProps/ctrlProp4686.xml" ContentType="application/vnd.ms-excel.controlproperties+xml"/>
  <Override PartName="/xl/ctrlProps/ctrlProp4687.xml" ContentType="application/vnd.ms-excel.controlproperties+xml"/>
  <Override PartName="/xl/ctrlProps/ctrlProp4688.xml" ContentType="application/vnd.ms-excel.controlproperties+xml"/>
  <Override PartName="/xl/ctrlProps/ctrlProp4689.xml" ContentType="application/vnd.ms-excel.controlproperties+xml"/>
  <Override PartName="/xl/ctrlProps/ctrlProp4690.xml" ContentType="application/vnd.ms-excel.controlproperties+xml"/>
  <Override PartName="/xl/ctrlProps/ctrlProp4691.xml" ContentType="application/vnd.ms-excel.controlproperties+xml"/>
  <Override PartName="/xl/ctrlProps/ctrlProp4692.xml" ContentType="application/vnd.ms-excel.controlproperties+xml"/>
  <Override PartName="/xl/ctrlProps/ctrlProp4693.xml" ContentType="application/vnd.ms-excel.controlproperties+xml"/>
  <Override PartName="/xl/ctrlProps/ctrlProp4694.xml" ContentType="application/vnd.ms-excel.controlproperties+xml"/>
  <Override PartName="/xl/ctrlProps/ctrlProp4695.xml" ContentType="application/vnd.ms-excel.controlproperties+xml"/>
  <Override PartName="/xl/ctrlProps/ctrlProp4696.xml" ContentType="application/vnd.ms-excel.controlproperties+xml"/>
  <Override PartName="/xl/drawings/drawing115.xml" ContentType="application/vnd.openxmlformats-officedocument.drawing+xml"/>
  <Override PartName="/xl/ctrlProps/ctrlProp4697.xml" ContentType="application/vnd.ms-excel.controlproperties+xml"/>
  <Override PartName="/xl/ctrlProps/ctrlProp4698.xml" ContentType="application/vnd.ms-excel.controlproperties+xml"/>
  <Override PartName="/xl/ctrlProps/ctrlProp4699.xml" ContentType="application/vnd.ms-excel.controlproperties+xml"/>
  <Override PartName="/xl/ctrlProps/ctrlProp4700.xml" ContentType="application/vnd.ms-excel.controlproperties+xml"/>
  <Override PartName="/xl/ctrlProps/ctrlProp4701.xml" ContentType="application/vnd.ms-excel.controlproperties+xml"/>
  <Override PartName="/xl/ctrlProps/ctrlProp4702.xml" ContentType="application/vnd.ms-excel.controlproperties+xml"/>
  <Override PartName="/xl/ctrlProps/ctrlProp4703.xml" ContentType="application/vnd.ms-excel.controlproperties+xml"/>
  <Override PartName="/xl/ctrlProps/ctrlProp4704.xml" ContentType="application/vnd.ms-excel.controlproperties+xml"/>
  <Override PartName="/xl/ctrlProps/ctrlProp4705.xml" ContentType="application/vnd.ms-excel.controlproperties+xml"/>
  <Override PartName="/xl/ctrlProps/ctrlProp4706.xml" ContentType="application/vnd.ms-excel.controlproperties+xml"/>
  <Override PartName="/xl/ctrlProps/ctrlProp4707.xml" ContentType="application/vnd.ms-excel.controlproperties+xml"/>
  <Override PartName="/xl/ctrlProps/ctrlProp4708.xml" ContentType="application/vnd.ms-excel.controlproperties+xml"/>
  <Override PartName="/xl/ctrlProps/ctrlProp4709.xml" ContentType="application/vnd.ms-excel.controlproperties+xml"/>
  <Override PartName="/xl/ctrlProps/ctrlProp4710.xml" ContentType="application/vnd.ms-excel.controlproperties+xml"/>
  <Override PartName="/xl/ctrlProps/ctrlProp4711.xml" ContentType="application/vnd.ms-excel.controlproperties+xml"/>
  <Override PartName="/xl/ctrlProps/ctrlProp4712.xml" ContentType="application/vnd.ms-excel.controlproperties+xml"/>
  <Override PartName="/xl/ctrlProps/ctrlProp4713.xml" ContentType="application/vnd.ms-excel.controlproperties+xml"/>
  <Override PartName="/xl/ctrlProps/ctrlProp4714.xml" ContentType="application/vnd.ms-excel.controlproperties+xml"/>
  <Override PartName="/xl/ctrlProps/ctrlProp4715.xml" ContentType="application/vnd.ms-excel.controlproperties+xml"/>
  <Override PartName="/xl/ctrlProps/ctrlProp4716.xml" ContentType="application/vnd.ms-excel.controlproperties+xml"/>
  <Override PartName="/xl/ctrlProps/ctrlProp4717.xml" ContentType="application/vnd.ms-excel.controlproperties+xml"/>
  <Override PartName="/xl/ctrlProps/ctrlProp4718.xml" ContentType="application/vnd.ms-excel.controlproperties+xml"/>
  <Override PartName="/xl/ctrlProps/ctrlProp4719.xml" ContentType="application/vnd.ms-excel.controlproperties+xml"/>
  <Override PartName="/xl/ctrlProps/ctrlProp4720.xml" ContentType="application/vnd.ms-excel.controlproperties+xml"/>
  <Override PartName="/xl/ctrlProps/ctrlProp4721.xml" ContentType="application/vnd.ms-excel.controlproperties+xml"/>
  <Override PartName="/xl/ctrlProps/ctrlProp4722.xml" ContentType="application/vnd.ms-excel.controlproperties+xml"/>
  <Override PartName="/xl/ctrlProps/ctrlProp4723.xml" ContentType="application/vnd.ms-excel.controlproperties+xml"/>
  <Override PartName="/xl/ctrlProps/ctrlProp4724.xml" ContentType="application/vnd.ms-excel.controlproperties+xml"/>
  <Override PartName="/xl/ctrlProps/ctrlProp4725.xml" ContentType="application/vnd.ms-excel.controlproperties+xml"/>
  <Override PartName="/xl/ctrlProps/ctrlProp4726.xml" ContentType="application/vnd.ms-excel.controlproperties+xml"/>
  <Override PartName="/xl/ctrlProps/ctrlProp4727.xml" ContentType="application/vnd.ms-excel.controlproperties+xml"/>
  <Override PartName="/xl/ctrlProps/ctrlProp4728.xml" ContentType="application/vnd.ms-excel.controlproperties+xml"/>
  <Override PartName="/xl/ctrlProps/ctrlProp4729.xml" ContentType="application/vnd.ms-excel.controlproperties+xml"/>
  <Override PartName="/xl/ctrlProps/ctrlProp4730.xml" ContentType="application/vnd.ms-excel.controlproperties+xml"/>
  <Override PartName="/xl/ctrlProps/ctrlProp4731.xml" ContentType="application/vnd.ms-excel.controlproperties+xml"/>
  <Override PartName="/xl/ctrlProps/ctrlProp4732.xml" ContentType="application/vnd.ms-excel.controlproperties+xml"/>
  <Override PartName="/xl/ctrlProps/ctrlProp4733.xml" ContentType="application/vnd.ms-excel.controlproperties+xml"/>
  <Override PartName="/xl/ctrlProps/ctrlProp4734.xml" ContentType="application/vnd.ms-excel.controlproperties+xml"/>
  <Override PartName="/xl/ctrlProps/ctrlProp4735.xml" ContentType="application/vnd.ms-excel.controlproperties+xml"/>
  <Override PartName="/xl/ctrlProps/ctrlProp4736.xml" ContentType="application/vnd.ms-excel.controlproperties+xml"/>
  <Override PartName="/xl/drawings/drawing116.xml" ContentType="application/vnd.openxmlformats-officedocument.drawing+xml"/>
  <Override PartName="/xl/ctrlProps/ctrlProp4737.xml" ContentType="application/vnd.ms-excel.controlproperties+xml"/>
  <Override PartName="/xl/ctrlProps/ctrlProp4738.xml" ContentType="application/vnd.ms-excel.controlproperties+xml"/>
  <Override PartName="/xl/ctrlProps/ctrlProp4739.xml" ContentType="application/vnd.ms-excel.controlproperties+xml"/>
  <Override PartName="/xl/ctrlProps/ctrlProp4740.xml" ContentType="application/vnd.ms-excel.controlproperties+xml"/>
  <Override PartName="/xl/ctrlProps/ctrlProp4741.xml" ContentType="application/vnd.ms-excel.controlproperties+xml"/>
  <Override PartName="/xl/ctrlProps/ctrlProp4742.xml" ContentType="application/vnd.ms-excel.controlproperties+xml"/>
  <Override PartName="/xl/ctrlProps/ctrlProp4743.xml" ContentType="application/vnd.ms-excel.controlproperties+xml"/>
  <Override PartName="/xl/ctrlProps/ctrlProp4744.xml" ContentType="application/vnd.ms-excel.controlproperties+xml"/>
  <Override PartName="/xl/ctrlProps/ctrlProp4745.xml" ContentType="application/vnd.ms-excel.controlproperties+xml"/>
  <Override PartName="/xl/ctrlProps/ctrlProp4746.xml" ContentType="application/vnd.ms-excel.controlproperties+xml"/>
  <Override PartName="/xl/ctrlProps/ctrlProp4747.xml" ContentType="application/vnd.ms-excel.controlproperties+xml"/>
  <Override PartName="/xl/ctrlProps/ctrlProp4748.xml" ContentType="application/vnd.ms-excel.controlproperties+xml"/>
  <Override PartName="/xl/ctrlProps/ctrlProp4749.xml" ContentType="application/vnd.ms-excel.controlproperties+xml"/>
  <Override PartName="/xl/ctrlProps/ctrlProp4750.xml" ContentType="application/vnd.ms-excel.controlproperties+xml"/>
  <Override PartName="/xl/ctrlProps/ctrlProp4751.xml" ContentType="application/vnd.ms-excel.controlproperties+xml"/>
  <Override PartName="/xl/ctrlProps/ctrlProp4752.xml" ContentType="application/vnd.ms-excel.controlproperties+xml"/>
  <Override PartName="/xl/ctrlProps/ctrlProp4753.xml" ContentType="application/vnd.ms-excel.controlproperties+xml"/>
  <Override PartName="/xl/ctrlProps/ctrlProp4754.xml" ContentType="application/vnd.ms-excel.controlproperties+xml"/>
  <Override PartName="/xl/ctrlProps/ctrlProp4755.xml" ContentType="application/vnd.ms-excel.controlproperties+xml"/>
  <Override PartName="/xl/ctrlProps/ctrlProp4756.xml" ContentType="application/vnd.ms-excel.controlproperties+xml"/>
  <Override PartName="/xl/ctrlProps/ctrlProp4757.xml" ContentType="application/vnd.ms-excel.controlproperties+xml"/>
  <Override PartName="/xl/ctrlProps/ctrlProp4758.xml" ContentType="application/vnd.ms-excel.controlproperties+xml"/>
  <Override PartName="/xl/ctrlProps/ctrlProp4759.xml" ContentType="application/vnd.ms-excel.controlproperties+xml"/>
  <Override PartName="/xl/ctrlProps/ctrlProp4760.xml" ContentType="application/vnd.ms-excel.controlproperties+xml"/>
  <Override PartName="/xl/ctrlProps/ctrlProp4761.xml" ContentType="application/vnd.ms-excel.controlproperties+xml"/>
  <Override PartName="/xl/ctrlProps/ctrlProp4762.xml" ContentType="application/vnd.ms-excel.controlproperties+xml"/>
  <Override PartName="/xl/ctrlProps/ctrlProp4763.xml" ContentType="application/vnd.ms-excel.controlproperties+xml"/>
  <Override PartName="/xl/ctrlProps/ctrlProp4764.xml" ContentType="application/vnd.ms-excel.controlproperties+xml"/>
  <Override PartName="/xl/ctrlProps/ctrlProp4765.xml" ContentType="application/vnd.ms-excel.controlproperties+xml"/>
  <Override PartName="/xl/ctrlProps/ctrlProp4766.xml" ContentType="application/vnd.ms-excel.controlproperties+xml"/>
  <Override PartName="/xl/ctrlProps/ctrlProp4767.xml" ContentType="application/vnd.ms-excel.controlproperties+xml"/>
  <Override PartName="/xl/ctrlProps/ctrlProp4768.xml" ContentType="application/vnd.ms-excel.controlproperties+xml"/>
  <Override PartName="/xl/ctrlProps/ctrlProp4769.xml" ContentType="application/vnd.ms-excel.controlproperties+xml"/>
  <Override PartName="/xl/drawings/drawing117.xml" ContentType="application/vnd.openxmlformats-officedocument.drawing+xml"/>
  <Override PartName="/xl/ctrlProps/ctrlProp4770.xml" ContentType="application/vnd.ms-excel.controlproperties+xml"/>
  <Override PartName="/xl/ctrlProps/ctrlProp4771.xml" ContentType="application/vnd.ms-excel.controlproperties+xml"/>
  <Override PartName="/xl/ctrlProps/ctrlProp4772.xml" ContentType="application/vnd.ms-excel.controlproperties+xml"/>
  <Override PartName="/xl/ctrlProps/ctrlProp4773.xml" ContentType="application/vnd.ms-excel.controlproperties+xml"/>
  <Override PartName="/xl/ctrlProps/ctrlProp4774.xml" ContentType="application/vnd.ms-excel.controlproperties+xml"/>
  <Override PartName="/xl/ctrlProps/ctrlProp4775.xml" ContentType="application/vnd.ms-excel.controlproperties+xml"/>
  <Override PartName="/xl/ctrlProps/ctrlProp4776.xml" ContentType="application/vnd.ms-excel.controlproperties+xml"/>
  <Override PartName="/xl/ctrlProps/ctrlProp4777.xml" ContentType="application/vnd.ms-excel.controlproperties+xml"/>
  <Override PartName="/xl/ctrlProps/ctrlProp4778.xml" ContentType="application/vnd.ms-excel.controlproperties+xml"/>
  <Override PartName="/xl/ctrlProps/ctrlProp4779.xml" ContentType="application/vnd.ms-excel.controlproperties+xml"/>
  <Override PartName="/xl/ctrlProps/ctrlProp4780.xml" ContentType="application/vnd.ms-excel.controlproperties+xml"/>
  <Override PartName="/xl/ctrlProps/ctrlProp4781.xml" ContentType="application/vnd.ms-excel.controlproperties+xml"/>
  <Override PartName="/xl/ctrlProps/ctrlProp4782.xml" ContentType="application/vnd.ms-excel.controlproperties+xml"/>
  <Override PartName="/xl/ctrlProps/ctrlProp4783.xml" ContentType="application/vnd.ms-excel.controlproperties+xml"/>
  <Override PartName="/xl/ctrlProps/ctrlProp4784.xml" ContentType="application/vnd.ms-excel.controlproperties+xml"/>
  <Override PartName="/xl/ctrlProps/ctrlProp4785.xml" ContentType="application/vnd.ms-excel.controlproperties+xml"/>
  <Override PartName="/xl/ctrlProps/ctrlProp4786.xml" ContentType="application/vnd.ms-excel.controlproperties+xml"/>
  <Override PartName="/xl/ctrlProps/ctrlProp4787.xml" ContentType="application/vnd.ms-excel.controlproperties+xml"/>
  <Override PartName="/xl/ctrlProps/ctrlProp4788.xml" ContentType="application/vnd.ms-excel.controlproperties+xml"/>
  <Override PartName="/xl/ctrlProps/ctrlProp4789.xml" ContentType="application/vnd.ms-excel.controlproperties+xml"/>
  <Override PartName="/xl/ctrlProps/ctrlProp4790.xml" ContentType="application/vnd.ms-excel.controlproperties+xml"/>
  <Override PartName="/xl/ctrlProps/ctrlProp4791.xml" ContentType="application/vnd.ms-excel.controlproperties+xml"/>
  <Override PartName="/xl/ctrlProps/ctrlProp4792.xml" ContentType="application/vnd.ms-excel.controlproperties+xml"/>
  <Override PartName="/xl/ctrlProps/ctrlProp4793.xml" ContentType="application/vnd.ms-excel.controlproperties+xml"/>
  <Override PartName="/xl/ctrlProps/ctrlProp4794.xml" ContentType="application/vnd.ms-excel.controlproperties+xml"/>
  <Override PartName="/xl/ctrlProps/ctrlProp4795.xml" ContentType="application/vnd.ms-excel.controlproperties+xml"/>
  <Override PartName="/xl/ctrlProps/ctrlProp4796.xml" ContentType="application/vnd.ms-excel.controlproperties+xml"/>
  <Override PartName="/xl/ctrlProps/ctrlProp4797.xml" ContentType="application/vnd.ms-excel.controlproperties+xml"/>
  <Override PartName="/xl/ctrlProps/ctrlProp4798.xml" ContentType="application/vnd.ms-excel.controlproperties+xml"/>
  <Override PartName="/xl/ctrlProps/ctrlProp4799.xml" ContentType="application/vnd.ms-excel.controlproperties+xml"/>
  <Override PartName="/xl/ctrlProps/ctrlProp4800.xml" ContentType="application/vnd.ms-excel.controlproperties+xml"/>
  <Override PartName="/xl/ctrlProps/ctrlProp4801.xml" ContentType="application/vnd.ms-excel.controlproperties+xml"/>
  <Override PartName="/xl/ctrlProps/ctrlProp4802.xml" ContentType="application/vnd.ms-excel.controlproperties+xml"/>
  <Override PartName="/xl/drawings/drawing118.xml" ContentType="application/vnd.openxmlformats-officedocument.drawing+xml"/>
  <Override PartName="/xl/ctrlProps/ctrlProp4803.xml" ContentType="application/vnd.ms-excel.controlproperties+xml"/>
  <Override PartName="/xl/ctrlProps/ctrlProp4804.xml" ContentType="application/vnd.ms-excel.controlproperties+xml"/>
  <Override PartName="/xl/ctrlProps/ctrlProp4805.xml" ContentType="application/vnd.ms-excel.controlproperties+xml"/>
  <Override PartName="/xl/ctrlProps/ctrlProp4806.xml" ContentType="application/vnd.ms-excel.controlproperties+xml"/>
  <Override PartName="/xl/ctrlProps/ctrlProp4807.xml" ContentType="application/vnd.ms-excel.controlproperties+xml"/>
  <Override PartName="/xl/ctrlProps/ctrlProp4808.xml" ContentType="application/vnd.ms-excel.controlproperties+xml"/>
  <Override PartName="/xl/ctrlProps/ctrlProp4809.xml" ContentType="application/vnd.ms-excel.controlproperties+xml"/>
  <Override PartName="/xl/ctrlProps/ctrlProp4810.xml" ContentType="application/vnd.ms-excel.controlproperties+xml"/>
  <Override PartName="/xl/ctrlProps/ctrlProp4811.xml" ContentType="application/vnd.ms-excel.controlproperties+xml"/>
  <Override PartName="/xl/ctrlProps/ctrlProp4812.xml" ContentType="application/vnd.ms-excel.controlproperties+xml"/>
  <Override PartName="/xl/ctrlProps/ctrlProp4813.xml" ContentType="application/vnd.ms-excel.controlproperties+xml"/>
  <Override PartName="/xl/ctrlProps/ctrlProp4814.xml" ContentType="application/vnd.ms-excel.controlproperties+xml"/>
  <Override PartName="/xl/ctrlProps/ctrlProp4815.xml" ContentType="application/vnd.ms-excel.controlproperties+xml"/>
  <Override PartName="/xl/ctrlProps/ctrlProp4816.xml" ContentType="application/vnd.ms-excel.controlproperties+xml"/>
  <Override PartName="/xl/ctrlProps/ctrlProp4817.xml" ContentType="application/vnd.ms-excel.controlproperties+xml"/>
  <Override PartName="/xl/ctrlProps/ctrlProp4818.xml" ContentType="application/vnd.ms-excel.controlproperties+xml"/>
  <Override PartName="/xl/ctrlProps/ctrlProp4819.xml" ContentType="application/vnd.ms-excel.controlproperties+xml"/>
  <Override PartName="/xl/ctrlProps/ctrlProp4820.xml" ContentType="application/vnd.ms-excel.controlproperties+xml"/>
  <Override PartName="/xl/ctrlProps/ctrlProp4821.xml" ContentType="application/vnd.ms-excel.controlproperties+xml"/>
  <Override PartName="/xl/ctrlProps/ctrlProp4822.xml" ContentType="application/vnd.ms-excel.controlproperties+xml"/>
  <Override PartName="/xl/ctrlProps/ctrlProp4823.xml" ContentType="application/vnd.ms-excel.controlproperties+xml"/>
  <Override PartName="/xl/ctrlProps/ctrlProp4824.xml" ContentType="application/vnd.ms-excel.controlproperties+xml"/>
  <Override PartName="/xl/ctrlProps/ctrlProp4825.xml" ContentType="application/vnd.ms-excel.controlproperties+xml"/>
  <Override PartName="/xl/ctrlProps/ctrlProp4826.xml" ContentType="application/vnd.ms-excel.controlproperties+xml"/>
  <Override PartName="/xl/ctrlProps/ctrlProp4827.xml" ContentType="application/vnd.ms-excel.controlproperties+xml"/>
  <Override PartName="/xl/ctrlProps/ctrlProp4828.xml" ContentType="application/vnd.ms-excel.controlproperties+xml"/>
  <Override PartName="/xl/ctrlProps/ctrlProp4829.xml" ContentType="application/vnd.ms-excel.controlproperties+xml"/>
  <Override PartName="/xl/ctrlProps/ctrlProp4830.xml" ContentType="application/vnd.ms-excel.controlproperties+xml"/>
  <Override PartName="/xl/ctrlProps/ctrlProp4831.xml" ContentType="application/vnd.ms-excel.controlproperties+xml"/>
  <Override PartName="/xl/ctrlProps/ctrlProp4832.xml" ContentType="application/vnd.ms-excel.controlproperties+xml"/>
  <Override PartName="/xl/ctrlProps/ctrlProp4833.xml" ContentType="application/vnd.ms-excel.controlproperties+xml"/>
  <Override PartName="/xl/ctrlProps/ctrlProp4834.xml" ContentType="application/vnd.ms-excel.controlproperties+xml"/>
  <Override PartName="/xl/ctrlProps/ctrlProp4835.xml" ContentType="application/vnd.ms-excel.controlproperties+xml"/>
  <Override PartName="/xl/drawings/drawing119.xml" ContentType="application/vnd.openxmlformats-officedocument.drawing+xml"/>
  <Override PartName="/xl/ctrlProps/ctrlProp4836.xml" ContentType="application/vnd.ms-excel.controlproperties+xml"/>
  <Override PartName="/xl/ctrlProps/ctrlProp4837.xml" ContentType="application/vnd.ms-excel.controlproperties+xml"/>
  <Override PartName="/xl/ctrlProps/ctrlProp4838.xml" ContentType="application/vnd.ms-excel.controlproperties+xml"/>
  <Override PartName="/xl/ctrlProps/ctrlProp4839.xml" ContentType="application/vnd.ms-excel.controlproperties+xml"/>
  <Override PartName="/xl/ctrlProps/ctrlProp4840.xml" ContentType="application/vnd.ms-excel.controlproperties+xml"/>
  <Override PartName="/xl/ctrlProps/ctrlProp4841.xml" ContentType="application/vnd.ms-excel.controlproperties+xml"/>
  <Override PartName="/xl/ctrlProps/ctrlProp4842.xml" ContentType="application/vnd.ms-excel.controlproperties+xml"/>
  <Override PartName="/xl/ctrlProps/ctrlProp4843.xml" ContentType="application/vnd.ms-excel.controlproperties+xml"/>
  <Override PartName="/xl/ctrlProps/ctrlProp4844.xml" ContentType="application/vnd.ms-excel.controlproperties+xml"/>
  <Override PartName="/xl/ctrlProps/ctrlProp4845.xml" ContentType="application/vnd.ms-excel.controlproperties+xml"/>
  <Override PartName="/xl/ctrlProps/ctrlProp4846.xml" ContentType="application/vnd.ms-excel.controlproperties+xml"/>
  <Override PartName="/xl/ctrlProps/ctrlProp4847.xml" ContentType="application/vnd.ms-excel.controlproperties+xml"/>
  <Override PartName="/xl/ctrlProps/ctrlProp4848.xml" ContentType="application/vnd.ms-excel.controlproperties+xml"/>
  <Override PartName="/xl/ctrlProps/ctrlProp4849.xml" ContentType="application/vnd.ms-excel.controlproperties+xml"/>
  <Override PartName="/xl/ctrlProps/ctrlProp4850.xml" ContentType="application/vnd.ms-excel.controlproperties+xml"/>
  <Override PartName="/xl/ctrlProps/ctrlProp4851.xml" ContentType="application/vnd.ms-excel.controlproperties+xml"/>
  <Override PartName="/xl/ctrlProps/ctrlProp4852.xml" ContentType="application/vnd.ms-excel.controlproperties+xml"/>
  <Override PartName="/xl/ctrlProps/ctrlProp4853.xml" ContentType="application/vnd.ms-excel.controlproperties+xml"/>
  <Override PartName="/xl/ctrlProps/ctrlProp4854.xml" ContentType="application/vnd.ms-excel.controlproperties+xml"/>
  <Override PartName="/xl/ctrlProps/ctrlProp4855.xml" ContentType="application/vnd.ms-excel.controlproperties+xml"/>
  <Override PartName="/xl/ctrlProps/ctrlProp4856.xml" ContentType="application/vnd.ms-excel.controlproperties+xml"/>
  <Override PartName="/xl/ctrlProps/ctrlProp4857.xml" ContentType="application/vnd.ms-excel.controlproperties+xml"/>
  <Override PartName="/xl/ctrlProps/ctrlProp4858.xml" ContentType="application/vnd.ms-excel.controlproperties+xml"/>
  <Override PartName="/xl/ctrlProps/ctrlProp4859.xml" ContentType="application/vnd.ms-excel.controlproperties+xml"/>
  <Override PartName="/xl/ctrlProps/ctrlProp4860.xml" ContentType="application/vnd.ms-excel.controlproperties+xml"/>
  <Override PartName="/xl/ctrlProps/ctrlProp4861.xml" ContentType="application/vnd.ms-excel.controlproperties+xml"/>
  <Override PartName="/xl/ctrlProps/ctrlProp4862.xml" ContentType="application/vnd.ms-excel.controlproperties+xml"/>
  <Override PartName="/xl/ctrlProps/ctrlProp4863.xml" ContentType="application/vnd.ms-excel.controlproperties+xml"/>
  <Override PartName="/xl/ctrlProps/ctrlProp4864.xml" ContentType="application/vnd.ms-excel.controlproperties+xml"/>
  <Override PartName="/xl/ctrlProps/ctrlProp4865.xml" ContentType="application/vnd.ms-excel.controlproperties+xml"/>
  <Override PartName="/xl/ctrlProps/ctrlProp4866.xml" ContentType="application/vnd.ms-excel.controlproperties+xml"/>
  <Override PartName="/xl/ctrlProps/ctrlProp4867.xml" ContentType="application/vnd.ms-excel.controlproperties+xml"/>
  <Override PartName="/xl/ctrlProps/ctrlProp4868.xml" ContentType="application/vnd.ms-excel.controlproperties+xml"/>
  <Override PartName="/xl/drawings/drawing120.xml" ContentType="application/vnd.openxmlformats-officedocument.drawing+xml"/>
  <Override PartName="/xl/ctrlProps/ctrlProp4869.xml" ContentType="application/vnd.ms-excel.controlproperties+xml"/>
  <Override PartName="/xl/ctrlProps/ctrlProp4870.xml" ContentType="application/vnd.ms-excel.controlproperties+xml"/>
  <Override PartName="/xl/ctrlProps/ctrlProp4871.xml" ContentType="application/vnd.ms-excel.controlproperties+xml"/>
  <Override PartName="/xl/ctrlProps/ctrlProp4872.xml" ContentType="application/vnd.ms-excel.controlproperties+xml"/>
  <Override PartName="/xl/ctrlProps/ctrlProp4873.xml" ContentType="application/vnd.ms-excel.controlproperties+xml"/>
  <Override PartName="/xl/ctrlProps/ctrlProp4874.xml" ContentType="application/vnd.ms-excel.controlproperties+xml"/>
  <Override PartName="/xl/ctrlProps/ctrlProp4875.xml" ContentType="application/vnd.ms-excel.controlproperties+xml"/>
  <Override PartName="/xl/ctrlProps/ctrlProp4876.xml" ContentType="application/vnd.ms-excel.controlproperties+xml"/>
  <Override PartName="/xl/ctrlProps/ctrlProp4877.xml" ContentType="application/vnd.ms-excel.controlproperties+xml"/>
  <Override PartName="/xl/ctrlProps/ctrlProp4878.xml" ContentType="application/vnd.ms-excel.controlproperties+xml"/>
  <Override PartName="/xl/ctrlProps/ctrlProp4879.xml" ContentType="application/vnd.ms-excel.controlproperties+xml"/>
  <Override PartName="/xl/ctrlProps/ctrlProp4880.xml" ContentType="application/vnd.ms-excel.controlproperties+xml"/>
  <Override PartName="/xl/ctrlProps/ctrlProp4881.xml" ContentType="application/vnd.ms-excel.controlproperties+xml"/>
  <Override PartName="/xl/ctrlProps/ctrlProp4882.xml" ContentType="application/vnd.ms-excel.controlproperties+xml"/>
  <Override PartName="/xl/ctrlProps/ctrlProp4883.xml" ContentType="application/vnd.ms-excel.controlproperties+xml"/>
  <Override PartName="/xl/ctrlProps/ctrlProp4884.xml" ContentType="application/vnd.ms-excel.controlproperties+xml"/>
  <Override PartName="/xl/ctrlProps/ctrlProp4885.xml" ContentType="application/vnd.ms-excel.controlproperties+xml"/>
  <Override PartName="/xl/ctrlProps/ctrlProp4886.xml" ContentType="application/vnd.ms-excel.controlproperties+xml"/>
  <Override PartName="/xl/ctrlProps/ctrlProp4887.xml" ContentType="application/vnd.ms-excel.controlproperties+xml"/>
  <Override PartName="/xl/ctrlProps/ctrlProp4888.xml" ContentType="application/vnd.ms-excel.controlproperties+xml"/>
  <Override PartName="/xl/ctrlProps/ctrlProp4889.xml" ContentType="application/vnd.ms-excel.controlproperties+xml"/>
  <Override PartName="/xl/ctrlProps/ctrlProp4890.xml" ContentType="application/vnd.ms-excel.controlproperties+xml"/>
  <Override PartName="/xl/ctrlProps/ctrlProp4891.xml" ContentType="application/vnd.ms-excel.controlproperties+xml"/>
  <Override PartName="/xl/ctrlProps/ctrlProp4892.xml" ContentType="application/vnd.ms-excel.controlproperties+xml"/>
  <Override PartName="/xl/ctrlProps/ctrlProp4893.xml" ContentType="application/vnd.ms-excel.controlproperties+xml"/>
  <Override PartName="/xl/ctrlProps/ctrlProp4894.xml" ContentType="application/vnd.ms-excel.controlproperties+xml"/>
  <Override PartName="/xl/ctrlProps/ctrlProp4895.xml" ContentType="application/vnd.ms-excel.controlproperties+xml"/>
  <Override PartName="/xl/ctrlProps/ctrlProp4896.xml" ContentType="application/vnd.ms-excel.controlproperties+xml"/>
  <Override PartName="/xl/ctrlProps/ctrlProp4897.xml" ContentType="application/vnd.ms-excel.controlproperties+xml"/>
  <Override PartName="/xl/ctrlProps/ctrlProp4898.xml" ContentType="application/vnd.ms-excel.controlproperties+xml"/>
  <Override PartName="/xl/ctrlProps/ctrlProp4899.xml" ContentType="application/vnd.ms-excel.controlproperties+xml"/>
  <Override PartName="/xl/ctrlProps/ctrlProp4900.xml" ContentType="application/vnd.ms-excel.controlproperties+xml"/>
  <Override PartName="/xl/ctrlProps/ctrlProp4901.xml" ContentType="application/vnd.ms-excel.controlproperties+xml"/>
  <Override PartName="/xl/drawings/drawing121.xml" ContentType="application/vnd.openxmlformats-officedocument.drawing+xml"/>
  <Override PartName="/xl/ctrlProps/ctrlProp4902.xml" ContentType="application/vnd.ms-excel.controlproperties+xml"/>
  <Override PartName="/xl/ctrlProps/ctrlProp4903.xml" ContentType="application/vnd.ms-excel.controlproperties+xml"/>
  <Override PartName="/xl/ctrlProps/ctrlProp4904.xml" ContentType="application/vnd.ms-excel.controlproperties+xml"/>
  <Override PartName="/xl/ctrlProps/ctrlProp4905.xml" ContentType="application/vnd.ms-excel.controlproperties+xml"/>
  <Override PartName="/xl/ctrlProps/ctrlProp4906.xml" ContentType="application/vnd.ms-excel.controlproperties+xml"/>
  <Override PartName="/xl/ctrlProps/ctrlProp4907.xml" ContentType="application/vnd.ms-excel.controlproperties+xml"/>
  <Override PartName="/xl/ctrlProps/ctrlProp4908.xml" ContentType="application/vnd.ms-excel.controlproperties+xml"/>
  <Override PartName="/xl/ctrlProps/ctrlProp4909.xml" ContentType="application/vnd.ms-excel.controlproperties+xml"/>
  <Override PartName="/xl/ctrlProps/ctrlProp4910.xml" ContentType="application/vnd.ms-excel.controlproperties+xml"/>
  <Override PartName="/xl/ctrlProps/ctrlProp4911.xml" ContentType="application/vnd.ms-excel.controlproperties+xml"/>
  <Override PartName="/xl/ctrlProps/ctrlProp4912.xml" ContentType="application/vnd.ms-excel.controlproperties+xml"/>
  <Override PartName="/xl/ctrlProps/ctrlProp4913.xml" ContentType="application/vnd.ms-excel.controlproperties+xml"/>
  <Override PartName="/xl/ctrlProps/ctrlProp4914.xml" ContentType="application/vnd.ms-excel.controlproperties+xml"/>
  <Override PartName="/xl/ctrlProps/ctrlProp4915.xml" ContentType="application/vnd.ms-excel.controlproperties+xml"/>
  <Override PartName="/xl/ctrlProps/ctrlProp4916.xml" ContentType="application/vnd.ms-excel.controlproperties+xml"/>
  <Override PartName="/xl/ctrlProps/ctrlProp4917.xml" ContentType="application/vnd.ms-excel.controlproperties+xml"/>
  <Override PartName="/xl/ctrlProps/ctrlProp4918.xml" ContentType="application/vnd.ms-excel.controlproperties+xml"/>
  <Override PartName="/xl/ctrlProps/ctrlProp4919.xml" ContentType="application/vnd.ms-excel.controlproperties+xml"/>
  <Override PartName="/xl/ctrlProps/ctrlProp4920.xml" ContentType="application/vnd.ms-excel.controlproperties+xml"/>
  <Override PartName="/xl/ctrlProps/ctrlProp4921.xml" ContentType="application/vnd.ms-excel.controlproperties+xml"/>
  <Override PartName="/xl/ctrlProps/ctrlProp4922.xml" ContentType="application/vnd.ms-excel.controlproperties+xml"/>
  <Override PartName="/xl/ctrlProps/ctrlProp4923.xml" ContentType="application/vnd.ms-excel.controlproperties+xml"/>
  <Override PartName="/xl/ctrlProps/ctrlProp4924.xml" ContentType="application/vnd.ms-excel.controlproperties+xml"/>
  <Override PartName="/xl/ctrlProps/ctrlProp4925.xml" ContentType="application/vnd.ms-excel.controlproperties+xml"/>
  <Override PartName="/xl/ctrlProps/ctrlProp4926.xml" ContentType="application/vnd.ms-excel.controlproperties+xml"/>
  <Override PartName="/xl/ctrlProps/ctrlProp4927.xml" ContentType="application/vnd.ms-excel.controlproperties+xml"/>
  <Override PartName="/xl/ctrlProps/ctrlProp4928.xml" ContentType="application/vnd.ms-excel.controlproperties+xml"/>
  <Override PartName="/xl/ctrlProps/ctrlProp4929.xml" ContentType="application/vnd.ms-excel.controlproperties+xml"/>
  <Override PartName="/xl/ctrlProps/ctrlProp4930.xml" ContentType="application/vnd.ms-excel.controlproperties+xml"/>
  <Override PartName="/xl/ctrlProps/ctrlProp4931.xml" ContentType="application/vnd.ms-excel.controlproperties+xml"/>
  <Override PartName="/xl/ctrlProps/ctrlProp4932.xml" ContentType="application/vnd.ms-excel.controlproperties+xml"/>
  <Override PartName="/xl/ctrlProps/ctrlProp4933.xml" ContentType="application/vnd.ms-excel.controlproperties+xml"/>
  <Override PartName="/xl/drawings/drawing122.xml" ContentType="application/vnd.openxmlformats-officedocument.drawing+xml"/>
  <Override PartName="/xl/ctrlProps/ctrlProp4934.xml" ContentType="application/vnd.ms-excel.controlproperties+xml"/>
  <Override PartName="/xl/ctrlProps/ctrlProp4935.xml" ContentType="application/vnd.ms-excel.controlproperties+xml"/>
  <Override PartName="/xl/ctrlProps/ctrlProp4936.xml" ContentType="application/vnd.ms-excel.controlproperties+xml"/>
  <Override PartName="/xl/ctrlProps/ctrlProp4937.xml" ContentType="application/vnd.ms-excel.controlproperties+xml"/>
  <Override PartName="/xl/ctrlProps/ctrlProp4938.xml" ContentType="application/vnd.ms-excel.controlproperties+xml"/>
  <Override PartName="/xl/ctrlProps/ctrlProp4939.xml" ContentType="application/vnd.ms-excel.controlproperties+xml"/>
  <Override PartName="/xl/ctrlProps/ctrlProp4940.xml" ContentType="application/vnd.ms-excel.controlproperties+xml"/>
  <Override PartName="/xl/ctrlProps/ctrlProp4941.xml" ContentType="application/vnd.ms-excel.controlproperties+xml"/>
  <Override PartName="/xl/ctrlProps/ctrlProp4942.xml" ContentType="application/vnd.ms-excel.controlproperties+xml"/>
  <Override PartName="/xl/ctrlProps/ctrlProp4943.xml" ContentType="application/vnd.ms-excel.controlproperties+xml"/>
  <Override PartName="/xl/ctrlProps/ctrlProp4944.xml" ContentType="application/vnd.ms-excel.controlproperties+xml"/>
  <Override PartName="/xl/ctrlProps/ctrlProp4945.xml" ContentType="application/vnd.ms-excel.controlproperties+xml"/>
  <Override PartName="/xl/ctrlProps/ctrlProp4946.xml" ContentType="application/vnd.ms-excel.controlproperties+xml"/>
  <Override PartName="/xl/ctrlProps/ctrlProp4947.xml" ContentType="application/vnd.ms-excel.controlproperties+xml"/>
  <Override PartName="/xl/ctrlProps/ctrlProp4948.xml" ContentType="application/vnd.ms-excel.controlproperties+xml"/>
  <Override PartName="/xl/ctrlProps/ctrlProp4949.xml" ContentType="application/vnd.ms-excel.controlproperties+xml"/>
  <Override PartName="/xl/ctrlProps/ctrlProp4950.xml" ContentType="application/vnd.ms-excel.controlproperties+xml"/>
  <Override PartName="/xl/ctrlProps/ctrlProp4951.xml" ContentType="application/vnd.ms-excel.controlproperties+xml"/>
  <Override PartName="/xl/ctrlProps/ctrlProp4952.xml" ContentType="application/vnd.ms-excel.controlproperties+xml"/>
  <Override PartName="/xl/ctrlProps/ctrlProp4953.xml" ContentType="application/vnd.ms-excel.controlproperties+xml"/>
  <Override PartName="/xl/ctrlProps/ctrlProp4954.xml" ContentType="application/vnd.ms-excel.controlproperties+xml"/>
  <Override PartName="/xl/ctrlProps/ctrlProp4955.xml" ContentType="application/vnd.ms-excel.controlproperties+xml"/>
  <Override PartName="/xl/ctrlProps/ctrlProp4956.xml" ContentType="application/vnd.ms-excel.controlproperties+xml"/>
  <Override PartName="/xl/ctrlProps/ctrlProp4957.xml" ContentType="application/vnd.ms-excel.controlproperties+xml"/>
  <Override PartName="/xl/ctrlProps/ctrlProp4958.xml" ContentType="application/vnd.ms-excel.controlproperties+xml"/>
  <Override PartName="/xl/ctrlProps/ctrlProp4959.xml" ContentType="application/vnd.ms-excel.controlproperties+xml"/>
  <Override PartName="/xl/ctrlProps/ctrlProp4960.xml" ContentType="application/vnd.ms-excel.controlproperties+xml"/>
  <Override PartName="/xl/ctrlProps/ctrlProp4961.xml" ContentType="application/vnd.ms-excel.controlproperties+xml"/>
  <Override PartName="/xl/ctrlProps/ctrlProp4962.xml" ContentType="application/vnd.ms-excel.controlproperties+xml"/>
  <Override PartName="/xl/ctrlProps/ctrlProp4963.xml" ContentType="application/vnd.ms-excel.controlproperties+xml"/>
  <Override PartName="/xl/ctrlProps/ctrlProp4964.xml" ContentType="application/vnd.ms-excel.controlproperties+xml"/>
  <Override PartName="/xl/ctrlProps/ctrlProp4965.xml" ContentType="application/vnd.ms-excel.controlproperties+xml"/>
  <Override PartName="/xl/drawings/drawing123.xml" ContentType="application/vnd.openxmlformats-officedocument.drawing+xml"/>
  <Override PartName="/xl/ctrlProps/ctrlProp4966.xml" ContentType="application/vnd.ms-excel.controlproperties+xml"/>
  <Override PartName="/xl/ctrlProps/ctrlProp4967.xml" ContentType="application/vnd.ms-excel.controlproperties+xml"/>
  <Override PartName="/xl/ctrlProps/ctrlProp4968.xml" ContentType="application/vnd.ms-excel.controlproperties+xml"/>
  <Override PartName="/xl/ctrlProps/ctrlProp4969.xml" ContentType="application/vnd.ms-excel.controlproperties+xml"/>
  <Override PartName="/xl/ctrlProps/ctrlProp4970.xml" ContentType="application/vnd.ms-excel.controlproperties+xml"/>
  <Override PartName="/xl/ctrlProps/ctrlProp4971.xml" ContentType="application/vnd.ms-excel.controlproperties+xml"/>
  <Override PartName="/xl/ctrlProps/ctrlProp4972.xml" ContentType="application/vnd.ms-excel.controlproperties+xml"/>
  <Override PartName="/xl/ctrlProps/ctrlProp4973.xml" ContentType="application/vnd.ms-excel.controlproperties+xml"/>
  <Override PartName="/xl/ctrlProps/ctrlProp4974.xml" ContentType="application/vnd.ms-excel.controlproperties+xml"/>
  <Override PartName="/xl/ctrlProps/ctrlProp4975.xml" ContentType="application/vnd.ms-excel.controlproperties+xml"/>
  <Override PartName="/xl/ctrlProps/ctrlProp4976.xml" ContentType="application/vnd.ms-excel.controlproperties+xml"/>
  <Override PartName="/xl/ctrlProps/ctrlProp4977.xml" ContentType="application/vnd.ms-excel.controlproperties+xml"/>
  <Override PartName="/xl/ctrlProps/ctrlProp4978.xml" ContentType="application/vnd.ms-excel.controlproperties+xml"/>
  <Override PartName="/xl/ctrlProps/ctrlProp4979.xml" ContentType="application/vnd.ms-excel.controlproperties+xml"/>
  <Override PartName="/xl/ctrlProps/ctrlProp4980.xml" ContentType="application/vnd.ms-excel.controlproperties+xml"/>
  <Override PartName="/xl/ctrlProps/ctrlProp4981.xml" ContentType="application/vnd.ms-excel.controlproperties+xml"/>
  <Override PartName="/xl/ctrlProps/ctrlProp4982.xml" ContentType="application/vnd.ms-excel.controlproperties+xml"/>
  <Override PartName="/xl/ctrlProps/ctrlProp4983.xml" ContentType="application/vnd.ms-excel.controlproperties+xml"/>
  <Override PartName="/xl/ctrlProps/ctrlProp4984.xml" ContentType="application/vnd.ms-excel.controlproperties+xml"/>
  <Override PartName="/xl/ctrlProps/ctrlProp4985.xml" ContentType="application/vnd.ms-excel.controlproperties+xml"/>
  <Override PartName="/xl/ctrlProps/ctrlProp4986.xml" ContentType="application/vnd.ms-excel.controlproperties+xml"/>
  <Override PartName="/xl/ctrlProps/ctrlProp4987.xml" ContentType="application/vnd.ms-excel.controlproperties+xml"/>
  <Override PartName="/xl/ctrlProps/ctrlProp4988.xml" ContentType="application/vnd.ms-excel.controlproperties+xml"/>
  <Override PartName="/xl/ctrlProps/ctrlProp4989.xml" ContentType="application/vnd.ms-excel.controlproperties+xml"/>
  <Override PartName="/xl/ctrlProps/ctrlProp4990.xml" ContentType="application/vnd.ms-excel.controlproperties+xml"/>
  <Override PartName="/xl/ctrlProps/ctrlProp4991.xml" ContentType="application/vnd.ms-excel.controlproperties+xml"/>
  <Override PartName="/xl/ctrlProps/ctrlProp4992.xml" ContentType="application/vnd.ms-excel.controlproperties+xml"/>
  <Override PartName="/xl/ctrlProps/ctrlProp4993.xml" ContentType="application/vnd.ms-excel.controlproperties+xml"/>
  <Override PartName="/xl/ctrlProps/ctrlProp4994.xml" ContentType="application/vnd.ms-excel.controlproperties+xml"/>
  <Override PartName="/xl/ctrlProps/ctrlProp4995.xml" ContentType="application/vnd.ms-excel.controlproperties+xml"/>
  <Override PartName="/xl/ctrlProps/ctrlProp4996.xml" ContentType="application/vnd.ms-excel.controlproperties+xml"/>
  <Override PartName="/xl/ctrlProps/ctrlProp4997.xml" ContentType="application/vnd.ms-excel.controlproperties+xml"/>
  <Override PartName="/xl/drawings/drawing124.xml" ContentType="application/vnd.openxmlformats-officedocument.drawing+xml"/>
  <Override PartName="/xl/ctrlProps/ctrlProp4998.xml" ContentType="application/vnd.ms-excel.controlproperties+xml"/>
  <Override PartName="/xl/ctrlProps/ctrlProp4999.xml" ContentType="application/vnd.ms-excel.controlproperties+xml"/>
  <Override PartName="/xl/ctrlProps/ctrlProp5000.xml" ContentType="application/vnd.ms-excel.controlproperties+xml"/>
  <Override PartName="/xl/ctrlProps/ctrlProp5001.xml" ContentType="application/vnd.ms-excel.controlproperties+xml"/>
  <Override PartName="/xl/ctrlProps/ctrlProp5002.xml" ContentType="application/vnd.ms-excel.controlproperties+xml"/>
  <Override PartName="/xl/ctrlProps/ctrlProp5003.xml" ContentType="application/vnd.ms-excel.controlproperties+xml"/>
  <Override PartName="/xl/ctrlProps/ctrlProp5004.xml" ContentType="application/vnd.ms-excel.controlproperties+xml"/>
  <Override PartName="/xl/ctrlProps/ctrlProp5005.xml" ContentType="application/vnd.ms-excel.controlproperties+xml"/>
  <Override PartName="/xl/ctrlProps/ctrlProp5006.xml" ContentType="application/vnd.ms-excel.controlproperties+xml"/>
  <Override PartName="/xl/ctrlProps/ctrlProp5007.xml" ContentType="application/vnd.ms-excel.controlproperties+xml"/>
  <Override PartName="/xl/ctrlProps/ctrlProp5008.xml" ContentType="application/vnd.ms-excel.controlproperties+xml"/>
  <Override PartName="/xl/ctrlProps/ctrlProp5009.xml" ContentType="application/vnd.ms-excel.controlproperties+xml"/>
  <Override PartName="/xl/ctrlProps/ctrlProp5010.xml" ContentType="application/vnd.ms-excel.controlproperties+xml"/>
  <Override PartName="/xl/ctrlProps/ctrlProp5011.xml" ContentType="application/vnd.ms-excel.controlproperties+xml"/>
  <Override PartName="/xl/ctrlProps/ctrlProp5012.xml" ContentType="application/vnd.ms-excel.controlproperties+xml"/>
  <Override PartName="/xl/ctrlProps/ctrlProp5013.xml" ContentType="application/vnd.ms-excel.controlproperties+xml"/>
  <Override PartName="/xl/ctrlProps/ctrlProp5014.xml" ContentType="application/vnd.ms-excel.controlproperties+xml"/>
  <Override PartName="/xl/ctrlProps/ctrlProp5015.xml" ContentType="application/vnd.ms-excel.controlproperties+xml"/>
  <Override PartName="/xl/ctrlProps/ctrlProp5016.xml" ContentType="application/vnd.ms-excel.controlproperties+xml"/>
  <Override PartName="/xl/ctrlProps/ctrlProp5017.xml" ContentType="application/vnd.ms-excel.controlproperties+xml"/>
  <Override PartName="/xl/ctrlProps/ctrlProp5018.xml" ContentType="application/vnd.ms-excel.controlproperties+xml"/>
  <Override PartName="/xl/ctrlProps/ctrlProp5019.xml" ContentType="application/vnd.ms-excel.controlproperties+xml"/>
  <Override PartName="/xl/ctrlProps/ctrlProp5020.xml" ContentType="application/vnd.ms-excel.controlproperties+xml"/>
  <Override PartName="/xl/ctrlProps/ctrlProp5021.xml" ContentType="application/vnd.ms-excel.controlproperties+xml"/>
  <Override PartName="/xl/ctrlProps/ctrlProp5022.xml" ContentType="application/vnd.ms-excel.controlproperties+xml"/>
  <Override PartName="/xl/ctrlProps/ctrlProp5023.xml" ContentType="application/vnd.ms-excel.controlproperties+xml"/>
  <Override PartName="/xl/ctrlProps/ctrlProp5024.xml" ContentType="application/vnd.ms-excel.controlproperties+xml"/>
  <Override PartName="/xl/ctrlProps/ctrlProp5025.xml" ContentType="application/vnd.ms-excel.controlproperties+xml"/>
  <Override PartName="/xl/ctrlProps/ctrlProp5026.xml" ContentType="application/vnd.ms-excel.controlproperties+xml"/>
  <Override PartName="/xl/ctrlProps/ctrlProp5027.xml" ContentType="application/vnd.ms-excel.controlproperties+xml"/>
  <Override PartName="/xl/ctrlProps/ctrlProp5028.xml" ContentType="application/vnd.ms-excel.controlproperties+xml"/>
  <Override PartName="/xl/ctrlProps/ctrlProp502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Dropbox\Permits\"/>
    </mc:Choice>
  </mc:AlternateContent>
  <xr:revisionPtr revIDLastSave="0" documentId="13_ncr:1_{FB73D415-20E4-44FE-B5C8-35B68469FB3D}" xr6:coauthVersionLast="47" xr6:coauthVersionMax="47" xr10:uidLastSave="{00000000-0000-0000-0000-000000000000}"/>
  <bookViews>
    <workbookView xWindow="-120" yWindow="-120" windowWidth="29040" windowHeight="15840" tabRatio="836" xr2:uid="{00000000-000D-0000-FFFF-FFFF00000000}"/>
  </bookViews>
  <sheets>
    <sheet name="Current" sheetId="1" r:id="rId1"/>
    <sheet name="Completed" sheetId="5" r:id="rId2"/>
    <sheet name="Active Permit Account Overview" sheetId="6" r:id="rId3"/>
    <sheet name="Accomplish" sheetId="413" r:id="rId4"/>
    <sheet name="Archived" sheetId="3" r:id="rId5"/>
    <sheet name="Job Template" sheetId="7" r:id="rId6"/>
    <sheet name="BPA0363" sheetId="453" r:id="rId7"/>
    <sheet name="BPA0362" sheetId="452" r:id="rId8"/>
    <sheet name="BPA0361" sheetId="451" r:id="rId9"/>
    <sheet name="BPA0360 " sheetId="450" r:id="rId10"/>
    <sheet name="BPA0359" sheetId="449" r:id="rId11"/>
    <sheet name="BPA0358 " sheetId="448" r:id="rId12"/>
    <sheet name="BPA0357" sheetId="447" r:id="rId13"/>
    <sheet name="BPA0356" sheetId="446" r:id="rId14"/>
    <sheet name="BPA0355" sheetId="445" r:id="rId15"/>
    <sheet name="BPA0354" sheetId="444" r:id="rId16"/>
    <sheet name="BPA0353" sheetId="443" r:id="rId17"/>
    <sheet name="BPA0352" sheetId="442" r:id="rId18"/>
    <sheet name="BPA0351" sheetId="441" r:id="rId19"/>
    <sheet name="BPA0350" sheetId="440" r:id="rId20"/>
    <sheet name="BPA0349" sheetId="439" r:id="rId21"/>
    <sheet name="BPA0348" sheetId="438" r:id="rId22"/>
    <sheet name="BPA0347" sheetId="437" r:id="rId23"/>
    <sheet name="BPA0346" sheetId="436" r:id="rId24"/>
    <sheet name="BPA0345" sheetId="435" r:id="rId25"/>
    <sheet name="BPA0344 " sheetId="434" r:id="rId26"/>
    <sheet name="E10013" sheetId="433" r:id="rId27"/>
    <sheet name="BPA0343 " sheetId="432" r:id="rId28"/>
    <sheet name="BPA0342 " sheetId="431" r:id="rId29"/>
    <sheet name="BPA0341" sheetId="430" r:id="rId30"/>
    <sheet name="BPA0339" sheetId="429" r:id="rId31"/>
    <sheet name="BPA0337" sheetId="428" r:id="rId32"/>
    <sheet name="BPA0336" sheetId="427" r:id="rId33"/>
    <sheet name="BPA0335" sheetId="426" r:id="rId34"/>
    <sheet name="BPA0334" sheetId="425" r:id="rId35"/>
    <sheet name="BPA0333" sheetId="424" r:id="rId36"/>
    <sheet name="BPA0332" sheetId="423" r:id="rId37"/>
    <sheet name="BPA0331" sheetId="422" r:id="rId38"/>
    <sheet name="BPA0330" sheetId="421" r:id="rId39"/>
    <sheet name="BPA0329" sheetId="420" r:id="rId40"/>
    <sheet name="E10021" sheetId="419" r:id="rId41"/>
    <sheet name="BPA0328" sheetId="418" r:id="rId42"/>
    <sheet name="BPA0327" sheetId="417" r:id="rId43"/>
    <sheet name="BPA0326" sheetId="416" r:id="rId44"/>
    <sheet name="BPA0325" sheetId="415" r:id="rId45"/>
    <sheet name="E10020" sheetId="414" r:id="rId46"/>
    <sheet name="BPA0324" sheetId="411" r:id="rId47"/>
    <sheet name="BPA0323" sheetId="410" r:id="rId48"/>
    <sheet name="E10018" sheetId="412" r:id="rId49"/>
    <sheet name="BPA0320" sheetId="407" r:id="rId50"/>
    <sheet name="BPA0318" sheetId="402" r:id="rId51"/>
    <sheet name="BPA0316" sheetId="400" r:id="rId52"/>
    <sheet name="BPA0315" sheetId="399" r:id="rId53"/>
    <sheet name="BPA0314" sheetId="398" r:id="rId54"/>
    <sheet name="BPA0311" sheetId="395" r:id="rId55"/>
    <sheet name="BPA0310" sheetId="394" r:id="rId56"/>
    <sheet name="BPA0309" sheetId="393" r:id="rId57"/>
    <sheet name="BPA0308" sheetId="392" r:id="rId58"/>
    <sheet name="BPA0304" sheetId="387" r:id="rId59"/>
    <sheet name="BPA0303" sheetId="386" r:id="rId60"/>
    <sheet name="BPA0302" sheetId="385" r:id="rId61"/>
    <sheet name="BPA0299" sheetId="382" r:id="rId62"/>
    <sheet name="BPA0298" sheetId="381" r:id="rId63"/>
    <sheet name="BPA0297" sheetId="380" r:id="rId64"/>
    <sheet name="BPA0296" sheetId="379" r:id="rId65"/>
    <sheet name="BPA0295" sheetId="378" r:id="rId66"/>
    <sheet name="BPA0294" sheetId="377" r:id="rId67"/>
    <sheet name="BPA0293" sheetId="375" r:id="rId68"/>
    <sheet name="BPA0291" sheetId="373" r:id="rId69"/>
    <sheet name="BPA0290" sheetId="371" r:id="rId70"/>
    <sheet name="BPA0289" sheetId="372" r:id="rId71"/>
    <sheet name="BPA0288" sheetId="369" r:id="rId72"/>
    <sheet name="BPA0285" sheetId="366" r:id="rId73"/>
    <sheet name="BPA0280" sheetId="359" r:id="rId74"/>
    <sheet name="E0020" sheetId="358" r:id="rId75"/>
    <sheet name="E0019" sheetId="356" r:id="rId76"/>
    <sheet name="E9346" sheetId="355" r:id="rId77"/>
    <sheet name="E0018" sheetId="352" r:id="rId78"/>
    <sheet name="BPA0275" sheetId="347" r:id="rId79"/>
    <sheet name="BPA0273" sheetId="344" r:id="rId80"/>
    <sheet name="BPA0272" sheetId="343" r:id="rId81"/>
    <sheet name="BPA0271" sheetId="345" r:id="rId82"/>
    <sheet name="BPA0267" sheetId="338" r:id="rId83"/>
    <sheet name="BPA0266" sheetId="337" r:id="rId84"/>
    <sheet name="BPA0265" sheetId="336" r:id="rId85"/>
    <sheet name="BPA0262" sheetId="332" r:id="rId86"/>
    <sheet name="BPA0260" sheetId="330" r:id="rId87"/>
    <sheet name="BPA0256" sheetId="325" r:id="rId88"/>
    <sheet name="E0007" sheetId="322" r:id="rId89"/>
    <sheet name="BPA0253" sheetId="321" r:id="rId90"/>
    <sheet name="BPA0250" sheetId="318" r:id="rId91"/>
    <sheet name="BPA0249" sheetId="316" r:id="rId92"/>
    <sheet name="BPA0245" sheetId="310" r:id="rId93"/>
    <sheet name="BPA0243" sheetId="308" r:id="rId94"/>
    <sheet name="E0009" sheetId="304" r:id="rId95"/>
    <sheet name="BPA0236" sheetId="298" r:id="rId96"/>
    <sheet name="BPA0233" sheetId="295" r:id="rId97"/>
    <sheet name="BPA0232" sheetId="293" r:id="rId98"/>
    <sheet name="BPA0227" sheetId="287" r:id="rId99"/>
    <sheet name="BPA0226" sheetId="289" r:id="rId100"/>
    <sheet name="BPA0219" sheetId="275" r:id="rId101"/>
    <sheet name="BPA0216" sheetId="272" r:id="rId102"/>
    <sheet name="BPA0212" sheetId="267" r:id="rId103"/>
    <sheet name="BPA0209" sheetId="264" r:id="rId104"/>
    <sheet name="E0004" sheetId="259" r:id="rId105"/>
    <sheet name="BPA0193" sheetId="245" r:id="rId106"/>
    <sheet name="BPA0189" sheetId="239" r:id="rId107"/>
    <sheet name="E0373" sheetId="232" r:id="rId108"/>
    <sheet name="BPA0184" sheetId="231" r:id="rId109"/>
    <sheet name="BPA0181" sheetId="225" r:id="rId110"/>
    <sheet name="BPA0167" sheetId="207" r:id="rId111"/>
    <sheet name="BPA0165" sheetId="205" r:id="rId112"/>
    <sheet name="BPA0161" sheetId="201" r:id="rId113"/>
    <sheet name="BPA0155" sheetId="193" r:id="rId114"/>
    <sheet name="BPA0145" sheetId="184" r:id="rId115"/>
    <sheet name="BPA0143" sheetId="180" r:id="rId116"/>
    <sheet name="BPA0138" sheetId="175" r:id="rId117"/>
    <sheet name="BPA0121" sheetId="153" r:id="rId118"/>
    <sheet name="BPA0092" sheetId="113" r:id="rId119"/>
    <sheet name="BPA0087" sheetId="103" r:id="rId120"/>
    <sheet name="BPA0080" sheetId="96" r:id="rId121"/>
    <sheet name="BPA0077" sheetId="94" r:id="rId122"/>
    <sheet name="BPA0076" sheetId="91" r:id="rId123"/>
    <sheet name="BPA0068" sheetId="77" r:id="rId124"/>
    <sheet name="BPA0022" sheetId="74" r:id="rId125"/>
    <sheet name="BPA0062" sheetId="68" r:id="rId126"/>
    <sheet name="BPA0046" sheetId="40" r:id="rId127"/>
  </sheets>
  <functionGroups builtInGroupCount="19"/>
  <definedNames>
    <definedName name="_xlnm._FilterDatabase" localSheetId="1" hidden="1">Completed!$A$3:$AA$347</definedName>
    <definedName name="_xlnm._FilterDatabase" localSheetId="0" hidden="1">Current!$B$2:$T$8</definedName>
    <definedName name="Building2" localSheetId="1">Completed!#REF!</definedName>
    <definedName name="Building2">Current!#REF!</definedName>
    <definedName name="_xlnm.Print_Area" localSheetId="124">'BPA0022'!$A$1:$I$50</definedName>
    <definedName name="_xlnm.Print_Area" localSheetId="126">'BPA0046'!$A$1:$I$50</definedName>
    <definedName name="_xlnm.Print_Area" localSheetId="125">'BPA0062'!$A$1:$I$50</definedName>
    <definedName name="_xlnm.Print_Area" localSheetId="123">'BPA0068'!$A$1:$I$50</definedName>
    <definedName name="_xlnm.Print_Area" localSheetId="122">'BPA0076'!$A$1:$I$50</definedName>
    <definedName name="_xlnm.Print_Area" localSheetId="121">'BPA0077'!$A$1:$I$50</definedName>
    <definedName name="_xlnm.Print_Area" localSheetId="120">'BPA0080'!$A$1:$I$50</definedName>
    <definedName name="_xlnm.Print_Area" localSheetId="119">'BPA0087'!$A$1:$I$50</definedName>
    <definedName name="_xlnm.Print_Area" localSheetId="118">'BPA0092'!$A$1:$I$50</definedName>
    <definedName name="_xlnm.Print_Area" localSheetId="117">'BPA0121'!$A$1:$I$50</definedName>
    <definedName name="_xlnm.Print_Area" localSheetId="116">'BPA0138'!$A$1:$I$50</definedName>
    <definedName name="_xlnm.Print_Area" localSheetId="115">'BPA0143'!$A$1:$I$50</definedName>
    <definedName name="_xlnm.Print_Area" localSheetId="114">'BPA0145'!$A$1:$I$50</definedName>
    <definedName name="_xlnm.Print_Area" localSheetId="113">'BPA0155'!$A$1:$I$50</definedName>
    <definedName name="_xlnm.Print_Area" localSheetId="112">'BPA0161'!$A$1:$I$50</definedName>
    <definedName name="_xlnm.Print_Area" localSheetId="111">'BPA0165'!$A$1:$I$50</definedName>
    <definedName name="_xlnm.Print_Area" localSheetId="110">'BPA0167'!$A$1:$I$50</definedName>
    <definedName name="_xlnm.Print_Area" localSheetId="109">'BPA0181'!$A$1:$I$50</definedName>
    <definedName name="_xlnm.Print_Area" localSheetId="108">'BPA0184'!$A$1:$I$50</definedName>
    <definedName name="_xlnm.Print_Area" localSheetId="106">'BPA0189'!$A$1:$I$50</definedName>
    <definedName name="_xlnm.Print_Area" localSheetId="105">'BPA0193'!$A$1:$I$50</definedName>
    <definedName name="_xlnm.Print_Area" localSheetId="103">'BPA0209'!$A$1:$I$50</definedName>
    <definedName name="_xlnm.Print_Area" localSheetId="102">'BPA0212'!$A$1:$I$50</definedName>
    <definedName name="_xlnm.Print_Area" localSheetId="101">'BPA0216'!$A$1:$I$50</definedName>
    <definedName name="_xlnm.Print_Area" localSheetId="100">'BPA0219'!$A$1:$I$50</definedName>
    <definedName name="_xlnm.Print_Area" localSheetId="99">'BPA0226'!$A$1:$I$50</definedName>
    <definedName name="_xlnm.Print_Area" localSheetId="98">'BPA0227'!$A$1:$I$50</definedName>
    <definedName name="_xlnm.Print_Area" localSheetId="97">'BPA0232'!$A$1:$I$50</definedName>
    <definedName name="_xlnm.Print_Area" localSheetId="96">'BPA0233'!$A$1:$I$50</definedName>
    <definedName name="_xlnm.Print_Area" localSheetId="95">'BPA0236'!$A$1:$I$50</definedName>
    <definedName name="_xlnm.Print_Area" localSheetId="93">'BPA0243'!$A$1:$I$50</definedName>
    <definedName name="_xlnm.Print_Area" localSheetId="92">'BPA0245'!$A$1:$I$50</definedName>
    <definedName name="_xlnm.Print_Area" localSheetId="91">'BPA0249'!$A$1:$I$50</definedName>
    <definedName name="_xlnm.Print_Area" localSheetId="90">'BPA0250'!$A$1:$I$50</definedName>
    <definedName name="_xlnm.Print_Area" localSheetId="89">'BPA0253'!$A$1:$I$50</definedName>
    <definedName name="_xlnm.Print_Area" localSheetId="87">'BPA0256'!$A$1:$I$50</definedName>
    <definedName name="_xlnm.Print_Area" localSheetId="86">'BPA0260'!$A$1:$I$50</definedName>
    <definedName name="_xlnm.Print_Area" localSheetId="85">'BPA0262'!$A$1:$I$50</definedName>
    <definedName name="_xlnm.Print_Area" localSheetId="84">'BPA0265'!$A$1:$I$50</definedName>
    <definedName name="_xlnm.Print_Area" localSheetId="83">'BPA0266'!$A$1:$I$50</definedName>
    <definedName name="_xlnm.Print_Area" localSheetId="82">'BPA0267'!$A$1:$I$50</definedName>
    <definedName name="_xlnm.Print_Area" localSheetId="81">'BPA0271'!$A$1:$I$51</definedName>
    <definedName name="_xlnm.Print_Area" localSheetId="80">'BPA0272'!$A$1:$I$50</definedName>
    <definedName name="_xlnm.Print_Area" localSheetId="79">'BPA0273'!$A$1:$I$50</definedName>
    <definedName name="_xlnm.Print_Area" localSheetId="78">'BPA0275'!$A$1:$I$50</definedName>
    <definedName name="_xlnm.Print_Area" localSheetId="73">'BPA0280'!$A$1:$I$50</definedName>
    <definedName name="_xlnm.Print_Area" localSheetId="72">'BPA0285'!$A$1:$I$50</definedName>
    <definedName name="_xlnm.Print_Area" localSheetId="71">'BPA0288'!$A$1:$I$50</definedName>
    <definedName name="_xlnm.Print_Area" localSheetId="70">'BPA0289'!$A$1:$I$50</definedName>
    <definedName name="_xlnm.Print_Area" localSheetId="69">'BPA0290'!$A$1:$I$50</definedName>
    <definedName name="_xlnm.Print_Area" localSheetId="68">'BPA0291'!$A$1:$I$50</definedName>
    <definedName name="_xlnm.Print_Area" localSheetId="67">'BPA0293'!$A$1:$I$50</definedName>
    <definedName name="_xlnm.Print_Area" localSheetId="66">'BPA0294'!$A$1:$I$50</definedName>
    <definedName name="_xlnm.Print_Area" localSheetId="65">'BPA0295'!$A$1:$I$50</definedName>
    <definedName name="_xlnm.Print_Area" localSheetId="64">'BPA0296'!$A$1:$I$50</definedName>
    <definedName name="_xlnm.Print_Area" localSheetId="63">'BPA0297'!$A$1:$I$50</definedName>
    <definedName name="_xlnm.Print_Area" localSheetId="62">'BPA0298'!$A$1:$I$50</definedName>
    <definedName name="_xlnm.Print_Area" localSheetId="61">'BPA0299'!$A$1:$I$50</definedName>
    <definedName name="_xlnm.Print_Area" localSheetId="60">'BPA0302'!$A$1:$I$50</definedName>
    <definedName name="_xlnm.Print_Area" localSheetId="59">'BPA0303'!$A$1:$I$50</definedName>
    <definedName name="_xlnm.Print_Area" localSheetId="58">'BPA0304'!$A$1:$I$50</definedName>
    <definedName name="_xlnm.Print_Area" localSheetId="57">'BPA0308'!$A$1:$I$50</definedName>
    <definedName name="_xlnm.Print_Area" localSheetId="56">'BPA0309'!$A$1:$I$50</definedName>
    <definedName name="_xlnm.Print_Area" localSheetId="55">'BPA0310'!$A$1:$I$50</definedName>
    <definedName name="_xlnm.Print_Area" localSheetId="54">'BPA0311'!$A$1:$I$50</definedName>
    <definedName name="_xlnm.Print_Area" localSheetId="53">'BPA0314'!$A$1:$I$50</definedName>
    <definedName name="_xlnm.Print_Area" localSheetId="52">'BPA0315'!$A$1:$I$50</definedName>
    <definedName name="_xlnm.Print_Area" localSheetId="51">'BPA0316'!$A$1:$I$50</definedName>
    <definedName name="_xlnm.Print_Area" localSheetId="50">'BPA0318'!$A$1:$I$50</definedName>
    <definedName name="_xlnm.Print_Area" localSheetId="49">'BPA0320'!$A$1:$I$50</definedName>
    <definedName name="_xlnm.Print_Area" localSheetId="47">'BPA0323'!$A$1:$I$50</definedName>
    <definedName name="_xlnm.Print_Area" localSheetId="46">'BPA0324'!$A$1:$I$50</definedName>
    <definedName name="_xlnm.Print_Area" localSheetId="44">'BPA0325'!$A$1:$I$50</definedName>
    <definedName name="_xlnm.Print_Area" localSheetId="43">'BPA0326'!$A$1:$I$50</definedName>
    <definedName name="_xlnm.Print_Area" localSheetId="42">'BPA0327'!$A$1:$I$50</definedName>
    <definedName name="_xlnm.Print_Area" localSheetId="41">'BPA0328'!$A$1:$I$50</definedName>
    <definedName name="_xlnm.Print_Area" localSheetId="39">'BPA0329'!$A$1:$I$50</definedName>
    <definedName name="_xlnm.Print_Area" localSheetId="38">'BPA0330'!$A$1:$I$50</definedName>
    <definedName name="_xlnm.Print_Area" localSheetId="37">'BPA0331'!$A$1:$I$50</definedName>
    <definedName name="_xlnm.Print_Area" localSheetId="36">'BPA0332'!$A$1:$I$50</definedName>
    <definedName name="_xlnm.Print_Area" localSheetId="35">'BPA0333'!$A$1:$I$50</definedName>
    <definedName name="_xlnm.Print_Area" localSheetId="34">'BPA0334'!$A$1:$I$50</definedName>
    <definedName name="_xlnm.Print_Area" localSheetId="33">'BPA0335'!$A$1:$I$50</definedName>
    <definedName name="_xlnm.Print_Area" localSheetId="32">'BPA0336'!$A$1:$I$50</definedName>
    <definedName name="_xlnm.Print_Area" localSheetId="31">'BPA0337'!$A$1:$I$50</definedName>
    <definedName name="_xlnm.Print_Area" localSheetId="30">'BPA0339'!$A$1:$I$50</definedName>
    <definedName name="_xlnm.Print_Area" localSheetId="29">'BPA0341'!$A$1:$I$50</definedName>
    <definedName name="_xlnm.Print_Area" localSheetId="28">'BPA0342 '!$A$1:$I$50</definedName>
    <definedName name="_xlnm.Print_Area" localSheetId="27">'BPA0343 '!$A$1:$I$50</definedName>
    <definedName name="_xlnm.Print_Area" localSheetId="25">'BPA0344 '!$A$1:$I$50</definedName>
    <definedName name="_xlnm.Print_Area" localSheetId="24">'BPA0345'!$A$1:$I$50</definedName>
    <definedName name="_xlnm.Print_Area" localSheetId="23">'BPA0346'!$A$1:$I$50</definedName>
    <definedName name="_xlnm.Print_Area" localSheetId="22">'BPA0347'!$A$1:$I$50</definedName>
    <definedName name="_xlnm.Print_Area" localSheetId="21">'BPA0348'!$A$1:$I$50</definedName>
    <definedName name="_xlnm.Print_Area" localSheetId="20">'BPA0349'!$A$1:$I$50</definedName>
    <definedName name="_xlnm.Print_Area" localSheetId="19">'BPA0350'!$A$1:$I$50</definedName>
    <definedName name="_xlnm.Print_Area" localSheetId="18">'BPA0351'!$A$1:$I$50</definedName>
    <definedName name="_xlnm.Print_Area" localSheetId="17">'BPA0352'!$A$1:$I$50</definedName>
    <definedName name="_xlnm.Print_Area" localSheetId="16">'BPA0353'!$A$1:$I$50</definedName>
    <definedName name="_xlnm.Print_Area" localSheetId="15">'BPA0354'!$A$1:$I$50</definedName>
    <definedName name="_xlnm.Print_Area" localSheetId="14">'BPA0355'!$A$1:$I$50</definedName>
    <definedName name="_xlnm.Print_Area" localSheetId="13">'BPA0356'!$A$1:$I$50</definedName>
    <definedName name="_xlnm.Print_Area" localSheetId="12">'BPA0357'!$A$1:$I$50</definedName>
    <definedName name="_xlnm.Print_Area" localSheetId="11">'BPA0358 '!$A$1:$I$50</definedName>
    <definedName name="_xlnm.Print_Area" localSheetId="10">'BPA0359'!$A$1:$I$50</definedName>
    <definedName name="_xlnm.Print_Area" localSheetId="9">'BPA0360 '!$A$1:$I$50</definedName>
    <definedName name="_xlnm.Print_Area" localSheetId="8">'BPA0361'!$A$1:$I$50</definedName>
    <definedName name="_xlnm.Print_Area" localSheetId="7">'BPA0362'!$A$1:$I$50</definedName>
    <definedName name="_xlnm.Print_Area" localSheetId="6">'BPA0363'!$A$1:$I$50</definedName>
    <definedName name="_xlnm.Print_Area" localSheetId="1">Completed!$A$1:$Z$2</definedName>
    <definedName name="_xlnm.Print_Area" localSheetId="0">Current!$A$2:$U$133</definedName>
    <definedName name="_xlnm.Print_Area" localSheetId="104">'E0004'!$A$1:$I$50</definedName>
    <definedName name="_xlnm.Print_Area" localSheetId="88">'E0007'!$A$1:$I$50</definedName>
    <definedName name="_xlnm.Print_Area" localSheetId="94">'E0009'!$A$1:$I$50</definedName>
    <definedName name="_xlnm.Print_Area" localSheetId="77">'E0018'!$A$1:$I$50</definedName>
    <definedName name="_xlnm.Print_Area" localSheetId="75">'E0019'!$A$1:$I$50</definedName>
    <definedName name="_xlnm.Print_Area" localSheetId="74">'E0020'!$A$1:$I$50</definedName>
    <definedName name="_xlnm.Print_Area" localSheetId="107">'E0373'!$A$1:$I$50</definedName>
    <definedName name="_xlnm.Print_Area" localSheetId="26">'E10013'!$A$1:$I$50</definedName>
    <definedName name="_xlnm.Print_Area" localSheetId="48">'E10018'!$A$1:$I$50</definedName>
    <definedName name="_xlnm.Print_Area" localSheetId="45">'E10020'!$A$1:$I$50</definedName>
    <definedName name="_xlnm.Print_Area" localSheetId="40">'E10021'!$A$1:$I$50</definedName>
    <definedName name="_xlnm.Print_Area" localSheetId="76">'E9346'!$A$1:$I$50</definedName>
    <definedName name="_xlnm.Print_Area" localSheetId="5">'Job Template'!$A$1:$I$50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 i="453" l="1"/>
  <c r="M10" i="453"/>
  <c r="L7" i="453"/>
  <c r="L14" i="453" s="1"/>
  <c r="A1" i="453" a="1"/>
  <c r="A1" i="453" s="1"/>
  <c r="C4" i="453" s="1"/>
  <c r="A2" i="453" s="1"/>
  <c r="L1" i="1"/>
  <c r="AB114" i="1"/>
  <c r="Z340" i="5"/>
  <c r="L13" i="453" l="1"/>
  <c r="AB312" i="5"/>
  <c r="AA341" i="5"/>
  <c r="Z341" i="5"/>
  <c r="AA340" i="5"/>
  <c r="AB341" i="5" s="1"/>
  <c r="L12" i="452"/>
  <c r="M10" i="452"/>
  <c r="L7" i="452"/>
  <c r="L14" i="452" s="1"/>
  <c r="A1" i="452" a="1"/>
  <c r="A1" i="452" s="1"/>
  <c r="C4" i="452" s="1"/>
  <c r="A2" i="452" s="1"/>
  <c r="AB113" i="1"/>
  <c r="L12" i="451"/>
  <c r="L7" i="451"/>
  <c r="L13" i="451" s="1"/>
  <c r="A1" i="451" a="1"/>
  <c r="A1" i="451" s="1"/>
  <c r="C4" i="451" s="1"/>
  <c r="A2" i="451" s="1"/>
  <c r="AB112" i="1"/>
  <c r="Z339" i="5"/>
  <c r="AA339" i="5"/>
  <c r="Z338" i="5"/>
  <c r="V338" i="5"/>
  <c r="L12" i="450"/>
  <c r="L7" i="450"/>
  <c r="L13" i="450" s="1"/>
  <c r="A1" i="450" a="1"/>
  <c r="A1" i="450" s="1"/>
  <c r="C4" i="450" s="1"/>
  <c r="A2" i="450" s="1"/>
  <c r="AB111" i="1"/>
  <c r="L12" i="449"/>
  <c r="M10" i="449"/>
  <c r="L7" i="449"/>
  <c r="L14" i="449" s="1"/>
  <c r="A1" i="449" a="1"/>
  <c r="A1" i="449" s="1"/>
  <c r="C4" i="449" s="1"/>
  <c r="A2" i="449" s="1"/>
  <c r="AB110" i="1"/>
  <c r="F3" i="6"/>
  <c r="O3" i="6" s="1"/>
  <c r="L3" i="6"/>
  <c r="H3" i="6"/>
  <c r="I3" i="6" s="1"/>
  <c r="L4" i="6"/>
  <c r="F4" i="6" s="1"/>
  <c r="O4" i="6" s="1"/>
  <c r="H4" i="6"/>
  <c r="F5" i="6"/>
  <c r="O5" i="6" s="1"/>
  <c r="L5" i="6"/>
  <c r="H5" i="6"/>
  <c r="I5" i="6" s="1"/>
  <c r="L6" i="6"/>
  <c r="F6" i="6" s="1"/>
  <c r="O6" i="6" s="1"/>
  <c r="H6" i="6"/>
  <c r="F7" i="6"/>
  <c r="O7" i="6" s="1"/>
  <c r="L7" i="6"/>
  <c r="H7" i="6"/>
  <c r="I7" i="6" s="1"/>
  <c r="F8" i="6"/>
  <c r="O8" i="6" s="1"/>
  <c r="L8" i="6"/>
  <c r="H8" i="6"/>
  <c r="I8" i="6" s="1"/>
  <c r="Z337" i="5"/>
  <c r="AA337" i="5" s="1"/>
  <c r="L12" i="448"/>
  <c r="M10" i="448"/>
  <c r="L7" i="448"/>
  <c r="L14" i="448" s="1"/>
  <c r="A1" i="448" a="1"/>
  <c r="A1" i="448" s="1"/>
  <c r="C4" i="448" s="1"/>
  <c r="A2" i="448" s="1"/>
  <c r="AB109" i="1"/>
  <c r="L9" i="6"/>
  <c r="F9" i="6" s="1"/>
  <c r="O9" i="6" s="1"/>
  <c r="H9" i="6"/>
  <c r="F10" i="6"/>
  <c r="O10" i="6" s="1"/>
  <c r="L10" i="6"/>
  <c r="H10" i="6"/>
  <c r="I10" i="6" s="1"/>
  <c r="L12" i="447"/>
  <c r="M10" i="447"/>
  <c r="L7" i="447"/>
  <c r="L14" i="447" s="1"/>
  <c r="A1" i="447" a="1"/>
  <c r="A1" i="447" s="1"/>
  <c r="C4" i="447" s="1"/>
  <c r="A2" i="447" s="1"/>
  <c r="AB108" i="1"/>
  <c r="L13" i="452" l="1"/>
  <c r="L14" i="451"/>
  <c r="M10" i="451"/>
  <c r="AA338" i="5"/>
  <c r="L14" i="450"/>
  <c r="M10" i="450"/>
  <c r="L13" i="449"/>
  <c r="I4" i="6"/>
  <c r="I6" i="6"/>
  <c r="I9" i="6"/>
  <c r="L13" i="448"/>
  <c r="L13" i="447"/>
  <c r="L12" i="446"/>
  <c r="L7" i="446"/>
  <c r="L14" i="446" s="1"/>
  <c r="A1" i="446" a="1"/>
  <c r="A1" i="446" s="1"/>
  <c r="C4" i="446" s="1"/>
  <c r="A2" i="446" s="1"/>
  <c r="AB107" i="1"/>
  <c r="L12" i="445"/>
  <c r="M10" i="445"/>
  <c r="L7" i="445"/>
  <c r="L14" i="445" s="1"/>
  <c r="A1" i="445" a="1"/>
  <c r="A1" i="445" s="1"/>
  <c r="C4" i="445" s="1"/>
  <c r="A2" i="445" s="1"/>
  <c r="AB106" i="1"/>
  <c r="L12" i="444"/>
  <c r="M10" i="444"/>
  <c r="L7" i="444"/>
  <c r="L14" i="444" s="1"/>
  <c r="A1" i="444" a="1"/>
  <c r="A1" i="444" s="1"/>
  <c r="C4" i="444" s="1"/>
  <c r="A2" i="444" s="1"/>
  <c r="AB105" i="1"/>
  <c r="L12" i="443"/>
  <c r="L7" i="443"/>
  <c r="L14" i="443" s="1"/>
  <c r="A1" i="443" a="1"/>
  <c r="A1" i="443" s="1"/>
  <c r="C4" i="443" s="1"/>
  <c r="A2" i="443" s="1"/>
  <c r="AB104" i="1"/>
  <c r="L12" i="442"/>
  <c r="L7" i="442"/>
  <c r="L14" i="442" s="1"/>
  <c r="A1" i="442" a="1"/>
  <c r="A1" i="442" s="1"/>
  <c r="C4" i="442" s="1"/>
  <c r="A2" i="442" s="1"/>
  <c r="AB103" i="1"/>
  <c r="F11" i="6"/>
  <c r="O11" i="6" s="1"/>
  <c r="L11" i="6"/>
  <c r="H11" i="6"/>
  <c r="I11" i="6" s="1"/>
  <c r="F12" i="6"/>
  <c r="O12" i="6" s="1"/>
  <c r="L12" i="6"/>
  <c r="H12" i="6"/>
  <c r="I12" i="6" s="1"/>
  <c r="F13" i="6"/>
  <c r="O13" i="6" s="1"/>
  <c r="L13" i="6"/>
  <c r="H13" i="6"/>
  <c r="I13" i="6" s="1"/>
  <c r="F14" i="6"/>
  <c r="O14" i="6" s="1"/>
  <c r="L14" i="6"/>
  <c r="H14" i="6"/>
  <c r="I14" i="6" s="1"/>
  <c r="L15" i="6"/>
  <c r="F15" i="6" s="1"/>
  <c r="O15" i="6" s="1"/>
  <c r="H15" i="6"/>
  <c r="L16" i="6"/>
  <c r="F16" i="6" s="1"/>
  <c r="O16" i="6" s="1"/>
  <c r="H16" i="6"/>
  <c r="F17" i="6"/>
  <c r="O17" i="6" s="1"/>
  <c r="L17" i="6"/>
  <c r="H17" i="6"/>
  <c r="I17" i="6" s="1"/>
  <c r="F18" i="6"/>
  <c r="O18" i="6" s="1"/>
  <c r="L18" i="6"/>
  <c r="H18" i="6"/>
  <c r="I18" i="6" s="1"/>
  <c r="F19" i="6"/>
  <c r="O19" i="6" s="1"/>
  <c r="L19" i="6"/>
  <c r="H19" i="6"/>
  <c r="I19" i="6" s="1"/>
  <c r="F20" i="6"/>
  <c r="O20" i="6" s="1"/>
  <c r="L20" i="6"/>
  <c r="H20" i="6"/>
  <c r="I20" i="6" s="1"/>
  <c r="L21" i="6"/>
  <c r="F21" i="6" s="1"/>
  <c r="O21" i="6" s="1"/>
  <c r="H21" i="6"/>
  <c r="F22" i="6"/>
  <c r="O22" i="6" s="1"/>
  <c r="L22" i="6"/>
  <c r="H22" i="6"/>
  <c r="I22" i="6" s="1"/>
  <c r="F23" i="6"/>
  <c r="O23" i="6" s="1"/>
  <c r="L23" i="6"/>
  <c r="H23" i="6"/>
  <c r="I23" i="6" s="1"/>
  <c r="L9" i="425"/>
  <c r="Z336" i="5"/>
  <c r="AA336" i="5" s="1"/>
  <c r="F24" i="6"/>
  <c r="O24" i="6" s="1"/>
  <c r="L24" i="6"/>
  <c r="H24" i="6"/>
  <c r="I24" i="6" s="1"/>
  <c r="L25" i="6"/>
  <c r="F25" i="6" s="1"/>
  <c r="O25" i="6" s="1"/>
  <c r="H25" i="6"/>
  <c r="L26" i="6"/>
  <c r="F26" i="6" s="1"/>
  <c r="O26" i="6" s="1"/>
  <c r="H26" i="6"/>
  <c r="L27" i="6"/>
  <c r="F27" i="6" s="1"/>
  <c r="O27" i="6" s="1"/>
  <c r="H27" i="6"/>
  <c r="F28" i="6"/>
  <c r="O28" i="6" s="1"/>
  <c r="L28" i="6"/>
  <c r="H28" i="6"/>
  <c r="I28" i="6" s="1"/>
  <c r="F29" i="6"/>
  <c r="O29" i="6" s="1"/>
  <c r="L29" i="6"/>
  <c r="H29" i="6"/>
  <c r="I29" i="6" s="1"/>
  <c r="L31" i="6"/>
  <c r="F30" i="6"/>
  <c r="O30" i="6" s="1"/>
  <c r="L30" i="6"/>
  <c r="H30" i="6"/>
  <c r="I30" i="6" s="1"/>
  <c r="F31" i="6"/>
  <c r="O31" i="6" s="1"/>
  <c r="H31" i="6"/>
  <c r="F32" i="6"/>
  <c r="O32" i="6" s="1"/>
  <c r="L32" i="6"/>
  <c r="H32" i="6"/>
  <c r="I32" i="6" s="1"/>
  <c r="H33" i="6"/>
  <c r="I33" i="6" s="1"/>
  <c r="F33" i="6"/>
  <c r="O33" i="6" s="1"/>
  <c r="L33" i="6"/>
  <c r="F34" i="6"/>
  <c r="O34" i="6" s="1"/>
  <c r="L34" i="6"/>
  <c r="H34" i="6"/>
  <c r="I34" i="6" s="1"/>
  <c r="F35" i="6"/>
  <c r="O35" i="6" s="1"/>
  <c r="L35" i="6"/>
  <c r="H35" i="6"/>
  <c r="I35" i="6" s="1"/>
  <c r="F36" i="6"/>
  <c r="O36" i="6" s="1"/>
  <c r="L36" i="6"/>
  <c r="H36" i="6"/>
  <c r="I36" i="6" s="1"/>
  <c r="F37" i="6"/>
  <c r="O37" i="6" s="1"/>
  <c r="L37" i="6"/>
  <c r="H37" i="6"/>
  <c r="I37" i="6" s="1"/>
  <c r="F38" i="6"/>
  <c r="O38" i="6" s="1"/>
  <c r="L38" i="6"/>
  <c r="H38" i="6"/>
  <c r="I38" i="6" s="1"/>
  <c r="F39" i="6"/>
  <c r="O39" i="6" s="1"/>
  <c r="L39" i="6"/>
  <c r="H39" i="6"/>
  <c r="I39" i="6" s="1"/>
  <c r="F40" i="6"/>
  <c r="O40" i="6" s="1"/>
  <c r="L40" i="6"/>
  <c r="H40" i="6"/>
  <c r="I40" i="6" s="1"/>
  <c r="F41" i="6"/>
  <c r="O41" i="6" s="1"/>
  <c r="L41" i="6"/>
  <c r="H41" i="6"/>
  <c r="I41" i="6" s="1"/>
  <c r="F42" i="6"/>
  <c r="O42" i="6" s="1"/>
  <c r="L42" i="6"/>
  <c r="H42" i="6"/>
  <c r="I42" i="6" s="1"/>
  <c r="F51" i="6"/>
  <c r="O51" i="6" s="1"/>
  <c r="L51" i="6"/>
  <c r="H51" i="6"/>
  <c r="I51" i="6" s="1"/>
  <c r="L12" i="441"/>
  <c r="L7" i="441"/>
  <c r="L14" i="441" s="1"/>
  <c r="A1" i="441" a="1"/>
  <c r="A1" i="441" s="1"/>
  <c r="C4" i="441" s="1"/>
  <c r="A2" i="441" s="1"/>
  <c r="AB102" i="1"/>
  <c r="L12" i="440"/>
  <c r="L7" i="440"/>
  <c r="L14" i="440" s="1"/>
  <c r="A1" i="440" a="1"/>
  <c r="A1" i="440" s="1"/>
  <c r="C4" i="440" s="1"/>
  <c r="A2" i="440" s="1"/>
  <c r="AB101" i="1"/>
  <c r="L12" i="439"/>
  <c r="M10" i="439"/>
  <c r="L7" i="439"/>
  <c r="L14" i="439" s="1"/>
  <c r="A1" i="439" a="1"/>
  <c r="A1" i="439" s="1"/>
  <c r="C4" i="439" s="1"/>
  <c r="A2" i="439" s="1"/>
  <c r="AB100" i="1"/>
  <c r="L12" i="438"/>
  <c r="M10" i="438"/>
  <c r="L7" i="438"/>
  <c r="L14" i="438" s="1"/>
  <c r="A1" i="438" a="1"/>
  <c r="A1" i="438" s="1"/>
  <c r="C4" i="438" s="1"/>
  <c r="A2" i="438" s="1"/>
  <c r="AB99" i="1"/>
  <c r="L12" i="437"/>
  <c r="L7" i="437"/>
  <c r="L14" i="437" s="1"/>
  <c r="A1" i="437" a="1"/>
  <c r="A1" i="437" s="1"/>
  <c r="C4" i="437" s="1"/>
  <c r="A2" i="437" s="1"/>
  <c r="AB98" i="1"/>
  <c r="L12" i="436"/>
  <c r="M10" i="436"/>
  <c r="L7" i="436"/>
  <c r="L14" i="436" s="1"/>
  <c r="A1" i="436" a="1"/>
  <c r="A1" i="436" s="1"/>
  <c r="C4" i="436" s="1"/>
  <c r="A2" i="436" s="1"/>
  <c r="AB97" i="1"/>
  <c r="L14" i="435"/>
  <c r="L12" i="435"/>
  <c r="L7" i="435"/>
  <c r="L13" i="435" s="1"/>
  <c r="A1" i="435" a="1"/>
  <c r="A1" i="435" s="1"/>
  <c r="C4" i="435" s="1"/>
  <c r="A2" i="435" s="1"/>
  <c r="AB96" i="1"/>
  <c r="L12" i="434"/>
  <c r="L7" i="434"/>
  <c r="L14" i="434" s="1"/>
  <c r="A1" i="434" a="1"/>
  <c r="A1" i="434" s="1"/>
  <c r="C4" i="434" s="1"/>
  <c r="A2" i="434" s="1"/>
  <c r="AB95" i="1"/>
  <c r="L12" i="433"/>
  <c r="L7" i="433"/>
  <c r="L14" i="433" s="1"/>
  <c r="A1" i="433" a="1"/>
  <c r="A1" i="433" s="1"/>
  <c r="C4" i="433" s="1"/>
  <c r="A2" i="433" s="1"/>
  <c r="AB116" i="1"/>
  <c r="Z334" i="5"/>
  <c r="AA334" i="5" s="1"/>
  <c r="Z333" i="5"/>
  <c r="AA333" i="5" s="1"/>
  <c r="Z335" i="5"/>
  <c r="AA335" i="5" s="1"/>
  <c r="AC335" i="5"/>
  <c r="AA373" i="5"/>
  <c r="U372" i="5"/>
  <c r="AA372" i="5"/>
  <c r="L14" i="432"/>
  <c r="L13" i="432"/>
  <c r="L12" i="432"/>
  <c r="L7" i="432"/>
  <c r="M10" i="432" s="1"/>
  <c r="A1" i="432" a="1"/>
  <c r="A1" i="432" s="1"/>
  <c r="C4" i="432" s="1"/>
  <c r="A2" i="432" s="1"/>
  <c r="L12" i="431"/>
  <c r="L7" i="431"/>
  <c r="L14" i="431" s="1"/>
  <c r="A1" i="431" a="1"/>
  <c r="A1" i="431" s="1"/>
  <c r="C4" i="431" s="1"/>
  <c r="A2" i="431" s="1"/>
  <c r="L14" i="430"/>
  <c r="L12" i="430"/>
  <c r="M10" i="430"/>
  <c r="L7" i="430"/>
  <c r="L13" i="430" s="1"/>
  <c r="A1" i="430" a="1"/>
  <c r="A1" i="430" s="1"/>
  <c r="C4" i="430" s="1"/>
  <c r="A2" i="430" s="1"/>
  <c r="AB94" i="1"/>
  <c r="AB93" i="1"/>
  <c r="AB92" i="1"/>
  <c r="Z331" i="5"/>
  <c r="V331" i="5"/>
  <c r="Z332" i="5"/>
  <c r="AA332" i="5" s="1"/>
  <c r="F43" i="6"/>
  <c r="O43" i="6" s="1"/>
  <c r="L43" i="6"/>
  <c r="H43" i="6"/>
  <c r="I43" i="6" s="1"/>
  <c r="L44" i="6"/>
  <c r="F44" i="6" s="1"/>
  <c r="O44" i="6" s="1"/>
  <c r="H44" i="6"/>
  <c r="F45" i="6"/>
  <c r="O45" i="6" s="1"/>
  <c r="L45" i="6"/>
  <c r="H45" i="6"/>
  <c r="I45" i="6" s="1"/>
  <c r="F46" i="6"/>
  <c r="O46" i="6" s="1"/>
  <c r="L46" i="6"/>
  <c r="H46" i="6"/>
  <c r="I46" i="6" s="1"/>
  <c r="F47" i="6"/>
  <c r="O47" i="6" s="1"/>
  <c r="L47" i="6"/>
  <c r="H47" i="6"/>
  <c r="I47" i="6" s="1"/>
  <c r="F48" i="6"/>
  <c r="O48" i="6" s="1"/>
  <c r="L48" i="6"/>
  <c r="H48" i="6"/>
  <c r="I48" i="6" s="1"/>
  <c r="L49" i="6"/>
  <c r="F49" i="6" s="1"/>
  <c r="O49" i="6" s="1"/>
  <c r="H49" i="6"/>
  <c r="F50" i="6"/>
  <c r="O50" i="6" s="1"/>
  <c r="L50" i="6"/>
  <c r="H50" i="6"/>
  <c r="I50" i="6" s="1"/>
  <c r="F52" i="6"/>
  <c r="O52" i="6" s="1"/>
  <c r="L52" i="6"/>
  <c r="H52" i="6"/>
  <c r="I52" i="6" s="1"/>
  <c r="F53" i="6"/>
  <c r="O53" i="6" s="1"/>
  <c r="L53" i="6"/>
  <c r="H53" i="6"/>
  <c r="I53" i="6" s="1"/>
  <c r="F54" i="6"/>
  <c r="O54" i="6" s="1"/>
  <c r="L54" i="6"/>
  <c r="H54" i="6"/>
  <c r="I54" i="6" s="1"/>
  <c r="Z330" i="5"/>
  <c r="AA330" i="5" s="1"/>
  <c r="Z329" i="5"/>
  <c r="V329" i="5"/>
  <c r="L13" i="429"/>
  <c r="L12" i="429"/>
  <c r="L7" i="429"/>
  <c r="M10" i="429" s="1"/>
  <c r="A1" i="429" a="1"/>
  <c r="A1" i="429" s="1"/>
  <c r="C4" i="429" s="1"/>
  <c r="A2" i="429" s="1"/>
  <c r="AB91" i="1"/>
  <c r="Z328" i="5"/>
  <c r="AA328" i="5" s="1"/>
  <c r="L10" i="418"/>
  <c r="AB90" i="1"/>
  <c r="M10" i="446" l="1"/>
  <c r="L13" i="446"/>
  <c r="L13" i="445"/>
  <c r="L13" i="444"/>
  <c r="M10" i="443"/>
  <c r="L13" i="443"/>
  <c r="M10" i="442"/>
  <c r="L13" i="442"/>
  <c r="I15" i="6"/>
  <c r="I16" i="6"/>
  <c r="I21" i="6"/>
  <c r="I26" i="6"/>
  <c r="I25" i="6"/>
  <c r="I27" i="6"/>
  <c r="I31" i="6"/>
  <c r="M10" i="441"/>
  <c r="L13" i="441"/>
  <c r="M10" i="440"/>
  <c r="L13" i="440"/>
  <c r="L13" i="439"/>
  <c r="L13" i="438"/>
  <c r="M10" i="437"/>
  <c r="L13" i="437"/>
  <c r="L13" i="436"/>
  <c r="M10" i="435"/>
  <c r="M10" i="434"/>
  <c r="L13" i="434"/>
  <c r="M10" i="433"/>
  <c r="L13" i="433"/>
  <c r="AA329" i="5"/>
  <c r="M10" i="431"/>
  <c r="L13" i="431"/>
  <c r="AA331" i="5"/>
  <c r="I49" i="6"/>
  <c r="I44" i="6"/>
  <c r="L14" i="429"/>
  <c r="Z327" i="5"/>
  <c r="AA327" i="5" s="1"/>
  <c r="F55" i="6"/>
  <c r="O55" i="6" s="1"/>
  <c r="L55" i="6"/>
  <c r="H55" i="6"/>
  <c r="I55" i="6" s="1"/>
  <c r="F56" i="6"/>
  <c r="O56" i="6" s="1"/>
  <c r="L56" i="6"/>
  <c r="H56" i="6"/>
  <c r="I56" i="6" s="1"/>
  <c r="F57" i="6"/>
  <c r="O57" i="6" s="1"/>
  <c r="L57" i="6"/>
  <c r="H57" i="6"/>
  <c r="I57" i="6" s="1"/>
  <c r="L58" i="6"/>
  <c r="F58" i="6" s="1"/>
  <c r="O58" i="6" s="1"/>
  <c r="H58" i="6"/>
  <c r="F59" i="6"/>
  <c r="O59" i="6" s="1"/>
  <c r="L59" i="6"/>
  <c r="H59" i="6"/>
  <c r="I59" i="6" s="1"/>
  <c r="L60" i="6"/>
  <c r="F60" i="6" s="1"/>
  <c r="O60" i="6" s="1"/>
  <c r="H60" i="6"/>
  <c r="L12" i="428"/>
  <c r="L7" i="428"/>
  <c r="L14" i="428" s="1"/>
  <c r="A1" i="428" a="1"/>
  <c r="A1" i="428" s="1"/>
  <c r="C4" i="428" s="1"/>
  <c r="A2" i="428" s="1"/>
  <c r="L12" i="427"/>
  <c r="M10" i="427"/>
  <c r="L7" i="427"/>
  <c r="L14" i="427" s="1"/>
  <c r="A1" i="427" a="1"/>
  <c r="A1" i="427" s="1"/>
  <c r="C4" i="427" s="1"/>
  <c r="A2" i="427" s="1"/>
  <c r="AB89" i="1"/>
  <c r="L12" i="426"/>
  <c r="M10" i="426"/>
  <c r="L7" i="426"/>
  <c r="L14" i="426" s="1"/>
  <c r="A1" i="426" a="1"/>
  <c r="A1" i="426" s="1"/>
  <c r="C4" i="426" s="1"/>
  <c r="A2" i="426" s="1"/>
  <c r="AB88" i="1"/>
  <c r="L13" i="425"/>
  <c r="L7" i="425"/>
  <c r="M10" i="425" s="1"/>
  <c r="L12" i="425" s="1"/>
  <c r="A1" i="425" a="1"/>
  <c r="A1" i="425" s="1"/>
  <c r="C4" i="425" s="1"/>
  <c r="A2" i="425" s="1"/>
  <c r="AB87" i="1"/>
  <c r="L7" i="424"/>
  <c r="M10" i="424" s="1"/>
  <c r="L12" i="424" s="1"/>
  <c r="A1" i="424" a="1"/>
  <c r="A1" i="424" s="1"/>
  <c r="C4" i="424" s="1"/>
  <c r="A2" i="424" s="1"/>
  <c r="AB86" i="1"/>
  <c r="L12" i="423"/>
  <c r="M10" i="423"/>
  <c r="L7" i="423"/>
  <c r="L14" i="423" s="1"/>
  <c r="A1" i="423" a="1"/>
  <c r="A1" i="423" s="1"/>
  <c r="C4" i="423" s="1"/>
  <c r="A2" i="423" s="1"/>
  <c r="AB85" i="1"/>
  <c r="Z326" i="5"/>
  <c r="V326" i="5"/>
  <c r="U326" i="5"/>
  <c r="Z325" i="5"/>
  <c r="V325" i="5"/>
  <c r="L12" i="422"/>
  <c r="L7" i="422"/>
  <c r="L14" i="422" s="1"/>
  <c r="A1" i="422" a="1"/>
  <c r="A1" i="422" s="1"/>
  <c r="C4" i="422" s="1"/>
  <c r="A2" i="422" s="1"/>
  <c r="L13" i="424" l="1"/>
  <c r="M10" i="428"/>
  <c r="I58" i="6"/>
  <c r="I60" i="6"/>
  <c r="L13" i="428"/>
  <c r="L13" i="427"/>
  <c r="L13" i="426"/>
  <c r="L14" i="425"/>
  <c r="L14" i="424"/>
  <c r="L13" i="423"/>
  <c r="AA326" i="5"/>
  <c r="AA325" i="5"/>
  <c r="L13" i="422"/>
  <c r="M10" i="422"/>
  <c r="AB84" i="1"/>
  <c r="Z324" i="5"/>
  <c r="AA324" i="5" s="1"/>
  <c r="Z322" i="5"/>
  <c r="V322" i="5"/>
  <c r="Z323" i="5"/>
  <c r="AA323" i="5" s="1"/>
  <c r="L12" i="421"/>
  <c r="L7" i="421"/>
  <c r="L14" i="421" s="1"/>
  <c r="A1" i="421" a="1"/>
  <c r="A1" i="421" s="1"/>
  <c r="C4" i="421" s="1"/>
  <c r="A2" i="421" s="1"/>
  <c r="AB83" i="1"/>
  <c r="L12" i="420"/>
  <c r="L7" i="420"/>
  <c r="L14" i="420" s="1"/>
  <c r="A1" i="420" a="1"/>
  <c r="A1" i="420" s="1"/>
  <c r="C4" i="420" s="1"/>
  <c r="A2" i="420" s="1"/>
  <c r="M10" i="420" l="1"/>
  <c r="M10" i="421"/>
  <c r="AA322" i="5"/>
  <c r="L13" i="421"/>
  <c r="L13" i="420"/>
  <c r="AB82" i="1"/>
  <c r="F61" i="6"/>
  <c r="O61" i="6" s="1"/>
  <c r="L61" i="6"/>
  <c r="H61" i="6"/>
  <c r="I61" i="6" s="1"/>
  <c r="L62" i="6"/>
  <c r="F62" i="6" s="1"/>
  <c r="O62" i="6" s="1"/>
  <c r="H62" i="6"/>
  <c r="L63" i="6"/>
  <c r="F63" i="6" s="1"/>
  <c r="O63" i="6" s="1"/>
  <c r="H63" i="6"/>
  <c r="F64" i="6"/>
  <c r="O64" i="6" s="1"/>
  <c r="L64" i="6"/>
  <c r="H64" i="6"/>
  <c r="I64" i="6" s="1"/>
  <c r="F65" i="6"/>
  <c r="O65" i="6" s="1"/>
  <c r="L65" i="6"/>
  <c r="H65" i="6"/>
  <c r="I65" i="6" s="1"/>
  <c r="F66" i="6"/>
  <c r="O66" i="6" s="1"/>
  <c r="L66" i="6"/>
  <c r="H66" i="6"/>
  <c r="I66" i="6" s="1"/>
  <c r="F67" i="6"/>
  <c r="O67" i="6" s="1"/>
  <c r="L67" i="6"/>
  <c r="H67" i="6"/>
  <c r="I67" i="6" s="1"/>
  <c r="F68" i="6"/>
  <c r="O68" i="6" s="1"/>
  <c r="L68" i="6"/>
  <c r="H68" i="6"/>
  <c r="I68" i="6" s="1"/>
  <c r="L69" i="6"/>
  <c r="F69" i="6" s="1"/>
  <c r="O69" i="6" s="1"/>
  <c r="H69" i="6"/>
  <c r="F70" i="6"/>
  <c r="O70" i="6" s="1"/>
  <c r="L70" i="6"/>
  <c r="H70" i="6"/>
  <c r="I70" i="6" s="1"/>
  <c r="F71" i="6"/>
  <c r="O71" i="6" s="1"/>
  <c r="L71" i="6"/>
  <c r="H71" i="6"/>
  <c r="I71" i="6" s="1"/>
  <c r="F72" i="6"/>
  <c r="O72" i="6" s="1"/>
  <c r="L72" i="6"/>
  <c r="H72" i="6"/>
  <c r="I72" i="6" s="1"/>
  <c r="Z321" i="5"/>
  <c r="AA321" i="5" s="1"/>
  <c r="L12" i="419"/>
  <c r="L7" i="419"/>
  <c r="L14" i="419" s="1"/>
  <c r="A1" i="419" a="1"/>
  <c r="A1" i="419" s="1"/>
  <c r="C4" i="419" s="1"/>
  <c r="A2" i="419" s="1"/>
  <c r="AB119" i="1"/>
  <c r="L9" i="414"/>
  <c r="I62" i="6" l="1"/>
  <c r="I63" i="6"/>
  <c r="I69" i="6"/>
  <c r="M10" i="419"/>
  <c r="L13" i="419"/>
  <c r="L14" i="418"/>
  <c r="L7" i="418"/>
  <c r="M10" i="418" s="1"/>
  <c r="L12" i="418" s="1"/>
  <c r="A1" i="418" a="1"/>
  <c r="A1" i="418" s="1"/>
  <c r="C4" i="418" s="1"/>
  <c r="A2" i="418" s="1"/>
  <c r="AB81" i="1"/>
  <c r="L12" i="417"/>
  <c r="L7" i="417"/>
  <c r="L14" i="417" s="1"/>
  <c r="A1" i="417" a="1"/>
  <c r="A1" i="417" s="1"/>
  <c r="C4" i="417" s="1"/>
  <c r="A2" i="417" s="1"/>
  <c r="AB80" i="1"/>
  <c r="L12" i="416"/>
  <c r="L7" i="416"/>
  <c r="M10" i="416" s="1"/>
  <c r="A1" i="416" a="1"/>
  <c r="A1" i="416" s="1"/>
  <c r="C4" i="416" s="1"/>
  <c r="A2" i="416" s="1"/>
  <c r="AB79" i="1"/>
  <c r="Z320" i="5"/>
  <c r="V320" i="5"/>
  <c r="Z318" i="5"/>
  <c r="V318" i="5"/>
  <c r="AA319" i="5"/>
  <c r="AC318" i="5"/>
  <c r="L252" i="6"/>
  <c r="Z317" i="5"/>
  <c r="V317" i="5"/>
  <c r="F73" i="6"/>
  <c r="O73" i="6" s="1"/>
  <c r="L73" i="6"/>
  <c r="H73" i="6"/>
  <c r="I73" i="6" s="1"/>
  <c r="L7" i="415"/>
  <c r="L13" i="415" s="1"/>
  <c r="A1" i="415" a="1"/>
  <c r="A1" i="415" s="1"/>
  <c r="C4" i="415" s="1"/>
  <c r="A2" i="415" s="1"/>
  <c r="AB78" i="1"/>
  <c r="L13" i="414"/>
  <c r="L14" i="414"/>
  <c r="A1" i="414" a="1"/>
  <c r="A1" i="414" s="1"/>
  <c r="C4" i="414" s="1"/>
  <c r="A2" i="414" s="1"/>
  <c r="AB118" i="1"/>
  <c r="F74" i="6"/>
  <c r="O74" i="6" s="1"/>
  <c r="L74" i="6"/>
  <c r="H74" i="6"/>
  <c r="I74" i="6" s="1"/>
  <c r="L75" i="6"/>
  <c r="F75" i="6" s="1"/>
  <c r="O75" i="6" s="1"/>
  <c r="H75" i="6"/>
  <c r="F76" i="6"/>
  <c r="O76" i="6" s="1"/>
  <c r="L76" i="6"/>
  <c r="H76" i="6"/>
  <c r="I76" i="6" s="1"/>
  <c r="L77" i="6"/>
  <c r="F77" i="6" s="1"/>
  <c r="O77" i="6" s="1"/>
  <c r="H77" i="6"/>
  <c r="L78" i="6"/>
  <c r="F78" i="6" s="1"/>
  <c r="O78" i="6" s="1"/>
  <c r="H78" i="6"/>
  <c r="F79" i="6"/>
  <c r="O79" i="6" s="1"/>
  <c r="L79" i="6"/>
  <c r="H79" i="6"/>
  <c r="I79" i="6" s="1"/>
  <c r="F80" i="6"/>
  <c r="O80" i="6" s="1"/>
  <c r="L80" i="6"/>
  <c r="H80" i="6"/>
  <c r="I80" i="6" s="1"/>
  <c r="F81" i="6"/>
  <c r="O81" i="6" s="1"/>
  <c r="L81" i="6"/>
  <c r="H81" i="6"/>
  <c r="I81" i="6" s="1"/>
  <c r="Z316" i="5"/>
  <c r="AA316" i="5" s="1"/>
  <c r="L10" i="398"/>
  <c r="L8" i="398"/>
  <c r="L9" i="398"/>
  <c r="L82" i="6"/>
  <c r="F82" i="6" s="1"/>
  <c r="O82" i="6" s="1"/>
  <c r="H82" i="6"/>
  <c r="F83" i="6"/>
  <c r="O83" i="6" s="1"/>
  <c r="L83" i="6"/>
  <c r="H83" i="6"/>
  <c r="I83" i="6" s="1"/>
  <c r="F84" i="6"/>
  <c r="O84" i="6" s="1"/>
  <c r="L84" i="6"/>
  <c r="H84" i="6"/>
  <c r="I84" i="6" s="1"/>
  <c r="Z315" i="5"/>
  <c r="V315" i="5"/>
  <c r="F85" i="6"/>
  <c r="O85" i="6" s="1"/>
  <c r="L85" i="6"/>
  <c r="H85" i="6"/>
  <c r="I85" i="6" s="1"/>
  <c r="Z313" i="5"/>
  <c r="V313" i="5"/>
  <c r="Z314" i="5"/>
  <c r="AA314" i="5" s="1"/>
  <c r="L12" i="412"/>
  <c r="L7" i="412"/>
  <c r="M10" i="412" s="1"/>
  <c r="A1" i="412" a="1"/>
  <c r="A1" i="412" s="1"/>
  <c r="C4" i="412" s="1"/>
  <c r="A2" i="412" s="1"/>
  <c r="AB117" i="1"/>
  <c r="F86" i="6"/>
  <c r="O86" i="6" s="1"/>
  <c r="L86" i="6"/>
  <c r="H86" i="6"/>
  <c r="I86" i="6" s="1"/>
  <c r="F87" i="6"/>
  <c r="O87" i="6" s="1"/>
  <c r="L87" i="6"/>
  <c r="H87" i="6"/>
  <c r="I87" i="6" s="1"/>
  <c r="F88" i="6"/>
  <c r="O88" i="6" s="1"/>
  <c r="L88" i="6"/>
  <c r="H88" i="6"/>
  <c r="I88" i="6" s="1"/>
  <c r="L89" i="6"/>
  <c r="F89" i="6" s="1"/>
  <c r="O89" i="6" s="1"/>
  <c r="H89" i="6"/>
  <c r="L90" i="6"/>
  <c r="F90" i="6" s="1"/>
  <c r="O90" i="6" s="1"/>
  <c r="H90" i="6"/>
  <c r="Z312" i="5"/>
  <c r="V312" i="5"/>
  <c r="F91" i="6"/>
  <c r="O91" i="6" s="1"/>
  <c r="L91" i="6"/>
  <c r="H91" i="6"/>
  <c r="I91" i="6" s="1"/>
  <c r="L92" i="6"/>
  <c r="F92" i="6" s="1"/>
  <c r="O92" i="6" s="1"/>
  <c r="H92" i="6"/>
  <c r="L93" i="6"/>
  <c r="F93" i="6" s="1"/>
  <c r="O93" i="6" s="1"/>
  <c r="H93" i="6"/>
  <c r="F94" i="6"/>
  <c r="O94" i="6" s="1"/>
  <c r="L94" i="6"/>
  <c r="H94" i="6"/>
  <c r="I94" i="6" s="1"/>
  <c r="L12" i="411"/>
  <c r="L7" i="411"/>
  <c r="L14" i="411" s="1"/>
  <c r="A1" i="411" a="1"/>
  <c r="A1" i="411" s="1"/>
  <c r="C4" i="411" s="1"/>
  <c r="A2" i="411" s="1"/>
  <c r="AB77" i="1"/>
  <c r="L12" i="410"/>
  <c r="L7" i="410"/>
  <c r="L14" i="410" s="1"/>
  <c r="A1" i="410" a="1"/>
  <c r="A1" i="410" s="1"/>
  <c r="C4" i="410" s="1"/>
  <c r="A2" i="410" s="1"/>
  <c r="AB76" i="1"/>
  <c r="Z311" i="5"/>
  <c r="V311" i="5"/>
  <c r="F95" i="6"/>
  <c r="O95" i="6" s="1"/>
  <c r="L95" i="6"/>
  <c r="H95" i="6"/>
  <c r="I95" i="6" s="1"/>
  <c r="F96" i="6"/>
  <c r="O96" i="6" s="1"/>
  <c r="L96" i="6"/>
  <c r="H96" i="6"/>
  <c r="I96" i="6" s="1"/>
  <c r="L12" i="407"/>
  <c r="L7" i="407"/>
  <c r="L14" i="407" s="1"/>
  <c r="A1" i="407" a="1"/>
  <c r="A1" i="407" s="1"/>
  <c r="C4" i="407" s="1"/>
  <c r="A2" i="407" s="1"/>
  <c r="Z310" i="5"/>
  <c r="V310" i="5"/>
  <c r="F97" i="6"/>
  <c r="O97" i="6" s="1"/>
  <c r="L97" i="6"/>
  <c r="H97" i="6"/>
  <c r="I97" i="6" s="1"/>
  <c r="L98" i="6"/>
  <c r="F98" i="6" s="1"/>
  <c r="O98" i="6" s="1"/>
  <c r="H98" i="6"/>
  <c r="L99" i="6"/>
  <c r="F99" i="6" s="1"/>
  <c r="O99" i="6" s="1"/>
  <c r="H99" i="6"/>
  <c r="AB75" i="1"/>
  <c r="V309" i="5"/>
  <c r="Z309" i="5"/>
  <c r="Z308" i="5"/>
  <c r="V308" i="5"/>
  <c r="U309" i="5"/>
  <c r="L8" i="400"/>
  <c r="L13" i="418" l="1"/>
  <c r="M10" i="407"/>
  <c r="AA318" i="5"/>
  <c r="AA320" i="5"/>
  <c r="M10" i="417"/>
  <c r="L13" i="417"/>
  <c r="L13" i="416"/>
  <c r="L14" i="416"/>
  <c r="AA315" i="5"/>
  <c r="L14" i="415"/>
  <c r="M10" i="415"/>
  <c r="L12" i="415" s="1"/>
  <c r="AA317" i="5"/>
  <c r="AA311" i="5"/>
  <c r="I75" i="6"/>
  <c r="M10" i="414"/>
  <c r="L12" i="414" s="1"/>
  <c r="I77" i="6"/>
  <c r="I78" i="6"/>
  <c r="AA313" i="5"/>
  <c r="I82" i="6"/>
  <c r="AA310" i="5"/>
  <c r="AA312" i="5"/>
  <c r="AA308" i="5"/>
  <c r="L13" i="412"/>
  <c r="L14" i="412"/>
  <c r="I89" i="6"/>
  <c r="I90" i="6"/>
  <c r="I92" i="6"/>
  <c r="I93" i="6"/>
  <c r="L13" i="411"/>
  <c r="M10" i="411"/>
  <c r="M10" i="410"/>
  <c r="L13" i="410"/>
  <c r="L13" i="407"/>
  <c r="I98" i="6"/>
  <c r="I99" i="6"/>
  <c r="AA309" i="5"/>
  <c r="L12" i="402"/>
  <c r="L7" i="402"/>
  <c r="L14" i="402" s="1"/>
  <c r="A1" i="402" a="1"/>
  <c r="A1" i="402" s="1"/>
  <c r="C4" i="402" s="1"/>
  <c r="A2" i="402" s="1"/>
  <c r="AB74" i="1"/>
  <c r="Z306" i="5"/>
  <c r="V306" i="5"/>
  <c r="Z305" i="5"/>
  <c r="AA305" i="5" s="1"/>
  <c r="Z307" i="5"/>
  <c r="AA307" i="5" s="1"/>
  <c r="F100" i="6"/>
  <c r="O100" i="6" s="1"/>
  <c r="L100" i="6"/>
  <c r="H100" i="6"/>
  <c r="I100" i="6" s="1"/>
  <c r="L7" i="400"/>
  <c r="L14" i="400" s="1"/>
  <c r="A1" i="400" a="1"/>
  <c r="A1" i="400" s="1"/>
  <c r="C4" i="400" s="1"/>
  <c r="A2" i="400" s="1"/>
  <c r="L7" i="399"/>
  <c r="L14" i="399" s="1"/>
  <c r="A1" i="399" a="1"/>
  <c r="A1" i="399" s="1"/>
  <c r="C4" i="399" s="1"/>
  <c r="A2" i="399" s="1"/>
  <c r="L7" i="398"/>
  <c r="A1" i="398" a="1"/>
  <c r="A1" i="398" s="1"/>
  <c r="C4" i="398" s="1"/>
  <c r="A2" i="398" s="1"/>
  <c r="F101" i="6"/>
  <c r="O101" i="6" s="1"/>
  <c r="L101" i="6"/>
  <c r="H101" i="6"/>
  <c r="I101" i="6" s="1"/>
  <c r="F102" i="6"/>
  <c r="O102" i="6" s="1"/>
  <c r="L102" i="6"/>
  <c r="H102" i="6"/>
  <c r="I102" i="6" s="1"/>
  <c r="F103" i="6"/>
  <c r="O103" i="6" s="1"/>
  <c r="L103" i="6"/>
  <c r="H103" i="6"/>
  <c r="I103" i="6" s="1"/>
  <c r="L104" i="6"/>
  <c r="F104" i="6" s="1"/>
  <c r="O104" i="6" s="1"/>
  <c r="H104" i="6"/>
  <c r="F105" i="6"/>
  <c r="O105" i="6" s="1"/>
  <c r="L105" i="6"/>
  <c r="H105" i="6"/>
  <c r="I105" i="6" s="1"/>
  <c r="AB73" i="1"/>
  <c r="AB72" i="1"/>
  <c r="AA306" i="5" l="1"/>
  <c r="M10" i="398"/>
  <c r="L12" i="398" s="1"/>
  <c r="L14" i="398"/>
  <c r="M10" i="402"/>
  <c r="L13" i="402"/>
  <c r="M10" i="400"/>
  <c r="L12" i="400" s="1"/>
  <c r="L13" i="400"/>
  <c r="M10" i="399"/>
  <c r="L12" i="399" s="1"/>
  <c r="L13" i="399"/>
  <c r="L13" i="398"/>
  <c r="I104" i="6"/>
  <c r="F106" i="6"/>
  <c r="O106" i="6" s="1"/>
  <c r="L106" i="6"/>
  <c r="H106" i="6"/>
  <c r="I106" i="6" s="1"/>
  <c r="F107" i="6"/>
  <c r="O107" i="6" s="1"/>
  <c r="L107" i="6"/>
  <c r="H107" i="6"/>
  <c r="I107" i="6" s="1"/>
  <c r="L108" i="6"/>
  <c r="F108" i="6" s="1"/>
  <c r="O108" i="6" s="1"/>
  <c r="H108" i="6"/>
  <c r="L14" i="394"/>
  <c r="F109" i="6"/>
  <c r="O109" i="6" s="1"/>
  <c r="L109" i="6"/>
  <c r="H109" i="6"/>
  <c r="I109" i="6" s="1"/>
  <c r="L7" i="395"/>
  <c r="M10" i="395" s="1"/>
  <c r="A1" i="395" a="1"/>
  <c r="A1" i="395" s="1"/>
  <c r="C4" i="395" s="1"/>
  <c r="A2" i="395" s="1"/>
  <c r="AB71" i="1"/>
  <c r="F110" i="6"/>
  <c r="O110" i="6" s="1"/>
  <c r="L110" i="6"/>
  <c r="H110" i="6"/>
  <c r="I110" i="6" s="1"/>
  <c r="Z304" i="5"/>
  <c r="V304" i="5"/>
  <c r="Z303" i="5"/>
  <c r="V303" i="5"/>
  <c r="L10" i="394"/>
  <c r="L8" i="394"/>
  <c r="M10" i="394" s="1"/>
  <c r="L13" i="394" l="1"/>
  <c r="L14" i="395"/>
  <c r="L13" i="395"/>
  <c r="AA304" i="5"/>
  <c r="AA303" i="5"/>
  <c r="I108" i="6"/>
  <c r="L12" i="395"/>
  <c r="L12" i="394"/>
  <c r="A1" i="394" a="1"/>
  <c r="A1" i="394" s="1"/>
  <c r="C4" i="394" s="1"/>
  <c r="A2" i="394" s="1"/>
  <c r="AB70" i="1"/>
  <c r="F111" i="6" l="1"/>
  <c r="O111" i="6" s="1"/>
  <c r="L111" i="6"/>
  <c r="H111" i="6"/>
  <c r="I111" i="6" s="1"/>
  <c r="F112" i="6"/>
  <c r="O112" i="6" s="1"/>
  <c r="L112" i="6"/>
  <c r="H112" i="6"/>
  <c r="I112" i="6" s="1"/>
  <c r="L7" i="393"/>
  <c r="A1" i="393" a="1"/>
  <c r="A1" i="393" s="1"/>
  <c r="C4" i="393" s="1"/>
  <c r="A2" i="393" s="1"/>
  <c r="AB69" i="1"/>
  <c r="L12" i="392"/>
  <c r="L7" i="392"/>
  <c r="L13" i="392" s="1"/>
  <c r="A1" i="392" a="1"/>
  <c r="A1" i="392" s="1"/>
  <c r="C4" i="392" s="1"/>
  <c r="A2" i="392" s="1"/>
  <c r="AB68" i="1"/>
  <c r="F113" i="6"/>
  <c r="O113" i="6" s="1"/>
  <c r="L113" i="6"/>
  <c r="H113" i="6"/>
  <c r="I113" i="6" s="1"/>
  <c r="F114" i="6"/>
  <c r="O114" i="6" s="1"/>
  <c r="L114" i="6"/>
  <c r="H114" i="6"/>
  <c r="I114" i="6" s="1"/>
  <c r="F115" i="6"/>
  <c r="O115" i="6" s="1"/>
  <c r="L115" i="6"/>
  <c r="H115" i="6"/>
  <c r="I115" i="6" s="1"/>
  <c r="F116" i="6"/>
  <c r="O116" i="6" s="1"/>
  <c r="L116" i="6"/>
  <c r="H116" i="6"/>
  <c r="I116" i="6" s="1"/>
  <c r="F117" i="6"/>
  <c r="O117" i="6" s="1"/>
  <c r="L117" i="6"/>
  <c r="H117" i="6"/>
  <c r="I117" i="6" s="1"/>
  <c r="L14" i="393" l="1"/>
  <c r="M10" i="393"/>
  <c r="L12" i="393" s="1"/>
  <c r="L13" i="393"/>
  <c r="L14" i="392"/>
  <c r="M10" i="392"/>
  <c r="Z302" i="5"/>
  <c r="AA302" i="5" s="1"/>
  <c r="Z301" i="5"/>
  <c r="V301" i="5"/>
  <c r="Z300" i="5" l="1"/>
  <c r="V300" i="5"/>
  <c r="U301" i="5"/>
  <c r="AA301" i="5"/>
  <c r="Z231" i="5"/>
  <c r="V299" i="5"/>
  <c r="Z299" i="5"/>
  <c r="F118" i="6"/>
  <c r="O118" i="6" s="1"/>
  <c r="L118" i="6"/>
  <c r="H118" i="6"/>
  <c r="I118" i="6" s="1"/>
  <c r="Z298" i="5"/>
  <c r="V298" i="5"/>
  <c r="F119" i="6"/>
  <c r="O119" i="6" s="1"/>
  <c r="L119" i="6"/>
  <c r="H119" i="6"/>
  <c r="I119" i="6" s="1"/>
  <c r="F120" i="6"/>
  <c r="O120" i="6" s="1"/>
  <c r="L120" i="6"/>
  <c r="H120" i="6"/>
  <c r="I120" i="6" s="1"/>
  <c r="Z297" i="5"/>
  <c r="V297" i="5"/>
  <c r="Z296" i="5"/>
  <c r="V296" i="5"/>
  <c r="Z286" i="5"/>
  <c r="Z295" i="5"/>
  <c r="V295" i="5"/>
  <c r="Z294" i="5"/>
  <c r="V294" i="5"/>
  <c r="F121" i="6"/>
  <c r="O121" i="6" s="1"/>
  <c r="L121" i="6"/>
  <c r="H121" i="6"/>
  <c r="I121" i="6" s="1"/>
  <c r="Z293" i="5"/>
  <c r="AA293" i="5" s="1"/>
  <c r="Z292" i="5"/>
  <c r="V292" i="5"/>
  <c r="U358" i="5"/>
  <c r="AA358" i="5"/>
  <c r="L12" i="387"/>
  <c r="L7" i="387"/>
  <c r="L13" i="387" s="1"/>
  <c r="A1" i="387" a="1"/>
  <c r="A1" i="387" s="1"/>
  <c r="C4" i="387" s="1"/>
  <c r="A2" i="387" s="1"/>
  <c r="AB67" i="1"/>
  <c r="L12" i="386"/>
  <c r="L7" i="386"/>
  <c r="L13" i="386" s="1"/>
  <c r="A1" i="386" a="1"/>
  <c r="A1" i="386" s="1"/>
  <c r="C4" i="386" s="1"/>
  <c r="A2" i="386" s="1"/>
  <c r="AB66" i="1"/>
  <c r="AA297" i="5" l="1"/>
  <c r="AA300" i="5"/>
  <c r="AA298" i="5"/>
  <c r="AA299" i="5"/>
  <c r="AA296" i="5"/>
  <c r="AA295" i="5"/>
  <c r="AA294" i="5"/>
  <c r="AA292" i="5"/>
  <c r="L14" i="387"/>
  <c r="M10" i="387"/>
  <c r="L14" i="386"/>
  <c r="M10" i="386"/>
  <c r="Z291" i="5" l="1"/>
  <c r="V291" i="5"/>
  <c r="Z289" i="5"/>
  <c r="V289" i="5"/>
  <c r="Z290" i="5"/>
  <c r="AA290" i="5" s="1"/>
  <c r="AC289" i="5"/>
  <c r="L12" i="385"/>
  <c r="L7" i="385"/>
  <c r="L14" i="385" s="1"/>
  <c r="A1" i="385" a="1"/>
  <c r="A1" i="385" s="1"/>
  <c r="C4" i="385" s="1"/>
  <c r="A2" i="385" s="1"/>
  <c r="AB65" i="1"/>
  <c r="L122" i="6"/>
  <c r="F122" i="6" s="1"/>
  <c r="O122" i="6" s="1"/>
  <c r="H122" i="6"/>
  <c r="F123" i="6"/>
  <c r="O123" i="6" s="1"/>
  <c r="L123" i="6"/>
  <c r="H123" i="6"/>
  <c r="I123" i="6" s="1"/>
  <c r="F124" i="6"/>
  <c r="O124" i="6" s="1"/>
  <c r="L124" i="6"/>
  <c r="H124" i="6"/>
  <c r="I124" i="6" s="1"/>
  <c r="L125" i="6"/>
  <c r="F125" i="6" s="1"/>
  <c r="O125" i="6" s="1"/>
  <c r="H125" i="6"/>
  <c r="F126" i="6"/>
  <c r="O126" i="6" s="1"/>
  <c r="L126" i="6"/>
  <c r="H126" i="6"/>
  <c r="I126" i="6" s="1"/>
  <c r="F127" i="6"/>
  <c r="O127" i="6" s="1"/>
  <c r="L127" i="6"/>
  <c r="H127" i="6"/>
  <c r="I127" i="6" s="1"/>
  <c r="F128" i="6"/>
  <c r="O128" i="6" s="1"/>
  <c r="L128" i="6"/>
  <c r="H128" i="6"/>
  <c r="I128" i="6" s="1"/>
  <c r="Z288" i="5"/>
  <c r="V288" i="5"/>
  <c r="X286" i="5"/>
  <c r="AA286" i="5" s="1"/>
  <c r="Z287" i="5"/>
  <c r="AA287" i="5" s="1"/>
  <c r="L12" i="382"/>
  <c r="L7" i="382"/>
  <c r="L14" i="382" s="1"/>
  <c r="A1" i="382" a="1"/>
  <c r="A1" i="382" s="1"/>
  <c r="C4" i="382" s="1"/>
  <c r="A2" i="382" s="1"/>
  <c r="L12" i="381"/>
  <c r="L7" i="381"/>
  <c r="L14" i="381" s="1"/>
  <c r="A1" i="381" a="1"/>
  <c r="A1" i="381" s="1"/>
  <c r="C4" i="381" s="1"/>
  <c r="A2" i="381" s="1"/>
  <c r="AB64" i="1"/>
  <c r="AB63" i="1"/>
  <c r="F129" i="6"/>
  <c r="O129" i="6" s="1"/>
  <c r="L129" i="6"/>
  <c r="H129" i="6"/>
  <c r="I129" i="6" s="1"/>
  <c r="H130" i="6"/>
  <c r="I130" i="6" s="1"/>
  <c r="F130" i="6"/>
  <c r="O130" i="6" s="1"/>
  <c r="L130" i="6"/>
  <c r="P29" i="379"/>
  <c r="P30" i="379" s="1"/>
  <c r="P32" i="379"/>
  <c r="H131" i="6"/>
  <c r="H132" i="6"/>
  <c r="H133" i="6"/>
  <c r="I133" i="6" s="1"/>
  <c r="H134" i="6"/>
  <c r="H135" i="6"/>
  <c r="I135" i="6" s="1"/>
  <c r="L131" i="6"/>
  <c r="F131" i="6" s="1"/>
  <c r="O131" i="6" s="1"/>
  <c r="L132" i="6"/>
  <c r="F132" i="6" s="1"/>
  <c r="O132" i="6" s="1"/>
  <c r="F133" i="6"/>
  <c r="O133" i="6" s="1"/>
  <c r="L133" i="6"/>
  <c r="Z285" i="5"/>
  <c r="AA285" i="5" s="1"/>
  <c r="L134" i="6"/>
  <c r="F134" i="6" s="1"/>
  <c r="O134" i="6" s="1"/>
  <c r="L13" i="380"/>
  <c r="A1" i="380" a="1"/>
  <c r="A1" i="380" s="1"/>
  <c r="C4" i="380" s="1"/>
  <c r="A2" i="380" s="1"/>
  <c r="AB62" i="1"/>
  <c r="U353" i="5"/>
  <c r="AA353" i="5"/>
  <c r="U352" i="5"/>
  <c r="AA352" i="5"/>
  <c r="F135" i="6"/>
  <c r="O135" i="6" s="1"/>
  <c r="L135" i="6"/>
  <c r="L136" i="6"/>
  <c r="F136" i="6" s="1"/>
  <c r="O136" i="6" s="1"/>
  <c r="H136" i="6"/>
  <c r="F137" i="6"/>
  <c r="O137" i="6" s="1"/>
  <c r="L137" i="6"/>
  <c r="H137" i="6"/>
  <c r="I137" i="6" s="1"/>
  <c r="U368" i="5"/>
  <c r="AA368" i="5"/>
  <c r="AA351" i="5"/>
  <c r="AA350" i="5"/>
  <c r="AC353" i="5"/>
  <c r="Z378" i="5"/>
  <c r="AA378" i="5" s="1"/>
  <c r="AC378" i="5"/>
  <c r="AA349" i="5"/>
  <c r="AC352" i="5"/>
  <c r="Z284" i="5"/>
  <c r="AA284" i="5" s="1"/>
  <c r="L7" i="379"/>
  <c r="L14" i="379" s="1"/>
  <c r="A1" i="379" a="1"/>
  <c r="A1" i="379" s="1"/>
  <c r="C4" i="379" s="1"/>
  <c r="A2" i="379" s="1"/>
  <c r="P34" i="379" l="1"/>
  <c r="M10" i="385"/>
  <c r="AA289" i="5"/>
  <c r="AA291" i="5"/>
  <c r="I122" i="6"/>
  <c r="AA288" i="5"/>
  <c r="L13" i="385"/>
  <c r="I125" i="6"/>
  <c r="I132" i="6"/>
  <c r="I131" i="6"/>
  <c r="M10" i="382"/>
  <c r="L13" i="382"/>
  <c r="M10" i="381"/>
  <c r="L13" i="381"/>
  <c r="I134" i="6"/>
  <c r="L14" i="380"/>
  <c r="M10" i="380"/>
  <c r="L12" i="380" s="1"/>
  <c r="I136" i="6"/>
  <c r="M10" i="379"/>
  <c r="L12" i="379" s="1"/>
  <c r="L13" i="379"/>
  <c r="Z282" i="5" l="1"/>
  <c r="V282" i="5"/>
  <c r="AA377" i="5"/>
  <c r="AC377" i="5"/>
  <c r="AA376" i="5"/>
  <c r="AC376" i="5"/>
  <c r="AA375" i="5"/>
  <c r="AC375" i="5"/>
  <c r="AB351" i="5"/>
  <c r="AC351" i="5"/>
  <c r="Z283" i="5"/>
  <c r="AA283" i="5" s="1"/>
  <c r="Z281" i="5"/>
  <c r="AA281" i="5" s="1"/>
  <c r="AA374" i="5"/>
  <c r="AC374" i="5"/>
  <c r="AA359" i="5"/>
  <c r="AA354" i="5"/>
  <c r="AC359" i="5"/>
  <c r="F138" i="6"/>
  <c r="O138" i="6" s="1"/>
  <c r="L138" i="6"/>
  <c r="H138" i="6"/>
  <c r="I138" i="6" s="1"/>
  <c r="F139" i="6"/>
  <c r="O139" i="6" s="1"/>
  <c r="L139" i="6"/>
  <c r="H139" i="6"/>
  <c r="I139" i="6" s="1"/>
  <c r="F140" i="6"/>
  <c r="O140" i="6" s="1"/>
  <c r="L140" i="6"/>
  <c r="H140" i="6"/>
  <c r="I140" i="6" s="1"/>
  <c r="L7" i="378"/>
  <c r="L14" i="378" s="1"/>
  <c r="A1" i="378" a="1"/>
  <c r="A1" i="378" s="1"/>
  <c r="C4" i="378" s="1"/>
  <c r="A2" i="378" s="1"/>
  <c r="AB61" i="1"/>
  <c r="L12" i="377"/>
  <c r="L7" i="377"/>
  <c r="M10" i="377" s="1"/>
  <c r="A1" i="377" a="1"/>
  <c r="A1" i="377" s="1"/>
  <c r="C4" i="377" s="1"/>
  <c r="A2" i="377" s="1"/>
  <c r="AB60" i="1"/>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9" i="6"/>
  <c r="L250" i="6"/>
  <c r="L251" i="6"/>
  <c r="L253" i="6"/>
  <c r="L254" i="6"/>
  <c r="L255" i="6"/>
  <c r="L256" i="6"/>
  <c r="L257" i="6"/>
  <c r="L258" i="6"/>
  <c r="L259" i="6"/>
  <c r="L260" i="6"/>
  <c r="L261" i="6"/>
  <c r="L262" i="6"/>
  <c r="L263" i="6"/>
  <c r="L264" i="6"/>
  <c r="L265" i="6"/>
  <c r="L266" i="6"/>
  <c r="L267" i="6"/>
  <c r="L268" i="6"/>
  <c r="L269" i="6"/>
  <c r="L270" i="6"/>
  <c r="L271" i="6"/>
  <c r="L272" i="6"/>
  <c r="L273" i="6"/>
  <c r="L274" i="6"/>
  <c r="L275" i="6"/>
  <c r="L141" i="6"/>
  <c r="F141" i="6"/>
  <c r="AC6" i="5"/>
  <c r="Z279" i="5"/>
  <c r="AA279" i="5" s="1"/>
  <c r="AA282" i="5" l="1"/>
  <c r="M10" i="378"/>
  <c r="L12" i="378" s="1"/>
  <c r="L13" i="378"/>
  <c r="L13" i="377"/>
  <c r="L14" i="377"/>
  <c r="AA280" i="5"/>
  <c r="O141" i="6"/>
  <c r="H141" i="6"/>
  <c r="I141" i="6" s="1"/>
  <c r="F142" i="6"/>
  <c r="O142" i="6" s="1"/>
  <c r="H142" i="6"/>
  <c r="I142" i="6" s="1"/>
  <c r="F143" i="6"/>
  <c r="O143" i="6" s="1"/>
  <c r="H143" i="6"/>
  <c r="I143" i="6" s="1"/>
  <c r="F144" i="6"/>
  <c r="O144" i="6" s="1"/>
  <c r="H144" i="6"/>
  <c r="I144" i="6" s="1"/>
  <c r="F145" i="6"/>
  <c r="O145" i="6" s="1"/>
  <c r="H145" i="6"/>
  <c r="F146" i="6"/>
  <c r="O146" i="6" s="1"/>
  <c r="H146" i="6"/>
  <c r="I146" i="6" s="1"/>
  <c r="F147" i="6"/>
  <c r="O147" i="6" s="1"/>
  <c r="H147" i="6"/>
  <c r="I147" i="6" s="1"/>
  <c r="L12" i="375"/>
  <c r="L7" i="375"/>
  <c r="L14" i="375" s="1"/>
  <c r="A1" i="375" a="1"/>
  <c r="A1" i="375" s="1"/>
  <c r="C4" i="375" s="1"/>
  <c r="A2" i="375" s="1"/>
  <c r="AB59" i="1"/>
  <c r="AA278" i="5"/>
  <c r="F148" i="6"/>
  <c r="O148" i="6" s="1"/>
  <c r="H148" i="6"/>
  <c r="I148" i="6" s="1"/>
  <c r="F149" i="6"/>
  <c r="O149" i="6" s="1"/>
  <c r="H149" i="6"/>
  <c r="I149" i="6" s="1"/>
  <c r="F150" i="6"/>
  <c r="O150" i="6" s="1"/>
  <c r="H150" i="6"/>
  <c r="I150" i="6" s="1"/>
  <c r="F151" i="6"/>
  <c r="O151" i="6" s="1"/>
  <c r="H151" i="6"/>
  <c r="I151" i="6" s="1"/>
  <c r="F152" i="6"/>
  <c r="O152" i="6" s="1"/>
  <c r="H152" i="6"/>
  <c r="I152" i="6" s="1"/>
  <c r="F153" i="6"/>
  <c r="O153" i="6" s="1"/>
  <c r="H153" i="6"/>
  <c r="I153" i="6" s="1"/>
  <c r="L12" i="373"/>
  <c r="L7" i="373"/>
  <c r="L13" i="373" s="1"/>
  <c r="A1" i="373" a="1"/>
  <c r="A1" i="373" s="1"/>
  <c r="C4" i="373" s="1"/>
  <c r="A2" i="373" s="1"/>
  <c r="AB58" i="1"/>
  <c r="AA277" i="5"/>
  <c r="AA276" i="5"/>
  <c r="L7" i="372"/>
  <c r="L14" i="372" s="1"/>
  <c r="L12" i="372"/>
  <c r="A1" i="372" a="1"/>
  <c r="A1" i="372" s="1"/>
  <c r="C4" i="372" s="1"/>
  <c r="A2" i="372" s="1"/>
  <c r="AB56" i="1"/>
  <c r="D24" i="371"/>
  <c r="L7" i="371"/>
  <c r="M10" i="371" s="1"/>
  <c r="L12" i="371" s="1"/>
  <c r="A1" i="371" a="1"/>
  <c r="A1" i="371" s="1"/>
  <c r="C4" i="371" s="1"/>
  <c r="A2" i="371" s="1"/>
  <c r="M10" i="375" l="1"/>
  <c r="I145" i="6"/>
  <c r="L13" i="375"/>
  <c r="L14" i="373"/>
  <c r="M10" i="373"/>
  <c r="M10" i="372"/>
  <c r="L13" i="372"/>
  <c r="L13" i="371"/>
  <c r="L14" i="371"/>
  <c r="V57" i="1" l="1"/>
  <c r="AB57" i="1"/>
  <c r="AA275" i="5"/>
  <c r="Z261" i="5"/>
  <c r="AA261" i="5" s="1"/>
  <c r="AC192" i="5"/>
  <c r="AA272" i="5"/>
  <c r="AA274" i="5"/>
  <c r="AA273" i="5"/>
  <c r="L7" i="369"/>
  <c r="M10" i="369" s="1"/>
  <c r="L12" i="369" s="1"/>
  <c r="A1" i="369" a="1"/>
  <c r="A1" i="369" s="1"/>
  <c r="C4" i="369" s="1"/>
  <c r="A2" i="369" s="1"/>
  <c r="AB55" i="1"/>
  <c r="L12" i="366"/>
  <c r="L10" i="366"/>
  <c r="L14" i="369" l="1"/>
  <c r="L13" i="369"/>
  <c r="L17" i="366"/>
  <c r="M13" i="366"/>
  <c r="L15" i="366" s="1"/>
  <c r="L16" i="366"/>
  <c r="L7" i="7"/>
  <c r="Z271" i="5"/>
  <c r="AA271" i="5" s="1"/>
  <c r="I29" i="358"/>
  <c r="M10" i="7" l="1"/>
  <c r="L12" i="7" s="1"/>
  <c r="L13" i="7"/>
  <c r="L14" i="7"/>
  <c r="J27" i="358"/>
  <c r="I28" i="358" s="1"/>
  <c r="F154" i="6" l="1"/>
  <c r="O154" i="6" s="1"/>
  <c r="H154" i="6"/>
  <c r="I154" i="6" s="1"/>
  <c r="F155" i="6"/>
  <c r="O155" i="6" s="1"/>
  <c r="H155" i="6"/>
  <c r="I155" i="6" s="1"/>
  <c r="F156" i="6"/>
  <c r="O156" i="6" s="1"/>
  <c r="H156" i="6"/>
  <c r="I156" i="6" l="1"/>
  <c r="J27" i="366" l="1"/>
  <c r="I28" i="366" s="1"/>
  <c r="A1" i="366" a="1"/>
  <c r="A1" i="366" s="1"/>
  <c r="C4" i="366" s="1"/>
  <c r="A2" i="366" s="1"/>
  <c r="AB54" i="1"/>
  <c r="I29" i="366" l="1"/>
  <c r="I26" i="359" l="1"/>
  <c r="I24" i="359"/>
  <c r="I29" i="359" l="1"/>
  <c r="J27" i="359"/>
  <c r="I28" i="359" s="1"/>
  <c r="I25" i="345" l="1"/>
  <c r="I26" i="345"/>
  <c r="K27" i="345"/>
  <c r="K28" i="345"/>
  <c r="A1" i="359" a="1"/>
  <c r="A1" i="359" s="1"/>
  <c r="C4" i="359" s="1"/>
  <c r="A2" i="359" s="1"/>
  <c r="I24" i="345" l="1"/>
  <c r="I29" i="345"/>
  <c r="A1" i="358" a="1"/>
  <c r="A1" i="358" s="1"/>
  <c r="C4" i="358" s="1"/>
  <c r="A2" i="358" s="1"/>
  <c r="AB53" i="1" l="1"/>
  <c r="F157" i="6" l="1"/>
  <c r="O157" i="6" s="1"/>
  <c r="H157" i="6"/>
  <c r="I157" i="6" s="1"/>
  <c r="F158" i="6"/>
  <c r="O158" i="6" s="1"/>
  <c r="H158" i="6"/>
  <c r="I158" i="6" s="1"/>
  <c r="F159" i="6"/>
  <c r="O159" i="6" s="1"/>
  <c r="H159" i="6"/>
  <c r="I159" i="6" s="1"/>
  <c r="F160" i="6"/>
  <c r="O160" i="6" s="1"/>
  <c r="H160" i="6"/>
  <c r="O161" i="6"/>
  <c r="H161" i="6"/>
  <c r="I161" i="6" s="1"/>
  <c r="AA270" i="5"/>
  <c r="Z269" i="5"/>
  <c r="V269" i="5"/>
  <c r="Z268" i="5"/>
  <c r="AA268" i="5" s="1"/>
  <c r="AA267" i="5"/>
  <c r="F162" i="6"/>
  <c r="O162" i="6" s="1"/>
  <c r="H162" i="6"/>
  <c r="I162" i="6" s="1"/>
  <c r="F163" i="6"/>
  <c r="O163" i="6" s="1"/>
  <c r="H163" i="6"/>
  <c r="I163" i="6" s="1"/>
  <c r="F164" i="6"/>
  <c r="O164" i="6" s="1"/>
  <c r="H164" i="6"/>
  <c r="I164" i="6" s="1"/>
  <c r="F165" i="6"/>
  <c r="O165" i="6" s="1"/>
  <c r="H165" i="6"/>
  <c r="I165" i="6" s="1"/>
  <c r="I27" i="356"/>
  <c r="I26" i="356"/>
  <c r="I24" i="356"/>
  <c r="A1" i="356" a="1"/>
  <c r="A1" i="356" s="1"/>
  <c r="C4" i="356" s="1"/>
  <c r="A2" i="356" s="1"/>
  <c r="AB13" i="1"/>
  <c r="I27" i="355"/>
  <c r="I26" i="355"/>
  <c r="I24" i="355"/>
  <c r="A1" i="355" a="1"/>
  <c r="A1" i="355" s="1"/>
  <c r="C4" i="355" s="1"/>
  <c r="A2" i="355" s="1"/>
  <c r="AB115" i="1"/>
  <c r="AA266" i="5"/>
  <c r="I27" i="352"/>
  <c r="I26" i="352"/>
  <c r="I24" i="352"/>
  <c r="A1" i="352" a="1"/>
  <c r="A1" i="352" s="1"/>
  <c r="C4" i="352" s="1"/>
  <c r="A2" i="352" s="1"/>
  <c r="J26" i="352" l="1"/>
  <c r="J26" i="356"/>
  <c r="J26" i="355"/>
  <c r="AA269" i="5"/>
  <c r="I160" i="6"/>
  <c r="Z265" i="5"/>
  <c r="AA265" i="5" s="1"/>
  <c r="Z263" i="5"/>
  <c r="AA263" i="5" s="1"/>
  <c r="AB12" i="1" l="1"/>
  <c r="AA369" i="5"/>
  <c r="F166" i="6" l="1"/>
  <c r="O166" i="6" s="1"/>
  <c r="H166" i="6"/>
  <c r="F167" i="6"/>
  <c r="O167" i="6" s="1"/>
  <c r="H167" i="6"/>
  <c r="I166" i="6" l="1"/>
  <c r="I167" i="6"/>
  <c r="Z262" i="5"/>
  <c r="V262" i="5"/>
  <c r="F168" i="6"/>
  <c r="O168" i="6" s="1"/>
  <c r="H168" i="6"/>
  <c r="I168" i="6" s="1"/>
  <c r="I27" i="347"/>
  <c r="I26" i="347"/>
  <c r="I24" i="347"/>
  <c r="J26" i="347" s="1"/>
  <c r="A1" i="347" a="1"/>
  <c r="A1" i="347" s="1"/>
  <c r="C4" i="347" s="1"/>
  <c r="A2" i="347" s="1"/>
  <c r="AB52" i="1"/>
  <c r="Z259" i="5"/>
  <c r="V259" i="5"/>
  <c r="Z260" i="5"/>
  <c r="V260" i="5"/>
  <c r="U260" i="5"/>
  <c r="F169" i="6"/>
  <c r="O169" i="6" s="1"/>
  <c r="H169" i="6"/>
  <c r="I169" i="6" s="1"/>
  <c r="F170" i="6"/>
  <c r="O170" i="6" s="1"/>
  <c r="H170" i="6"/>
  <c r="I170" i="6" s="1"/>
  <c r="F171" i="6"/>
  <c r="O171" i="6" s="1"/>
  <c r="H171" i="6"/>
  <c r="I171" i="6" s="1"/>
  <c r="S7" i="94"/>
  <c r="R8" i="94" s="1"/>
  <c r="S8" i="94" s="1"/>
  <c r="S9" i="94" s="1"/>
  <c r="S10" i="94" s="1"/>
  <c r="AA259" i="5" l="1"/>
  <c r="AA260" i="5"/>
  <c r="AA262" i="5"/>
  <c r="J27" i="345"/>
  <c r="I28" i="345" s="1"/>
  <c r="A1" i="345" a="1"/>
  <c r="A1" i="345" s="1"/>
  <c r="C4" i="345" s="1"/>
  <c r="A2" i="345" s="1"/>
  <c r="I27" i="344"/>
  <c r="I26" i="344"/>
  <c r="I24" i="344"/>
  <c r="A1" i="344" a="1"/>
  <c r="A1" i="344" s="1"/>
  <c r="C4" i="344" s="1"/>
  <c r="A2" i="344" s="1"/>
  <c r="AB51" i="1"/>
  <c r="I27" i="343"/>
  <c r="I26" i="343"/>
  <c r="I24" i="343"/>
  <c r="A1" i="343" a="1"/>
  <c r="A1" i="343" s="1"/>
  <c r="C4" i="343" s="1"/>
  <c r="A2" i="343" s="1"/>
  <c r="AB50" i="1"/>
  <c r="AC12" i="5"/>
  <c r="Z257" i="5"/>
  <c r="X257" i="5"/>
  <c r="V257" i="5"/>
  <c r="Z258" i="5"/>
  <c r="AA258" i="5" s="1"/>
  <c r="J26" i="343" l="1"/>
  <c r="J26" i="344"/>
  <c r="AA257" i="5"/>
  <c r="AC14" i="5"/>
  <c r="Z255" i="5"/>
  <c r="V255" i="5"/>
  <c r="Z256" i="5"/>
  <c r="AA256" i="5" s="1"/>
  <c r="F195" i="6"/>
  <c r="F172" i="6"/>
  <c r="O172" i="6" s="1"/>
  <c r="H172" i="6"/>
  <c r="I172" i="6" s="1"/>
  <c r="F173" i="6"/>
  <c r="O173" i="6" s="1"/>
  <c r="H173" i="6"/>
  <c r="I173" i="6" s="1"/>
  <c r="F174" i="6"/>
  <c r="O174" i="6" s="1"/>
  <c r="H174" i="6"/>
  <c r="I174" i="6" s="1"/>
  <c r="AA367" i="5"/>
  <c r="AC367" i="5"/>
  <c r="AA255" i="5" l="1"/>
  <c r="D24" i="332"/>
  <c r="Z254" i="5" l="1"/>
  <c r="AA254" i="5" s="1"/>
  <c r="U254" i="5"/>
  <c r="I27" i="338"/>
  <c r="I26" i="338"/>
  <c r="I24" i="338"/>
  <c r="A1" i="338" a="1"/>
  <c r="A1" i="338" s="1"/>
  <c r="C4" i="338" s="1"/>
  <c r="A2" i="338" s="1"/>
  <c r="I27" i="337"/>
  <c r="I26" i="337"/>
  <c r="I24" i="337"/>
  <c r="A1" i="337" a="1"/>
  <c r="A1" i="337" s="1"/>
  <c r="C4" i="337" s="1"/>
  <c r="A2" i="337" s="1"/>
  <c r="I27" i="336"/>
  <c r="I26" i="336"/>
  <c r="I24" i="336"/>
  <c r="A1" i="336" a="1"/>
  <c r="A1" i="336" s="1"/>
  <c r="C4" i="336" s="1"/>
  <c r="A2" i="336" s="1"/>
  <c r="AB49" i="1"/>
  <c r="J26" i="337" l="1"/>
  <c r="J26" i="336"/>
  <c r="J26" i="338"/>
  <c r="AB48" i="1"/>
  <c r="F175" i="6"/>
  <c r="O175" i="6" s="1"/>
  <c r="H175" i="6"/>
  <c r="I175" i="6" s="1"/>
  <c r="AC17" i="5"/>
  <c r="Z252" i="5"/>
  <c r="AA252" i="5" s="1"/>
  <c r="U252" i="5"/>
  <c r="Z253" i="5" l="1"/>
  <c r="V253" i="5"/>
  <c r="Z251" i="5"/>
  <c r="V251" i="5"/>
  <c r="U251" i="5"/>
  <c r="I27" i="332"/>
  <c r="I26" i="332"/>
  <c r="I24" i="332"/>
  <c r="A1" i="332" a="1"/>
  <c r="A1" i="332" s="1"/>
  <c r="C4" i="332" s="1"/>
  <c r="A2" i="332" s="1"/>
  <c r="AB47" i="1"/>
  <c r="I27" i="330"/>
  <c r="I26" i="330"/>
  <c r="I24" i="330"/>
  <c r="A1" i="330" a="1"/>
  <c r="A1" i="330" s="1"/>
  <c r="C4" i="330" s="1"/>
  <c r="A2" i="330" s="1"/>
  <c r="AB46" i="1"/>
  <c r="J26" i="330" l="1"/>
  <c r="AA253" i="5"/>
  <c r="J26" i="332"/>
  <c r="AA251" i="5"/>
  <c r="F176" i="6"/>
  <c r="O176" i="6" s="1"/>
  <c r="H176" i="6"/>
  <c r="I176" i="6" s="1"/>
  <c r="F177" i="6"/>
  <c r="O177" i="6" s="1"/>
  <c r="H177" i="6"/>
  <c r="I177" i="6" s="1"/>
  <c r="V250" i="5"/>
  <c r="AA250" i="5" s="1"/>
  <c r="AC21" i="5"/>
  <c r="Z249" i="5"/>
  <c r="V249" i="5"/>
  <c r="AA249" i="5" l="1"/>
  <c r="F178" i="6"/>
  <c r="O178" i="6" s="1"/>
  <c r="H178" i="6"/>
  <c r="I178" i="6" s="1"/>
  <c r="F179" i="6"/>
  <c r="O179" i="6" s="1"/>
  <c r="H179" i="6"/>
  <c r="I179" i="6" s="1"/>
  <c r="F180" i="6"/>
  <c r="O180" i="6" s="1"/>
  <c r="H180" i="6"/>
  <c r="I180" i="6" s="1"/>
  <c r="AA366" i="5"/>
  <c r="AA365" i="5"/>
  <c r="U360" i="5"/>
  <c r="Z247" i="5"/>
  <c r="V247" i="5"/>
  <c r="U247" i="5"/>
  <c r="Z248" i="5"/>
  <c r="AA248" i="5" s="1"/>
  <c r="F181" i="6"/>
  <c r="O181" i="6" s="1"/>
  <c r="H181" i="6"/>
  <c r="I181" i="6" s="1"/>
  <c r="O202" i="6"/>
  <c r="O226" i="6"/>
  <c r="N222" i="6"/>
  <c r="L222" i="6" s="1"/>
  <c r="AA247" i="5" l="1"/>
  <c r="I27" i="325"/>
  <c r="I26" i="325"/>
  <c r="I24" i="325"/>
  <c r="A1" i="325" a="1"/>
  <c r="A1" i="325" s="1"/>
  <c r="C4" i="325" s="1"/>
  <c r="A2" i="325" s="1"/>
  <c r="V45" i="1"/>
  <c r="AB45" i="1"/>
  <c r="V246" i="5"/>
  <c r="Z246" i="5"/>
  <c r="U246" i="5"/>
  <c r="Z245" i="5"/>
  <c r="X245" i="5"/>
  <c r="V245" i="5"/>
  <c r="F182" i="6"/>
  <c r="O182" i="6" s="1"/>
  <c r="H182" i="6"/>
  <c r="I182" i="6" s="1"/>
  <c r="I27" i="322"/>
  <c r="I26" i="322"/>
  <c r="I24" i="322"/>
  <c r="A1" i="322" a="1"/>
  <c r="A1" i="322" s="1"/>
  <c r="C4" i="322" s="1"/>
  <c r="A2" i="322" s="1"/>
  <c r="AB10" i="1"/>
  <c r="I27" i="321"/>
  <c r="I26" i="321"/>
  <c r="I24" i="321"/>
  <c r="A1" i="321" a="1"/>
  <c r="A1" i="321" s="1"/>
  <c r="C4" i="321" s="1"/>
  <c r="A2" i="321" s="1"/>
  <c r="J26" i="322" l="1"/>
  <c r="AA246" i="5"/>
  <c r="J26" i="321"/>
  <c r="J26" i="325"/>
  <c r="AA245" i="5"/>
  <c r="AB44" i="1"/>
  <c r="Z96" i="5"/>
  <c r="V96" i="5"/>
  <c r="AC27" i="5"/>
  <c r="Z97" i="5"/>
  <c r="X97" i="5"/>
  <c r="V97" i="5"/>
  <c r="F183" i="6"/>
  <c r="O183" i="6" s="1"/>
  <c r="H183" i="6"/>
  <c r="I183" i="6" s="1"/>
  <c r="I27" i="318"/>
  <c r="I26" i="318"/>
  <c r="I24" i="318"/>
  <c r="A1" i="318" a="1"/>
  <c r="A1" i="318" s="1"/>
  <c r="C4" i="318" s="1"/>
  <c r="A2" i="318" s="1"/>
  <c r="AB43" i="1"/>
  <c r="AC28" i="5"/>
  <c r="Z242" i="5"/>
  <c r="X242" i="5"/>
  <c r="V242" i="5"/>
  <c r="Z243" i="5"/>
  <c r="AA243" i="5" s="1"/>
  <c r="U243" i="5"/>
  <c r="Z244" i="5"/>
  <c r="V244" i="5"/>
  <c r="U244" i="5"/>
  <c r="I27" i="316"/>
  <c r="I26" i="316"/>
  <c r="I24" i="316"/>
  <c r="A1" i="316" a="1"/>
  <c r="A1" i="316" s="1"/>
  <c r="C4" i="316" s="1"/>
  <c r="A2" i="316" s="1"/>
  <c r="J26" i="318" l="1"/>
  <c r="J26" i="316"/>
  <c r="AA97" i="5"/>
  <c r="AA96" i="5"/>
  <c r="AA242" i="5"/>
  <c r="AA244" i="5"/>
  <c r="F184" i="6"/>
  <c r="O184" i="6" s="1"/>
  <c r="H184" i="6"/>
  <c r="I184" i="6" s="1"/>
  <c r="F185" i="6"/>
  <c r="O185" i="6" s="1"/>
  <c r="H185" i="6"/>
  <c r="I185" i="6" s="1"/>
  <c r="Z241" i="5"/>
  <c r="AA241" i="5" s="1"/>
  <c r="F186" i="6"/>
  <c r="H186" i="6"/>
  <c r="I186" i="6" s="1"/>
  <c r="F187" i="6"/>
  <c r="H187" i="6"/>
  <c r="I187" i="6" s="1"/>
  <c r="V36" i="1"/>
  <c r="AB36" i="1"/>
  <c r="O187" i="6" l="1"/>
  <c r="O186" i="6"/>
  <c r="F188" i="6"/>
  <c r="O188" i="6" s="1"/>
  <c r="H188" i="6"/>
  <c r="I188" i="6" s="1"/>
  <c r="F189" i="6"/>
  <c r="O189" i="6" s="1"/>
  <c r="H189" i="6"/>
  <c r="I27" i="310"/>
  <c r="I26" i="310"/>
  <c r="I24" i="310"/>
  <c r="A1" i="310" a="1"/>
  <c r="A1" i="310" s="1"/>
  <c r="C4" i="310" s="1"/>
  <c r="A2" i="310" s="1"/>
  <c r="AB42" i="1"/>
  <c r="Z240" i="5"/>
  <c r="V240" i="5"/>
  <c r="F190" i="6"/>
  <c r="O190" i="6" s="1"/>
  <c r="H190" i="6"/>
  <c r="I190" i="6" s="1"/>
  <c r="I27" i="308"/>
  <c r="I26" i="308"/>
  <c r="I24" i="308"/>
  <c r="A1" i="308" a="1"/>
  <c r="A1" i="308" s="1"/>
  <c r="C4" i="308" s="1"/>
  <c r="A2" i="308" s="1"/>
  <c r="AA240" i="5" l="1"/>
  <c r="I189" i="6"/>
  <c r="J26" i="310"/>
  <c r="J26" i="308"/>
  <c r="AB41" i="1"/>
  <c r="F191" i="6"/>
  <c r="O191" i="6" s="1"/>
  <c r="H191" i="6"/>
  <c r="I191" i="6" s="1"/>
  <c r="I27" i="304"/>
  <c r="I26" i="304"/>
  <c r="I24" i="304"/>
  <c r="J26" i="304" s="1"/>
  <c r="A1" i="304" a="1"/>
  <c r="A1" i="304" s="1"/>
  <c r="C4" i="304" s="1"/>
  <c r="A2" i="304" s="1"/>
  <c r="AB11" i="1"/>
  <c r="F192" i="6"/>
  <c r="O192" i="6" s="1"/>
  <c r="H192" i="6"/>
  <c r="I192" i="6" s="1"/>
  <c r="F193" i="6"/>
  <c r="O193" i="6" s="1"/>
  <c r="H193" i="6"/>
  <c r="I193" i="6" s="1"/>
  <c r="H194" i="6"/>
  <c r="O195" i="6"/>
  <c r="H195" i="6"/>
  <c r="I195" i="6" s="1"/>
  <c r="AC33" i="5"/>
  <c r="Z239" i="5"/>
  <c r="AA239" i="5" s="1"/>
  <c r="Z238" i="5"/>
  <c r="AA238" i="5" s="1"/>
  <c r="AC35" i="5"/>
  <c r="Z237" i="5"/>
  <c r="V237" i="5"/>
  <c r="AA237" i="5" l="1"/>
  <c r="F196" i="6"/>
  <c r="H196" i="6"/>
  <c r="I196" i="6" s="1"/>
  <c r="H197" i="6"/>
  <c r="F198" i="6"/>
  <c r="O198" i="6" s="1"/>
  <c r="H198" i="6"/>
  <c r="I198" i="6" s="1"/>
  <c r="Z236" i="5"/>
  <c r="AA236" i="5" s="1"/>
  <c r="U236" i="5"/>
  <c r="Z235" i="5"/>
  <c r="AA235" i="5" s="1"/>
  <c r="AC38" i="5"/>
  <c r="Z234" i="5"/>
  <c r="V234" i="5"/>
  <c r="O196" i="6" l="1"/>
  <c r="AA234" i="5"/>
  <c r="D24" i="298"/>
  <c r="I27" i="298" l="1"/>
  <c r="I26" i="298"/>
  <c r="I24" i="298"/>
  <c r="A1" i="298" a="1"/>
  <c r="A1" i="298" s="1"/>
  <c r="C4" i="298" s="1"/>
  <c r="A2" i="298" s="1"/>
  <c r="V40" i="1"/>
  <c r="AB40" i="1"/>
  <c r="Z233" i="5"/>
  <c r="AA233" i="5" s="1"/>
  <c r="I27" i="295"/>
  <c r="I26" i="295"/>
  <c r="I24" i="295"/>
  <c r="A1" i="295" a="1"/>
  <c r="A1" i="295" s="1"/>
  <c r="C4" i="295" s="1"/>
  <c r="A2" i="295" s="1"/>
  <c r="AB39" i="1"/>
  <c r="J26" i="295" l="1"/>
  <c r="J26" i="298"/>
  <c r="X231" i="5"/>
  <c r="V231" i="5"/>
  <c r="U231" i="5"/>
  <c r="AC41" i="5"/>
  <c r="Z232" i="5"/>
  <c r="V232" i="5"/>
  <c r="Z230" i="5"/>
  <c r="V230" i="5"/>
  <c r="AA231" i="5" l="1"/>
  <c r="AA230" i="5"/>
  <c r="AA232" i="5"/>
  <c r="Z229" i="5"/>
  <c r="AA229" i="5" s="1"/>
  <c r="AC44" i="5" l="1"/>
  <c r="Z228" i="5"/>
  <c r="V228" i="5"/>
  <c r="AA228" i="5" l="1"/>
  <c r="F199" i="6"/>
  <c r="O199" i="6" s="1"/>
  <c r="H199" i="6"/>
  <c r="I199" i="6" s="1"/>
  <c r="Z227" i="5"/>
  <c r="AA227" i="5" s="1"/>
  <c r="I27" i="293"/>
  <c r="I26" i="293"/>
  <c r="I24" i="293"/>
  <c r="A1" i="293" a="1"/>
  <c r="A1" i="293" s="1"/>
  <c r="C4" i="293" s="1"/>
  <c r="A2" i="293" s="1"/>
  <c r="AA364" i="5"/>
  <c r="AC364" i="5"/>
  <c r="AA363" i="5"/>
  <c r="AC363" i="5"/>
  <c r="AB362" i="5"/>
  <c r="AC362" i="5"/>
  <c r="AC361" i="5"/>
  <c r="AB38" i="1"/>
  <c r="J26" i="293" l="1"/>
  <c r="D24" i="289" l="1"/>
  <c r="I27" i="289" l="1"/>
  <c r="I26" i="289"/>
  <c r="I24" i="289"/>
  <c r="A1" i="289" a="1"/>
  <c r="A1" i="289" s="1"/>
  <c r="C4" i="289" s="1"/>
  <c r="A2" i="289" s="1"/>
  <c r="F200" i="6"/>
  <c r="O200" i="6" s="1"/>
  <c r="H200" i="6"/>
  <c r="I200" i="6" s="1"/>
  <c r="F201" i="6"/>
  <c r="O201" i="6" s="1"/>
  <c r="H201" i="6"/>
  <c r="I201" i="6" s="1"/>
  <c r="F203" i="6"/>
  <c r="O203" i="6" s="1"/>
  <c r="F204" i="6"/>
  <c r="O204" i="6" s="1"/>
  <c r="H202" i="6"/>
  <c r="I202" i="6" s="1"/>
  <c r="J26" i="289" l="1"/>
  <c r="I27" i="287"/>
  <c r="I26" i="287"/>
  <c r="I24" i="287"/>
  <c r="A1" i="287" a="1"/>
  <c r="A1" i="287" s="1"/>
  <c r="C4" i="287" s="1"/>
  <c r="A2" i="287" s="1"/>
  <c r="J26" i="287" l="1"/>
  <c r="AB37" i="1"/>
  <c r="Z226" i="5"/>
  <c r="AA226" i="5" s="1"/>
  <c r="AA224" i="5"/>
  <c r="Z225" i="5"/>
  <c r="AA225" i="5" s="1"/>
  <c r="H203" i="6" l="1"/>
  <c r="I203" i="6" s="1"/>
  <c r="H204" i="6"/>
  <c r="I204" i="6" s="1"/>
  <c r="H205" i="6"/>
  <c r="F206" i="6"/>
  <c r="H206" i="6"/>
  <c r="I206" i="6" s="1"/>
  <c r="H207" i="6"/>
  <c r="F208" i="6"/>
  <c r="O208" i="6" s="1"/>
  <c r="H208" i="6"/>
  <c r="I208" i="6" s="1"/>
  <c r="F209" i="6"/>
  <c r="O209" i="6" s="1"/>
  <c r="H209" i="6"/>
  <c r="I209" i="6" s="1"/>
  <c r="AC49" i="5"/>
  <c r="Z223" i="5"/>
  <c r="AA223" i="5" s="1"/>
  <c r="O206" i="6" l="1"/>
  <c r="AC50" i="5"/>
  <c r="Z222" i="5"/>
  <c r="X222" i="5"/>
  <c r="AA222" i="5" l="1"/>
  <c r="AC51" i="5"/>
  <c r="Z220" i="5"/>
  <c r="V220" i="5"/>
  <c r="AC52" i="5"/>
  <c r="Z221" i="5"/>
  <c r="AA221" i="5" s="1"/>
  <c r="I27" i="275"/>
  <c r="I26" i="275"/>
  <c r="I24" i="275"/>
  <c r="J26" i="275" s="1"/>
  <c r="A1" i="275" a="1"/>
  <c r="A1" i="275" s="1"/>
  <c r="C4" i="275" s="1"/>
  <c r="A2" i="275" s="1"/>
  <c r="AA220" i="5" l="1"/>
  <c r="AB35" i="1" l="1"/>
  <c r="AB34" i="1" l="1"/>
  <c r="I27" i="272" l="1"/>
  <c r="I26" i="272"/>
  <c r="I24" i="272"/>
  <c r="A1" i="272" a="1"/>
  <c r="A1" i="272" s="1"/>
  <c r="C4" i="272" s="1"/>
  <c r="A2" i="272" s="1"/>
  <c r="J26" i="272" l="1"/>
  <c r="Z219" i="5"/>
  <c r="AA219" i="5" s="1"/>
  <c r="U219" i="5"/>
  <c r="AC101" i="5"/>
  <c r="Z216" i="5"/>
  <c r="V216" i="5"/>
  <c r="AA216" i="5" l="1"/>
  <c r="AA217" i="5" l="1"/>
  <c r="D24" i="267" l="1"/>
  <c r="I27" i="267" l="1"/>
  <c r="I26" i="267"/>
  <c r="I24" i="267"/>
  <c r="A1" i="267" a="1"/>
  <c r="A1" i="267" s="1"/>
  <c r="C4" i="267" s="1"/>
  <c r="A2" i="267" s="1"/>
  <c r="V33" i="1"/>
  <c r="AB33" i="1"/>
  <c r="J26" i="267" l="1"/>
  <c r="D24" i="264" l="1"/>
  <c r="I27" i="264" l="1"/>
  <c r="I26" i="264"/>
  <c r="I24" i="264"/>
  <c r="A1" i="264" a="1"/>
  <c r="A1" i="264" s="1"/>
  <c r="C4" i="264" s="1"/>
  <c r="A2" i="264" s="1"/>
  <c r="V32" i="1"/>
  <c r="AB32" i="1"/>
  <c r="J26" i="264" l="1"/>
  <c r="Z218" i="5" l="1"/>
  <c r="X218" i="5"/>
  <c r="V218" i="5"/>
  <c r="AA218" i="5" l="1"/>
  <c r="F210" i="6"/>
  <c r="O210" i="6" s="1"/>
  <c r="H210" i="6"/>
  <c r="I210" i="6" s="1"/>
  <c r="F211" i="6"/>
  <c r="O211" i="6" s="1"/>
  <c r="H211" i="6"/>
  <c r="I211" i="6" s="1"/>
  <c r="F212" i="6" l="1"/>
  <c r="O212" i="6" s="1"/>
  <c r="H212" i="6"/>
  <c r="I212" i="6" s="1"/>
  <c r="AC100" i="5" l="1"/>
  <c r="Z215" i="5"/>
  <c r="V215" i="5"/>
  <c r="AA215" i="5" l="1"/>
  <c r="Z212" i="5"/>
  <c r="AA212" i="5" s="1"/>
  <c r="Z213" i="5"/>
  <c r="V213" i="5"/>
  <c r="U213" i="5"/>
  <c r="AA213" i="5" l="1"/>
  <c r="AC136" i="5" l="1"/>
  <c r="Z214" i="5"/>
  <c r="V214" i="5"/>
  <c r="AA214" i="5" l="1"/>
  <c r="A1" i="259" l="1" a="1"/>
  <c r="A1" i="259" s="1"/>
  <c r="AB9" i="1"/>
  <c r="C4" i="259" l="1"/>
  <c r="A2" i="259" s="1"/>
  <c r="Z211" i="5" l="1"/>
  <c r="AA211" i="5" s="1"/>
  <c r="U211" i="5"/>
  <c r="AC287" i="5" l="1"/>
  <c r="Z210" i="5"/>
  <c r="X210" i="5"/>
  <c r="V210" i="5"/>
  <c r="AA210" i="5" l="1"/>
  <c r="F213" i="6"/>
  <c r="O213" i="6" s="1"/>
  <c r="H213" i="6"/>
  <c r="I213" i="6" s="1"/>
  <c r="Z209" i="5" l="1"/>
  <c r="X209" i="5"/>
  <c r="V209" i="5"/>
  <c r="AA209" i="5" l="1"/>
  <c r="AC153" i="5"/>
  <c r="Z208" i="5"/>
  <c r="X208" i="5"/>
  <c r="V208" i="5"/>
  <c r="AA208" i="5" l="1"/>
  <c r="F214" i="6" l="1"/>
  <c r="H214" i="6"/>
  <c r="I214" i="6" s="1"/>
  <c r="O214" i="6" l="1"/>
  <c r="Z207" i="5" l="1"/>
  <c r="AA207" i="5" s="1"/>
  <c r="AC175" i="5"/>
  <c r="Z205" i="5"/>
  <c r="X205" i="5"/>
  <c r="V205" i="5"/>
  <c r="AA205" i="5" l="1"/>
  <c r="D24" i="180"/>
  <c r="AC176" i="5" l="1"/>
  <c r="Z206" i="5"/>
  <c r="V206" i="5"/>
  <c r="U206" i="5"/>
  <c r="AA206" i="5" l="1"/>
  <c r="AC190" i="5" l="1"/>
  <c r="Z204" i="5"/>
  <c r="X204" i="5"/>
  <c r="V204" i="5"/>
  <c r="AC191" i="5"/>
  <c r="Z202" i="5"/>
  <c r="X202" i="5"/>
  <c r="V202" i="5"/>
  <c r="AC62" i="5"/>
  <c r="Z203" i="5"/>
  <c r="V203" i="5"/>
  <c r="AC63" i="5"/>
  <c r="Z201" i="5"/>
  <c r="X201" i="5"/>
  <c r="U201" i="5"/>
  <c r="AA203" i="5" l="1"/>
  <c r="AA204" i="5"/>
  <c r="AA202" i="5"/>
  <c r="AA201" i="5"/>
  <c r="AC249" i="5" l="1"/>
  <c r="Z199" i="5"/>
  <c r="AA199" i="5" s="1"/>
  <c r="Z200" i="5"/>
  <c r="AA200" i="5" s="1"/>
  <c r="AC260" i="5" l="1"/>
  <c r="Z198" i="5"/>
  <c r="AA198" i="5" s="1"/>
  <c r="H215" i="6"/>
  <c r="AA197" i="5"/>
  <c r="H216" i="6"/>
  <c r="AC68" i="5" l="1"/>
  <c r="Z196" i="5"/>
  <c r="V196" i="5"/>
  <c r="AA196" i="5" l="1"/>
  <c r="D24" i="245" l="1"/>
  <c r="A1" i="245" l="1" a="1"/>
  <c r="A1" i="245" s="1"/>
  <c r="C4" i="245" s="1"/>
  <c r="A2" i="245" s="1"/>
  <c r="V31" i="1"/>
  <c r="AB31" i="1"/>
  <c r="AC69" i="5" l="1"/>
  <c r="AA361" i="5"/>
  <c r="AB361" i="5" s="1"/>
  <c r="F217" i="6" l="1"/>
  <c r="O217" i="6" s="1"/>
  <c r="H217" i="6"/>
  <c r="I217" i="6" s="1"/>
  <c r="F218" i="6"/>
  <c r="O218" i="6" s="1"/>
  <c r="H218" i="6"/>
  <c r="I218" i="6" s="1"/>
  <c r="F219" i="6"/>
  <c r="O219" i="6" s="1"/>
  <c r="H219" i="6"/>
  <c r="I219" i="6" s="1"/>
  <c r="AC210" i="5" l="1"/>
  <c r="Z195" i="5"/>
  <c r="AA195" i="5" s="1"/>
  <c r="AC236" i="5" l="1"/>
  <c r="Z194" i="5"/>
  <c r="AA194" i="5" s="1"/>
  <c r="D24" i="239" l="1"/>
  <c r="AC250" i="5" l="1"/>
  <c r="Z193" i="5"/>
  <c r="X193" i="5"/>
  <c r="V193" i="5"/>
  <c r="F220" i="6"/>
  <c r="O220" i="6" s="1"/>
  <c r="H220" i="6"/>
  <c r="I220" i="6" s="1"/>
  <c r="AC272" i="5"/>
  <c r="Z189" i="5"/>
  <c r="X189" i="5"/>
  <c r="V189" i="5"/>
  <c r="AA193" i="5" l="1"/>
  <c r="A1" i="239" l="1" a="1"/>
  <c r="A1" i="239" s="1"/>
  <c r="C4" i="239" s="1"/>
  <c r="A2" i="239" s="1"/>
  <c r="AC179" i="5"/>
  <c r="Z192" i="5"/>
  <c r="AA192" i="5" s="1"/>
  <c r="AC197" i="5" l="1"/>
  <c r="Z190" i="5"/>
  <c r="V190" i="5"/>
  <c r="AC262" i="5"/>
  <c r="Z191" i="5"/>
  <c r="V191" i="5"/>
  <c r="AA191" i="5" l="1"/>
  <c r="AA190" i="5"/>
  <c r="D22" i="232"/>
  <c r="H221" i="6" l="1"/>
  <c r="H222" i="6"/>
  <c r="A1" i="232" l="1" a="1"/>
  <c r="A1" i="232" s="1"/>
  <c r="C4" i="232" s="1"/>
  <c r="A2" i="232" s="1"/>
  <c r="F223" i="6"/>
  <c r="O223" i="6" s="1"/>
  <c r="H223" i="6"/>
  <c r="I223" i="6" s="1"/>
  <c r="A1" i="231" l="1" a="1"/>
  <c r="A1" i="231" s="1"/>
  <c r="C4" i="231" s="1"/>
  <c r="A2" i="231" s="1"/>
  <c r="AB30" i="1"/>
  <c r="AC273" i="5" l="1"/>
  <c r="Z186" i="5"/>
  <c r="AA186" i="5" s="1"/>
  <c r="AC274" i="5"/>
  <c r="Z187" i="5"/>
  <c r="AA187" i="5" s="1"/>
  <c r="AC275" i="5" l="1"/>
  <c r="Z188" i="5"/>
  <c r="AA188" i="5" s="1"/>
  <c r="D24" i="225" l="1"/>
  <c r="AC155" i="5"/>
  <c r="Z185" i="5"/>
  <c r="X185" i="5"/>
  <c r="AA185" i="5" l="1"/>
  <c r="AC156" i="5"/>
  <c r="Z175" i="5"/>
  <c r="AA175" i="5" s="1"/>
  <c r="AC211" i="5" l="1"/>
  <c r="Z183" i="5"/>
  <c r="AA183" i="5" s="1"/>
  <c r="AC220" i="5"/>
  <c r="Z184" i="5"/>
  <c r="AA184" i="5" s="1"/>
  <c r="AC221" i="5" l="1"/>
  <c r="Z182" i="5"/>
  <c r="V182" i="5"/>
  <c r="H224" i="6"/>
  <c r="F225" i="6"/>
  <c r="O225" i="6" s="1"/>
  <c r="H225" i="6"/>
  <c r="I225" i="6" s="1"/>
  <c r="AC29" i="1"/>
  <c r="AC28" i="1"/>
  <c r="AC27" i="1"/>
  <c r="AC26" i="1"/>
  <c r="AC25" i="1"/>
  <c r="AC24" i="1"/>
  <c r="AC23" i="1"/>
  <c r="AC22" i="1"/>
  <c r="AC21" i="1"/>
  <c r="AC20" i="1"/>
  <c r="AC19" i="1"/>
  <c r="AC18" i="1"/>
  <c r="AC17" i="1"/>
  <c r="AC16" i="1"/>
  <c r="AC15" i="1"/>
  <c r="AC14" i="1"/>
  <c r="AC237" i="5"/>
  <c r="Z181" i="5"/>
  <c r="AA181" i="5" s="1"/>
  <c r="W1" i="1" l="1"/>
  <c r="AA182" i="5"/>
  <c r="A1" i="225" a="1"/>
  <c r="A1" i="225" s="1"/>
  <c r="C4" i="225" s="1"/>
  <c r="A2" i="225" s="1"/>
  <c r="AC124" i="5" l="1"/>
  <c r="Z180" i="5"/>
  <c r="AA180" i="5" s="1"/>
  <c r="D24" i="205" l="1"/>
  <c r="AC125" i="5" l="1"/>
  <c r="Z179" i="5"/>
  <c r="V179" i="5"/>
  <c r="AA179" i="5" l="1"/>
  <c r="H226" i="6"/>
  <c r="AC180" i="5"/>
  <c r="Z177" i="5"/>
  <c r="AA177" i="5" s="1"/>
  <c r="Z178" i="5" l="1"/>
  <c r="AA178" i="5" s="1"/>
  <c r="AC198" i="5"/>
  <c r="Z176" i="5"/>
  <c r="X176" i="5"/>
  <c r="V176" i="5"/>
  <c r="AC72" i="5"/>
  <c r="Z174" i="5"/>
  <c r="V174" i="5"/>
  <c r="AA174" i="5" l="1"/>
  <c r="AA176" i="5"/>
  <c r="D22" i="201"/>
  <c r="I226" i="6" l="1"/>
  <c r="AC70" i="5"/>
  <c r="Z173" i="5"/>
  <c r="AA173" i="5" s="1"/>
  <c r="AC71" i="5"/>
  <c r="Z168" i="5"/>
  <c r="AA168" i="5" s="1"/>
  <c r="AC88" i="5" l="1"/>
  <c r="Z163" i="5"/>
  <c r="X163" i="5"/>
  <c r="AC238" i="5"/>
  <c r="AC263" i="5"/>
  <c r="Z164" i="5"/>
  <c r="AA164" i="5" s="1"/>
  <c r="AC264" i="5"/>
  <c r="Z362" i="5"/>
  <c r="AC181" i="5"/>
  <c r="Z169" i="5"/>
  <c r="AA169" i="5" s="1"/>
  <c r="AC199" i="5"/>
  <c r="Z170" i="5"/>
  <c r="V170" i="5"/>
  <c r="AC200" i="5"/>
  <c r="Z171" i="5"/>
  <c r="AA171" i="5" s="1"/>
  <c r="AC82" i="5"/>
  <c r="Z172" i="5"/>
  <c r="AA172" i="5" s="1"/>
  <c r="AA163" i="5" l="1"/>
  <c r="AA170" i="5"/>
  <c r="AC81" i="5" l="1"/>
  <c r="Z165" i="5"/>
  <c r="AA165" i="5" s="1"/>
  <c r="Z166" i="5" l="1"/>
  <c r="AA166" i="5" s="1"/>
  <c r="H227" i="6" l="1"/>
  <c r="F228" i="6" l="1"/>
  <c r="O228" i="6" s="1"/>
  <c r="H228" i="6"/>
  <c r="I228" i="6" s="1"/>
  <c r="AC102" i="5" l="1"/>
  <c r="Z162" i="5"/>
  <c r="AA162" i="5" s="1"/>
  <c r="AC251" i="5"/>
  <c r="Z161" i="5"/>
  <c r="AA161" i="5" s="1"/>
  <c r="AC116" i="5" l="1"/>
  <c r="Z160" i="5"/>
  <c r="AA160" i="5" s="1"/>
  <c r="AC117" i="5"/>
  <c r="Z159" i="5"/>
  <c r="F229" i="6" l="1"/>
  <c r="O229" i="6" s="1"/>
  <c r="H229" i="6"/>
  <c r="I229" i="6" s="1"/>
  <c r="F230" i="6"/>
  <c r="O230" i="6" s="1"/>
  <c r="H230" i="6"/>
  <c r="I230" i="6" s="1"/>
  <c r="F231" i="6"/>
  <c r="O231" i="6" s="1"/>
  <c r="H231" i="6"/>
  <c r="I231" i="6" s="1"/>
  <c r="AC138" i="5"/>
  <c r="Z157" i="5"/>
  <c r="AA157" i="5" s="1"/>
  <c r="AC193" i="5"/>
  <c r="Z158" i="5"/>
  <c r="AA158" i="5" s="1"/>
  <c r="A1" i="207" l="1" a="1"/>
  <c r="A1" i="207" s="1"/>
  <c r="C4" i="207" s="1"/>
  <c r="A2" i="207" s="1"/>
  <c r="AB29" i="1"/>
  <c r="A1" i="205" l="1" a="1"/>
  <c r="A1" i="205" s="1"/>
  <c r="C4" i="205" s="1"/>
  <c r="A2" i="205" s="1"/>
  <c r="AB28" i="1"/>
  <c r="F232" i="6" l="1"/>
  <c r="H232" i="6"/>
  <c r="I232" i="6" s="1"/>
  <c r="AC223" i="5"/>
  <c r="Z155" i="5"/>
  <c r="AA155" i="5" s="1"/>
  <c r="Z156" i="5"/>
  <c r="AA156" i="5" s="1"/>
  <c r="AC276" i="5"/>
  <c r="F233" i="6"/>
  <c r="O233" i="6" s="1"/>
  <c r="H233" i="6"/>
  <c r="I233" i="6" s="1"/>
  <c r="AC277" i="5"/>
  <c r="Z152" i="5"/>
  <c r="AA152" i="5" s="1"/>
  <c r="AC139" i="5"/>
  <c r="Z153" i="5"/>
  <c r="AC157" i="5"/>
  <c r="Z154" i="5"/>
  <c r="AA154" i="5" s="1"/>
  <c r="A1" i="201" a="1"/>
  <c r="A1" i="201" s="1"/>
  <c r="C4" i="201" s="1"/>
  <c r="A2" i="201" s="1"/>
  <c r="AB27" i="1"/>
  <c r="O232" i="6" l="1"/>
  <c r="F234" i="6"/>
  <c r="O234" i="6" s="1"/>
  <c r="H234" i="6"/>
  <c r="I234" i="6" s="1"/>
  <c r="AC158" i="5" l="1"/>
  <c r="Z150" i="5"/>
  <c r="AA150" i="5" s="1"/>
  <c r="AC73" i="5"/>
  <c r="Z151" i="5"/>
  <c r="AA151" i="5" s="1"/>
  <c r="AC74" i="5" l="1"/>
  <c r="Z149" i="5"/>
  <c r="AA149" i="5" s="1"/>
  <c r="AC83" i="5" l="1"/>
  <c r="Z141" i="5"/>
  <c r="V141" i="5"/>
  <c r="F235" i="6"/>
  <c r="O235" i="6" s="1"/>
  <c r="H235" i="6"/>
  <c r="I235" i="6" s="1"/>
  <c r="AC84" i="5"/>
  <c r="Z130" i="5"/>
  <c r="AA130" i="5" s="1"/>
  <c r="AC239" i="5"/>
  <c r="Z140" i="5"/>
  <c r="AA140" i="5" s="1"/>
  <c r="AC182" i="5" l="1"/>
  <c r="Z144" i="5"/>
  <c r="AA144" i="5" s="1"/>
  <c r="Z145" i="5"/>
  <c r="AA145" i="5" s="1"/>
  <c r="Z146" i="5"/>
  <c r="AA146" i="5" s="1"/>
  <c r="AC214" i="5"/>
  <c r="Z147" i="5"/>
  <c r="AA147" i="5" s="1"/>
  <c r="Z148" i="5" l="1"/>
  <c r="AA148" i="5" s="1"/>
  <c r="F236" i="6" l="1"/>
  <c r="O236" i="6" s="1"/>
  <c r="H236" i="6"/>
  <c r="I236" i="6" s="1"/>
  <c r="A1" i="193" l="1" a="1"/>
  <c r="A1" i="193" s="1"/>
  <c r="C4" i="193" s="1"/>
  <c r="A2" i="193" s="1"/>
  <c r="AB26" i="1"/>
  <c r="Z143" i="5"/>
  <c r="AA143" i="5" s="1"/>
  <c r="Z142" i="5" l="1"/>
  <c r="V142" i="5"/>
  <c r="U142" i="5"/>
  <c r="AA142" i="5" l="1"/>
  <c r="AC278" i="5" l="1"/>
  <c r="Z138" i="5"/>
  <c r="F237" i="6" l="1"/>
  <c r="O237" i="6" s="1"/>
  <c r="H237" i="6"/>
  <c r="I237" i="6" s="1"/>
  <c r="F238" i="6"/>
  <c r="O238" i="6" s="1"/>
  <c r="H238" i="6"/>
  <c r="I238" i="6" s="1"/>
  <c r="D24" i="184" l="1"/>
  <c r="A1" i="184" l="1" a="1"/>
  <c r="A1" i="184" s="1"/>
  <c r="C4" i="184" s="1"/>
  <c r="A2" i="184" s="1"/>
  <c r="AB25" i="1"/>
  <c r="Z139" i="5" l="1"/>
  <c r="AA139" i="5" s="1"/>
  <c r="F239" i="6" l="1"/>
  <c r="O239" i="6" s="1"/>
  <c r="H239" i="6"/>
  <c r="I239" i="6" s="1"/>
  <c r="A1" i="180" l="1" a="1"/>
  <c r="A1" i="180" s="1"/>
  <c r="C4" i="180" s="1"/>
  <c r="A2" i="180" s="1"/>
  <c r="AB24" i="1"/>
  <c r="Z137" i="5" l="1"/>
  <c r="AA137" i="5" s="1"/>
  <c r="Z135" i="5" l="1"/>
  <c r="AA135" i="5" s="1"/>
  <c r="AC140" i="5"/>
  <c r="Z136" i="5"/>
  <c r="AA136" i="5" s="1"/>
  <c r="F240" i="6" l="1"/>
  <c r="O240" i="6" s="1"/>
  <c r="H240" i="6"/>
  <c r="I240" i="6" s="1"/>
  <c r="A1" i="175" l="1" a="1"/>
  <c r="A1" i="175" s="1"/>
  <c r="C4" i="175" s="1"/>
  <c r="A2" i="175" s="1"/>
  <c r="AB23" i="1"/>
  <c r="Z133" i="5" l="1"/>
  <c r="V133" i="5"/>
  <c r="Z134" i="5"/>
  <c r="AA134" i="5" s="1"/>
  <c r="AA133" i="5" l="1"/>
  <c r="AC184" i="5" l="1"/>
  <c r="Z131" i="5"/>
  <c r="AA131" i="5" s="1"/>
  <c r="Z132" i="5"/>
  <c r="AA132" i="5" s="1"/>
  <c r="AC201" i="5" l="1"/>
  <c r="Z127" i="5"/>
  <c r="AA127" i="5" s="1"/>
  <c r="Z128" i="5" l="1"/>
  <c r="AA128" i="5" s="1"/>
  <c r="AC254" i="5" l="1"/>
  <c r="Z129" i="5"/>
  <c r="AA129" i="5" s="1"/>
  <c r="AC127" i="5" l="1"/>
  <c r="Z126" i="5"/>
  <c r="AA126" i="5" s="1"/>
  <c r="Z124" i="5" l="1"/>
  <c r="AA124" i="5" s="1"/>
  <c r="Z125" i="5"/>
  <c r="AA125" i="5" s="1"/>
  <c r="D22" i="153" l="1"/>
  <c r="D24" i="153"/>
  <c r="F241" i="6" l="1"/>
  <c r="O241" i="6" s="1"/>
  <c r="H241" i="6"/>
  <c r="I241" i="6" s="1"/>
  <c r="AC75" i="5" l="1"/>
  <c r="Z123" i="5"/>
  <c r="AA123" i="5" s="1"/>
  <c r="A1" i="153" l="1" a="1"/>
  <c r="A1" i="153" s="1"/>
  <c r="C4" i="153" s="1"/>
  <c r="A2" i="153" s="1"/>
  <c r="AB22" i="1" l="1"/>
  <c r="AC224" i="5"/>
  <c r="Z110" i="5"/>
  <c r="AA110" i="5" s="1"/>
  <c r="AC225" i="5" l="1"/>
  <c r="Z119" i="5"/>
  <c r="AA119" i="5" s="1"/>
  <c r="Z120" i="5"/>
  <c r="AA120" i="5" s="1"/>
  <c r="V121" i="5"/>
  <c r="AA121" i="5" s="1"/>
  <c r="Z122" i="5"/>
  <c r="AA122" i="5" s="1"/>
  <c r="F242" i="6" l="1"/>
  <c r="O242" i="6" s="1"/>
  <c r="H242" i="6"/>
  <c r="I242" i="6" s="1"/>
  <c r="AC122" i="5" l="1"/>
  <c r="Z118" i="5"/>
  <c r="AA118" i="5" s="1"/>
  <c r="AC266" i="5" l="1"/>
  <c r="Z116" i="5"/>
  <c r="AA116" i="5" s="1"/>
  <c r="AC141" i="5" l="1"/>
  <c r="Z117" i="5"/>
  <c r="AA117" i="5" s="1"/>
  <c r="D24" i="113" l="1"/>
  <c r="D22" i="113"/>
  <c r="AC142" i="5" l="1"/>
  <c r="Z115" i="5"/>
  <c r="AA115" i="5" s="1"/>
  <c r="AC162" i="5" l="1"/>
  <c r="Z112" i="5"/>
  <c r="AA112" i="5" s="1"/>
  <c r="AC195" i="5"/>
  <c r="Z113" i="5"/>
  <c r="AA113" i="5" s="1"/>
  <c r="AC203" i="5" l="1"/>
  <c r="Z114" i="5"/>
  <c r="AA114" i="5" s="1"/>
  <c r="AC226" i="5"/>
  <c r="Z111" i="5"/>
  <c r="AA111" i="5" s="1"/>
  <c r="F243" i="6" l="1"/>
  <c r="O243" i="6" s="1"/>
  <c r="H243" i="6"/>
  <c r="I243" i="6" l="1"/>
  <c r="AC89" i="5"/>
  <c r="Z107" i="5"/>
  <c r="AA107" i="5" s="1"/>
  <c r="AC90" i="5"/>
  <c r="Z108" i="5"/>
  <c r="AA108" i="5" s="1"/>
  <c r="AC103" i="5"/>
  <c r="Z109" i="5"/>
  <c r="AA109" i="5" s="1"/>
  <c r="AC104" i="5" l="1"/>
  <c r="Z103" i="5"/>
  <c r="AA103" i="5" s="1"/>
  <c r="AC96" i="5"/>
  <c r="Z104" i="5"/>
  <c r="AA104" i="5" s="1"/>
  <c r="Z106" i="5" l="1"/>
  <c r="AA106" i="5" s="1"/>
  <c r="F244" i="6" l="1"/>
  <c r="O244" i="6" s="1"/>
  <c r="H244" i="6"/>
  <c r="I244" i="6" s="1"/>
  <c r="AC279" i="5"/>
  <c r="Z105" i="5"/>
  <c r="AA105" i="5" s="1"/>
  <c r="F245" i="6" l="1"/>
  <c r="O245" i="6" s="1"/>
  <c r="H245" i="6"/>
  <c r="I245" i="6" s="1"/>
  <c r="AC280" i="5" l="1"/>
  <c r="Z102" i="5"/>
  <c r="AA102" i="5" s="1"/>
  <c r="AC65" i="5" l="1"/>
  <c r="Z100" i="5"/>
  <c r="AA100" i="5" s="1"/>
  <c r="AC227" i="5" l="1"/>
  <c r="Z101" i="5"/>
  <c r="AA101" i="5" s="1"/>
  <c r="X101" i="5"/>
  <c r="AC98" i="5" l="1"/>
  <c r="Z99" i="5"/>
  <c r="AA99" i="5" s="1"/>
  <c r="AC105" i="5" l="1"/>
  <c r="Z98" i="5"/>
  <c r="AA98" i="5" s="1"/>
  <c r="D24" i="103" l="1"/>
  <c r="D22" i="103"/>
  <c r="D22" i="77" l="1"/>
  <c r="D24" i="77"/>
  <c r="F246" i="6" l="1"/>
  <c r="O246" i="6" s="1"/>
  <c r="H246" i="6"/>
  <c r="AC128" i="5"/>
  <c r="U343" i="5"/>
  <c r="I246" i="6" l="1"/>
  <c r="AD136" i="1"/>
  <c r="AD142" i="1"/>
  <c r="AD155" i="1"/>
  <c r="AA1" i="1"/>
  <c r="AD12" i="1" s="1"/>
  <c r="AD13" i="1" l="1"/>
  <c r="AD14" i="1"/>
  <c r="AD15" i="1"/>
  <c r="AD17" i="1"/>
  <c r="AD16" i="1"/>
  <c r="AD19" i="1"/>
  <c r="AD18" i="1"/>
  <c r="AD21" i="1"/>
  <c r="AD20" i="1"/>
  <c r="AD23" i="1"/>
  <c r="AD22" i="1"/>
  <c r="AD24" i="1"/>
  <c r="AD26" i="1"/>
  <c r="AD25" i="1"/>
  <c r="AD28" i="1"/>
  <c r="AD27" i="1"/>
  <c r="AD30" i="1"/>
  <c r="AD29" i="1"/>
  <c r="AD32" i="1"/>
  <c r="AD31" i="1"/>
  <c r="AD34" i="1"/>
  <c r="AD33" i="1"/>
  <c r="AD35" i="1"/>
  <c r="AD36" i="1"/>
  <c r="AD37" i="1"/>
  <c r="AD39" i="1"/>
  <c r="AD38" i="1"/>
  <c r="AD41" i="1"/>
  <c r="AD40" i="1"/>
  <c r="AD42" i="1"/>
  <c r="AD43" i="1"/>
  <c r="AD44" i="1"/>
  <c r="AD46" i="1"/>
  <c r="AD45" i="1"/>
  <c r="AD48" i="1"/>
  <c r="AD47" i="1"/>
  <c r="AD49" i="1"/>
  <c r="AD50" i="1"/>
  <c r="AD51" i="1"/>
  <c r="AD52" i="1"/>
  <c r="AD54" i="1"/>
  <c r="AD53" i="1"/>
  <c r="AD56" i="1"/>
  <c r="AD55" i="1"/>
  <c r="AD57" i="1"/>
  <c r="AD58" i="1"/>
  <c r="AD59" i="1"/>
  <c r="AD60" i="1"/>
  <c r="AD61" i="1"/>
  <c r="AD62" i="1"/>
  <c r="AD63" i="1"/>
  <c r="AD65" i="1"/>
  <c r="AD64" i="1"/>
  <c r="AD66" i="1"/>
  <c r="AD68" i="1"/>
  <c r="AD67" i="1"/>
  <c r="AD69" i="1"/>
  <c r="AD71" i="1"/>
  <c r="AD72" i="1"/>
  <c r="AD73" i="1"/>
  <c r="AD74" i="1"/>
  <c r="AD75" i="1"/>
  <c r="AD11" i="1"/>
  <c r="AD76" i="1"/>
  <c r="AD77" i="1"/>
  <c r="AD78" i="1"/>
  <c r="AD10" i="1"/>
  <c r="AD80" i="1"/>
  <c r="AD79" i="1"/>
  <c r="AD82" i="1"/>
  <c r="AD81" i="1"/>
  <c r="AD83" i="1"/>
  <c r="AD84" i="1"/>
  <c r="AD85" i="1"/>
  <c r="AD87" i="1"/>
  <c r="AD86" i="1"/>
  <c r="AD88" i="1"/>
  <c r="AD89" i="1"/>
  <c r="AD90" i="1"/>
  <c r="AD91" i="1"/>
  <c r="AD92" i="1"/>
  <c r="AD93" i="1"/>
  <c r="AD94" i="1"/>
  <c r="AD95" i="1"/>
  <c r="AD96" i="1"/>
  <c r="AD98" i="1"/>
  <c r="AD97" i="1"/>
  <c r="AD99" i="1"/>
  <c r="AD100" i="1"/>
  <c r="AD101" i="1"/>
  <c r="AD102" i="1"/>
  <c r="AD103" i="1"/>
  <c r="AD114" i="1"/>
  <c r="AD9" i="1"/>
  <c r="AD104" i="1"/>
  <c r="AD105" i="1"/>
  <c r="AD106" i="1"/>
  <c r="AD107" i="1"/>
  <c r="AD108" i="1"/>
  <c r="AD109" i="1"/>
  <c r="AD110" i="1"/>
  <c r="AD111" i="1"/>
  <c r="AD112" i="1"/>
  <c r="AD113" i="1"/>
  <c r="AD115" i="1"/>
  <c r="AD70" i="1"/>
  <c r="AD117" i="1"/>
  <c r="AD118" i="1"/>
  <c r="AD119" i="1"/>
  <c r="AD116" i="1"/>
  <c r="AD134" i="1"/>
  <c r="AD135" i="1"/>
  <c r="AD133" i="1"/>
  <c r="AD131" i="1"/>
  <c r="AD132" i="1"/>
  <c r="AD130" i="1"/>
  <c r="AD129" i="1"/>
  <c r="AD128" i="1"/>
  <c r="AD127" i="1"/>
  <c r="AD126" i="1"/>
  <c r="AD125" i="1"/>
  <c r="AD124" i="1"/>
  <c r="AD122" i="1"/>
  <c r="AD123" i="1"/>
  <c r="A1" i="113" a="1"/>
  <c r="A1" i="113" s="1"/>
  <c r="C4" i="113" s="1"/>
  <c r="A2" i="113" s="1"/>
  <c r="AB21" i="1"/>
  <c r="Z91" i="5" l="1"/>
  <c r="X91" i="5"/>
  <c r="Z94" i="5" l="1"/>
  <c r="AA94" i="5" s="1"/>
  <c r="Z92" i="5" l="1"/>
  <c r="AA92" i="5" s="1"/>
  <c r="Z93" i="5" l="1"/>
  <c r="AA93" i="5" s="1"/>
  <c r="Z89" i="5"/>
  <c r="AA89" i="5" s="1"/>
  <c r="Z90" i="5"/>
  <c r="AA90" i="5" s="1"/>
  <c r="F247" i="6" l="1"/>
  <c r="O247" i="6" s="1"/>
  <c r="H247" i="6"/>
  <c r="I247" i="6" s="1"/>
  <c r="Z87" i="5" l="1"/>
  <c r="AA87" i="5" s="1"/>
  <c r="D248" i="6"/>
  <c r="L248" i="6" s="1"/>
  <c r="F248" i="6"/>
  <c r="O248" i="6" s="1"/>
  <c r="A1" i="103" a="1"/>
  <c r="A1" i="103" s="1"/>
  <c r="C4" i="103" s="1"/>
  <c r="A2" i="103" s="1"/>
  <c r="AB20" i="1"/>
  <c r="H248" i="6" l="1"/>
  <c r="I248" i="6" s="1"/>
  <c r="Z88" i="5" l="1"/>
  <c r="AA88" i="5" s="1"/>
  <c r="AB19" i="1" l="1"/>
  <c r="D24" i="96" l="1"/>
  <c r="D22" i="96"/>
  <c r="A1" i="96" a="1"/>
  <c r="A1" i="96" s="1"/>
  <c r="C4" i="96" s="1"/>
  <c r="A2" i="96" s="1"/>
  <c r="F249" i="6"/>
  <c r="O249" i="6" s="1"/>
  <c r="H249" i="6"/>
  <c r="I249" i="6" s="1"/>
  <c r="F250" i="6"/>
  <c r="O250" i="6" s="1"/>
  <c r="H250" i="6"/>
  <c r="I250" i="6" s="1"/>
  <c r="D24" i="94" l="1"/>
  <c r="D22" i="94"/>
  <c r="A1" i="94" a="1"/>
  <c r="A1" i="94" s="1"/>
  <c r="C4" i="94" s="1"/>
  <c r="A2" i="94" s="1"/>
  <c r="AB18" i="1"/>
  <c r="Z95" i="5" l="1"/>
  <c r="AA95" i="5" s="1"/>
  <c r="D24" i="91" l="1"/>
  <c r="D22" i="91"/>
  <c r="A1" i="91" a="1"/>
  <c r="A1" i="91" s="1"/>
  <c r="C4" i="91" s="1"/>
  <c r="A2" i="91" s="1"/>
  <c r="AB17" i="1"/>
  <c r="Z86" i="5"/>
  <c r="AA86" i="5" s="1"/>
  <c r="Z85" i="5" l="1"/>
  <c r="AA85" i="5" s="1"/>
  <c r="H251" i="6" l="1"/>
  <c r="F252" i="6" l="1"/>
  <c r="O252" i="6" s="1"/>
  <c r="H252" i="6"/>
  <c r="I252" i="6" s="1"/>
  <c r="A1" i="77" l="1" a="1"/>
  <c r="A1" i="77" s="1"/>
  <c r="C5" i="77" s="1"/>
  <c r="A2" i="77" s="1"/>
  <c r="AB16" i="1"/>
  <c r="Z83" i="5" l="1"/>
  <c r="AA83" i="5" s="1"/>
  <c r="Z84" i="5"/>
  <c r="AA84" i="5" s="1"/>
  <c r="Z82" i="5" l="1"/>
  <c r="AA82" i="5" s="1"/>
  <c r="V82" i="5"/>
  <c r="Z81" i="5"/>
  <c r="AA81" i="5" s="1"/>
  <c r="D25" i="68" l="1"/>
  <c r="D23" i="68"/>
  <c r="Z80" i="5" l="1"/>
  <c r="AA80" i="5" s="1"/>
  <c r="D23" i="74"/>
  <c r="A1" i="74" a="1"/>
  <c r="A1" i="74" s="1"/>
  <c r="C5" i="74" s="1"/>
  <c r="A2" i="74" s="1"/>
  <c r="F253" i="6" l="1"/>
  <c r="O253" i="6" s="1"/>
  <c r="H253" i="6"/>
  <c r="I253" i="6" s="1"/>
  <c r="A1" i="68" l="1" a="1"/>
  <c r="A1" i="68" s="1"/>
  <c r="C5" i="68" s="1"/>
  <c r="A2" i="68" s="1"/>
  <c r="AB15" i="1"/>
  <c r="Z79" i="5" l="1"/>
  <c r="AA79" i="5" s="1"/>
  <c r="Z78" i="5"/>
  <c r="AA78" i="5" s="1"/>
  <c r="Z76" i="5" l="1"/>
  <c r="AA76" i="5" s="1"/>
  <c r="X76" i="5"/>
  <c r="Z77" i="5"/>
  <c r="X77" i="5"/>
  <c r="AA77" i="5" l="1"/>
  <c r="Z75" i="5"/>
  <c r="U75" i="5"/>
  <c r="AA75" i="5" l="1"/>
  <c r="Z73" i="5" l="1"/>
  <c r="AA73" i="5" s="1"/>
  <c r="Z74" i="5" l="1"/>
  <c r="AA74" i="5" s="1"/>
  <c r="Z72" i="5" l="1"/>
  <c r="AA72" i="5" s="1"/>
  <c r="Z70" i="5"/>
  <c r="AA70" i="5" s="1"/>
  <c r="Z71" i="5"/>
  <c r="AA71" i="5" s="1"/>
  <c r="Z68" i="5" l="1"/>
  <c r="AA68" i="5" s="1"/>
  <c r="Z69" i="5"/>
  <c r="AA69" i="5" s="1"/>
  <c r="X67" i="5" l="1"/>
  <c r="Z67" i="5"/>
  <c r="AA67" i="5" s="1"/>
  <c r="Z54" i="5"/>
  <c r="AA54" i="5" s="1"/>
  <c r="Z66" i="5" l="1"/>
  <c r="AA66" i="5" s="1"/>
  <c r="Z65" i="5" l="1"/>
  <c r="AA65" i="5" s="1"/>
  <c r="F254" i="6" l="1"/>
  <c r="O254" i="6" s="1"/>
  <c r="H254" i="6"/>
  <c r="I254" i="6" s="1"/>
  <c r="D25" i="40"/>
  <c r="A1" i="40" a="1"/>
  <c r="A1" i="40" s="1"/>
  <c r="C5" i="40" s="1"/>
  <c r="A2" i="40" s="1"/>
  <c r="AB14" i="1" l="1"/>
  <c r="Z64" i="5" l="1"/>
  <c r="AA64" i="5" s="1"/>
  <c r="Z62" i="5" l="1"/>
  <c r="AA62" i="5" s="1"/>
  <c r="Z63" i="5"/>
  <c r="AA63" i="5" s="1"/>
  <c r="Z61" i="5" l="1"/>
  <c r="AA61" i="5" s="1"/>
  <c r="A1" i="7" l="1" a="1"/>
  <c r="A1" i="7" s="1"/>
  <c r="C4" i="7" s="1"/>
  <c r="A2" i="7" s="1"/>
  <c r="V59" i="5" l="1"/>
  <c r="Z59" i="5"/>
  <c r="AA59" i="5" s="1"/>
  <c r="Z60" i="5"/>
  <c r="AA60" i="5" s="1"/>
  <c r="Z57" i="5" l="1"/>
  <c r="AA57" i="5" s="1"/>
  <c r="Z58" i="5"/>
  <c r="AA58" i="5" s="1"/>
  <c r="Z23" i="5" l="1"/>
  <c r="AA23" i="5" s="1"/>
  <c r="Z56" i="5"/>
  <c r="AA56" i="5" s="1"/>
  <c r="Z55" i="5"/>
  <c r="AA55" i="5" s="1"/>
  <c r="Z53" i="5" l="1"/>
  <c r="X53" i="5"/>
  <c r="U53" i="5"/>
  <c r="Z46" i="5"/>
  <c r="AA46" i="5" s="1"/>
  <c r="Z45" i="5"/>
  <c r="AA45" i="5" s="1"/>
  <c r="Z167" i="5"/>
  <c r="AA167" i="5" s="1"/>
  <c r="Z52" i="5"/>
  <c r="AA52" i="5" s="1"/>
  <c r="X52" i="5"/>
  <c r="Z51" i="5"/>
  <c r="AA51" i="5" s="1"/>
  <c r="AA53" i="5" l="1"/>
  <c r="Z49" i="5"/>
  <c r="AA49" i="5" s="1"/>
  <c r="Z50" i="5"/>
  <c r="AA50" i="5" s="1"/>
  <c r="Z48" i="5"/>
  <c r="AA48" i="5" s="1"/>
  <c r="Z47" i="5"/>
  <c r="AA47" i="5" s="1"/>
  <c r="V39" i="5"/>
  <c r="Z44" i="5"/>
  <c r="AA44" i="5" s="1"/>
  <c r="U44" i="5"/>
  <c r="Z39" i="5"/>
  <c r="Z42" i="5"/>
  <c r="AA42" i="5" s="1"/>
  <c r="Z43" i="5"/>
  <c r="AA43" i="5" s="1"/>
  <c r="U43" i="5"/>
  <c r="U39" i="5"/>
  <c r="Z41" i="5"/>
  <c r="AA41" i="5" s="1"/>
  <c r="U40" i="5"/>
  <c r="V40" i="5"/>
  <c r="Z40" i="5"/>
  <c r="Z356" i="5"/>
  <c r="AA356" i="5" s="1"/>
  <c r="AB349" i="5" s="1"/>
  <c r="Z35" i="5"/>
  <c r="AA35" i="5" s="1"/>
  <c r="Z38" i="5"/>
  <c r="AA38" i="5" s="1"/>
  <c r="AA37" i="5"/>
  <c r="Z36" i="5"/>
  <c r="AA36" i="5" s="1"/>
  <c r="T355" i="5"/>
  <c r="Z34" i="5"/>
  <c r="AA34" i="5" s="1"/>
  <c r="Z33" i="5"/>
  <c r="AA33" i="5" s="1"/>
  <c r="AA39" i="5" l="1"/>
  <c r="AA40" i="5"/>
  <c r="Z31" i="5"/>
  <c r="AA31" i="5" s="1"/>
  <c r="Z32" i="5"/>
  <c r="AA32" i="5" s="1"/>
  <c r="Z29" i="5"/>
  <c r="AA29" i="5" s="1"/>
  <c r="Z30" i="5"/>
  <c r="AA30" i="5" s="1"/>
  <c r="Z28" i="5"/>
  <c r="AA28" i="5" s="1"/>
  <c r="Z27" i="5" l="1"/>
  <c r="AA27" i="5" s="1"/>
  <c r="Z26" i="5"/>
  <c r="AA26" i="5" s="1"/>
  <c r="Z25" i="5"/>
  <c r="AA25" i="5" s="1"/>
  <c r="Z24" i="5"/>
  <c r="Z22" i="5"/>
  <c r="AA24" i="5" l="1"/>
  <c r="AA22" i="5"/>
  <c r="Z21" i="5" l="1"/>
  <c r="AA21" i="5" s="1"/>
  <c r="X20" i="5" l="1"/>
  <c r="Z20" i="5"/>
  <c r="Z19" i="5"/>
  <c r="AA19" i="5" s="1"/>
  <c r="Z18" i="5"/>
  <c r="AA18" i="5" s="1"/>
  <c r="Z17" i="5"/>
  <c r="AA17" i="5" s="1"/>
  <c r="Z16" i="5"/>
  <c r="AA16" i="5" s="1"/>
  <c r="Z15" i="5"/>
  <c r="AA15" i="5" s="1"/>
  <c r="U14" i="5"/>
  <c r="X14" i="5"/>
  <c r="Z14" i="5"/>
  <c r="AA20" i="5" l="1"/>
  <c r="AA14" i="5"/>
  <c r="U12" i="5"/>
  <c r="Z12" i="5"/>
  <c r="AA12" i="5" s="1"/>
  <c r="Z13" i="5"/>
  <c r="AA13" i="5" s="1"/>
  <c r="Z11" i="5"/>
  <c r="AA11" i="5" s="1"/>
  <c r="Z10" i="5"/>
  <c r="AA10" i="5" s="1"/>
  <c r="U8" i="5"/>
  <c r="U6" i="5"/>
  <c r="Z9" i="5"/>
  <c r="AA9" i="5" s="1"/>
  <c r="Z8" i="5"/>
  <c r="AA8" i="5" s="1"/>
  <c r="Z7" i="5"/>
  <c r="AA7" i="5" s="1"/>
  <c r="Z6" i="5"/>
  <c r="V6" i="5"/>
  <c r="Z5" i="5"/>
  <c r="AA5" i="5" s="1"/>
  <c r="Z4" i="5"/>
  <c r="AD157" i="1" s="1"/>
  <c r="Z3" i="5"/>
  <c r="AA3" i="5" s="1"/>
  <c r="C1" i="5"/>
  <c r="C1" i="1"/>
  <c r="AD140" i="1" l="1"/>
  <c r="AD151" i="1"/>
  <c r="AD137" i="1"/>
  <c r="AD145" i="1"/>
  <c r="AD139" i="1"/>
  <c r="AD156" i="1"/>
  <c r="AD144" i="1"/>
  <c r="AD141" i="1"/>
  <c r="AD153" i="1"/>
  <c r="AD149" i="1"/>
  <c r="AD154" i="1"/>
  <c r="AD147" i="1"/>
  <c r="AD146" i="1"/>
  <c r="AD138" i="1"/>
  <c r="AD150" i="1"/>
  <c r="AD148" i="1"/>
  <c r="AD152" i="1"/>
  <c r="AA4" i="5"/>
  <c r="AD143" i="1"/>
  <c r="AA6" i="5"/>
  <c r="I215" i="6"/>
  <c r="F205" i="6"/>
  <c r="O205" i="6" s="1"/>
  <c r="F222" i="6"/>
  <c r="O222" i="6" s="1"/>
  <c r="I251" i="6"/>
  <c r="F221" i="6"/>
  <c r="O221" i="6" s="1"/>
  <c r="I227" i="6"/>
  <c r="F224" i="6"/>
  <c r="O224" i="6" s="1"/>
  <c r="F216" i="6"/>
  <c r="O216" i="6" s="1"/>
  <c r="I207" i="6"/>
  <c r="F197" i="6"/>
  <c r="O197" i="6" s="1"/>
  <c r="F194" i="6" l="1"/>
  <c r="O194" i="6" s="1"/>
  <c r="I224" i="6"/>
  <c r="F227" i="6"/>
  <c r="O227" i="6" s="1"/>
  <c r="I197" i="6"/>
  <c r="I205" i="6"/>
  <c r="I222" i="6"/>
  <c r="I194" i="6"/>
  <c r="I216" i="6"/>
  <c r="F251" i="6"/>
  <c r="O251" i="6" s="1"/>
  <c r="F215" i="6"/>
  <c r="O215" i="6" s="1"/>
  <c r="I221" i="6"/>
  <c r="F207" i="6"/>
  <c r="O207" i="6" s="1"/>
  <c r="M2" i="6" l="1"/>
  <c r="O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<sst xmlns="http://schemas.openxmlformats.org/spreadsheetml/2006/main" count="14277" uniqueCount="3296">
  <si>
    <t>CURRENT PERMITS</t>
  </si>
  <si>
    <t>SPACES REMAINING</t>
  </si>
  <si>
    <t>Job No</t>
  </si>
  <si>
    <t>Customer Name</t>
  </si>
  <si>
    <t>Phone #</t>
  </si>
  <si>
    <t>Order Date</t>
  </si>
  <si>
    <t>Address</t>
  </si>
  <si>
    <t>Site Location</t>
  </si>
  <si>
    <t>Size</t>
  </si>
  <si>
    <t>Building Type</t>
  </si>
  <si>
    <t>Current Status</t>
  </si>
  <si>
    <t>OB?</t>
  </si>
  <si>
    <t>Council (planning)</t>
  </si>
  <si>
    <t>Last Update</t>
  </si>
  <si>
    <t>Days</t>
  </si>
  <si>
    <t>Engineering received date</t>
  </si>
  <si>
    <t>R&amp;C required</t>
  </si>
  <si>
    <t>App date (R&amp;C)</t>
  </si>
  <si>
    <t>R&amp;C approved date</t>
  </si>
  <si>
    <t>Date Planning issued</t>
  </si>
  <si>
    <t>Approved Date</t>
  </si>
  <si>
    <t>Waiting on:</t>
  </si>
  <si>
    <t>Quoted Estimate</t>
  </si>
  <si>
    <t>Initial Inv</t>
  </si>
  <si>
    <t>Initial Paid</t>
  </si>
  <si>
    <t>2nd Invoice</t>
  </si>
  <si>
    <t>2nd Inv Paid</t>
  </si>
  <si>
    <t>Fees paid Out</t>
  </si>
  <si>
    <t>Job Earnings</t>
  </si>
  <si>
    <t>Garage</t>
  </si>
  <si>
    <t>Building</t>
  </si>
  <si>
    <t>COGB</t>
  </si>
  <si>
    <t>Yes</t>
  </si>
  <si>
    <t>Skillion</t>
  </si>
  <si>
    <t>Planning</t>
  </si>
  <si>
    <t>Loddon</t>
  </si>
  <si>
    <t>No</t>
  </si>
  <si>
    <t>Carport</t>
  </si>
  <si>
    <t>Other</t>
  </si>
  <si>
    <t>Buloke</t>
  </si>
  <si>
    <t>Garaport</t>
  </si>
  <si>
    <t>On Hold</t>
  </si>
  <si>
    <t>Special</t>
  </si>
  <si>
    <t>NA</t>
  </si>
  <si>
    <t>TBA</t>
  </si>
  <si>
    <t>E</t>
  </si>
  <si>
    <t>Gaye Elliott</t>
  </si>
  <si>
    <t>0429 779 089</t>
  </si>
  <si>
    <t>07.10.2024</t>
  </si>
  <si>
    <t>109 Caldwell Street</t>
  </si>
  <si>
    <t>Heathcote</t>
  </si>
  <si>
    <t>7.5 X 13.5 X 3.0</t>
  </si>
  <si>
    <t>Dwelling</t>
  </si>
  <si>
    <t>SETUP</t>
  </si>
  <si>
    <t>John Barta</t>
  </si>
  <si>
    <t>0438 644 321</t>
  </si>
  <si>
    <t>28.11.24</t>
  </si>
  <si>
    <t>66 Simpsons Rd</t>
  </si>
  <si>
    <t>Eaglehawk</t>
  </si>
  <si>
    <t>8.0+2.0 x 12.0 x 2.7</t>
  </si>
  <si>
    <t>CoGB</t>
  </si>
  <si>
    <t>Jo &amp; Stephen Millard</t>
  </si>
  <si>
    <t>0412 210 404</t>
  </si>
  <si>
    <t>6.12.24</t>
  </si>
  <si>
    <t>25 Reef St</t>
  </si>
  <si>
    <t>Maldon</t>
  </si>
  <si>
    <t>6.0 x 8.0 x 2.7</t>
  </si>
  <si>
    <t>Mount Alexander</t>
  </si>
  <si>
    <t>Jeff Bronsgeest</t>
  </si>
  <si>
    <t>0400 772 236</t>
  </si>
  <si>
    <t>03.03.25</t>
  </si>
  <si>
    <t>7 Shirley Ct</t>
  </si>
  <si>
    <t>Huntly</t>
  </si>
  <si>
    <t>6.0 x 9.0 x 3.0</t>
  </si>
  <si>
    <t>Wendy &amp; Luke Igoe</t>
  </si>
  <si>
    <t>0414 847 252</t>
  </si>
  <si>
    <t>30.04.2025</t>
  </si>
  <si>
    <t>1 Ironstone Road</t>
  </si>
  <si>
    <t>Epsom</t>
  </si>
  <si>
    <t>20.0 x 30.0 x 5.4-6.37</t>
  </si>
  <si>
    <t>BPA0046</t>
  </si>
  <si>
    <t>Matt Jones XXX</t>
  </si>
  <si>
    <t>0447 190 603</t>
  </si>
  <si>
    <t>3 Alexander Street</t>
  </si>
  <si>
    <t>Montmorency</t>
  </si>
  <si>
    <t>9.0 x 12.0 x 3.4</t>
  </si>
  <si>
    <t>RE: Form4&amp;5</t>
  </si>
  <si>
    <t>BPA0062</t>
  </si>
  <si>
    <t>Lucas Russell</t>
  </si>
  <si>
    <t>0400 771 668</t>
  </si>
  <si>
    <t>24.10.2024</t>
  </si>
  <si>
    <t>31 The Point</t>
  </si>
  <si>
    <t>Mansfield</t>
  </si>
  <si>
    <t>9.0 x 14.0 x 3.3</t>
  </si>
  <si>
    <t>NO</t>
  </si>
  <si>
    <t>on hold 29.05.2024</t>
  </si>
  <si>
    <t>BPA</t>
  </si>
  <si>
    <t>Nigel McKenzie</t>
  </si>
  <si>
    <t>0438 170 581</t>
  </si>
  <si>
    <t>10.11.2023</t>
  </si>
  <si>
    <t>10 Banksia Court</t>
  </si>
  <si>
    <t>Campbells Creek</t>
  </si>
  <si>
    <t>7.5 x 14.0 x 3.2</t>
  </si>
  <si>
    <t>YES</t>
  </si>
  <si>
    <t>On hold</t>
  </si>
  <si>
    <t>Mark Thomson</t>
  </si>
  <si>
    <t>0437 023 748</t>
  </si>
  <si>
    <t>23.11.2023</t>
  </si>
  <si>
    <t>33 Sir Leo Curtis Drive</t>
  </si>
  <si>
    <t>Wandong</t>
  </si>
  <si>
    <t>12.0 x 18.0 x 4.2</t>
  </si>
  <si>
    <t>Mitchell</t>
  </si>
  <si>
    <t>Planning RFI</t>
  </si>
  <si>
    <t>BPA0077</t>
  </si>
  <si>
    <t>Michael Corcoran</t>
  </si>
  <si>
    <t>0403 652 292</t>
  </si>
  <si>
    <t>27.11.2023</t>
  </si>
  <si>
    <t>2 Francis Boulevard</t>
  </si>
  <si>
    <t>Sunbury</t>
  </si>
  <si>
    <t>8.0 x 8.0 x 3.2</t>
  </si>
  <si>
    <t>Hume</t>
  </si>
  <si>
    <t>Planning poked</t>
  </si>
  <si>
    <t>BPA0080</t>
  </si>
  <si>
    <t>Brandon Seiter</t>
  </si>
  <si>
    <t>0479 076 049</t>
  </si>
  <si>
    <t>01.12.2023</t>
  </si>
  <si>
    <t>6 Menzies Crescent</t>
  </si>
  <si>
    <t>Shepparton</t>
  </si>
  <si>
    <t>9.0 x 8.0 x 3.2</t>
  </si>
  <si>
    <t>Greater Shepparton</t>
  </si>
  <si>
    <t>Cancel! Pending refund info</t>
  </si>
  <si>
    <t>Stuart Johns</t>
  </si>
  <si>
    <t>0429 433 206</t>
  </si>
  <si>
    <t>07.12.2023</t>
  </si>
  <si>
    <t>223 Burgoyne Street</t>
  </si>
  <si>
    <t>9.0 x 14.0 x 4.0</t>
  </si>
  <si>
    <t>Garage+Verandah</t>
  </si>
  <si>
    <t>RFI owner Builder</t>
  </si>
  <si>
    <t>Bradley Buckland</t>
  </si>
  <si>
    <t>0427 124 512</t>
  </si>
  <si>
    <t>08.01.2024</t>
  </si>
  <si>
    <t>25 Gerard Road</t>
  </si>
  <si>
    <t>Sugarloaf Creek</t>
  </si>
  <si>
    <t>9x9 &amp; 9x6</t>
  </si>
  <si>
    <t>Gar/Car/Pool</t>
  </si>
  <si>
    <t>Followed up planning</t>
  </si>
  <si>
    <t>Matthew Kellett</t>
  </si>
  <si>
    <t>0413 565 809</t>
  </si>
  <si>
    <t>25 Magellan Crescent</t>
  </si>
  <si>
    <t>Kangaroo Flat</t>
  </si>
  <si>
    <t>Working on relocating</t>
  </si>
  <si>
    <t>Dalbir Singh</t>
  </si>
  <si>
    <t>30.04.2024</t>
  </si>
  <si>
    <t>52-56 Berends Drive</t>
  </si>
  <si>
    <t>Dandenong South</t>
  </si>
  <si>
    <t>Warehouse</t>
  </si>
  <si>
    <t>Dandenong</t>
  </si>
  <si>
    <t>REQUESTED UPDATE</t>
  </si>
  <si>
    <t>Mark Lawrence</t>
  </si>
  <si>
    <t>0416 734 374</t>
  </si>
  <si>
    <t>02.05.2024</t>
  </si>
  <si>
    <t>12 Heales Street</t>
  </si>
  <si>
    <t>Inglewood</t>
  </si>
  <si>
    <t>12.0 x 20.0 x 4.6</t>
  </si>
  <si>
    <t>planning rfi</t>
  </si>
  <si>
    <t>Dilly Eadde</t>
  </si>
  <si>
    <t>0432 325 866</t>
  </si>
  <si>
    <t>09.05.2024</t>
  </si>
  <si>
    <t>123 Emerald Monbulk Road</t>
  </si>
  <si>
    <t>Emerald</t>
  </si>
  <si>
    <t>10.0 x 18.0 x 5.1</t>
  </si>
  <si>
    <t>planning pending</t>
  </si>
  <si>
    <t>Tony Van de Hoef</t>
  </si>
  <si>
    <t>0417 059 037</t>
  </si>
  <si>
    <t>17.05.2024</t>
  </si>
  <si>
    <t>21 Garryowen Crescent</t>
  </si>
  <si>
    <t>Narre Warren</t>
  </si>
  <si>
    <t>7.0 x 10.0 x 2.9</t>
  </si>
  <si>
    <t>pending site plan approval</t>
  </si>
  <si>
    <t>Kevin Golden</t>
  </si>
  <si>
    <t>0419 320 551</t>
  </si>
  <si>
    <t>03.06.2024</t>
  </si>
  <si>
    <t>12 Jubilee Street</t>
  </si>
  <si>
    <t>Myrtleford</t>
  </si>
  <si>
    <t>14.0 x 32.0 x 4.8</t>
  </si>
  <si>
    <t>Commercial Shed</t>
  </si>
  <si>
    <t>planning applied</t>
  </si>
  <si>
    <t>Lee Morgan</t>
  </si>
  <si>
    <t>0492 850 442</t>
  </si>
  <si>
    <t>06.06.2024</t>
  </si>
  <si>
    <t>17 Hawkins Drive</t>
  </si>
  <si>
    <t>Kinglake</t>
  </si>
  <si>
    <t>8.0 x 9.0 x 3.0</t>
  </si>
  <si>
    <t>Murrindindi</t>
  </si>
  <si>
    <t>pending payment</t>
  </si>
  <si>
    <t>Hayden Cornish</t>
  </si>
  <si>
    <t>0423 773 377</t>
  </si>
  <si>
    <t>23 Autumn Gully Road</t>
  </si>
  <si>
    <t>Spring Gully</t>
  </si>
  <si>
    <t>7.0 x 9.0 x 3.0</t>
  </si>
  <si>
    <t>Bryce Donaghy</t>
  </si>
  <si>
    <t>0423 533 776</t>
  </si>
  <si>
    <t>22/07/2024</t>
  </si>
  <si>
    <t>5 ponsford Place, Sunbury Vic 3429</t>
  </si>
  <si>
    <t>4.0 x 6.0 x 2.4</t>
  </si>
  <si>
    <t>Raymond Demack</t>
  </si>
  <si>
    <t>0437 944 240</t>
  </si>
  <si>
    <t>26.08.2024</t>
  </si>
  <si>
    <t>8 Drake Street</t>
  </si>
  <si>
    <t>Malmsbury</t>
  </si>
  <si>
    <t>Macedon Ranges</t>
  </si>
  <si>
    <t>Stephen Lumsden</t>
  </si>
  <si>
    <t>0403 086 476</t>
  </si>
  <si>
    <t>16.10.2024</t>
  </si>
  <si>
    <t>2 Timbertop Rise</t>
  </si>
  <si>
    <t>Broadford</t>
  </si>
  <si>
    <t>9.0 x 16.0 x 4.2</t>
  </si>
  <si>
    <t>Chris Currie</t>
  </si>
  <si>
    <t>0419 551 732</t>
  </si>
  <si>
    <t>22.10.2024</t>
  </si>
  <si>
    <t>26 Clarke Street</t>
  </si>
  <si>
    <t>Crowlands</t>
  </si>
  <si>
    <t>Pyrenees</t>
  </si>
  <si>
    <t>Sam Marks</t>
  </si>
  <si>
    <t>0403 671 414</t>
  </si>
  <si>
    <t>28.10.2024</t>
  </si>
  <si>
    <t>16 Boston Boulevard</t>
  </si>
  <si>
    <t>Traralgon</t>
  </si>
  <si>
    <t>7.0 x 7.0 x 3.4</t>
  </si>
  <si>
    <t>Latrobe</t>
  </si>
  <si>
    <t>Thomas Mits</t>
  </si>
  <si>
    <t>0468 924 422</t>
  </si>
  <si>
    <t>01.11.2024</t>
  </si>
  <si>
    <t>715 Robinsons Road</t>
  </si>
  <si>
    <t>Langwarrin</t>
  </si>
  <si>
    <t>15.0 x 24.0 x 5.0</t>
  </si>
  <si>
    <t>Frankston</t>
  </si>
  <si>
    <t>Hugh Alexander</t>
  </si>
  <si>
    <t>0417 355 578</t>
  </si>
  <si>
    <t>11.11.2024</t>
  </si>
  <si>
    <t>34 Houston Street</t>
  </si>
  <si>
    <t>Quarry Hill</t>
  </si>
  <si>
    <t>9.0 x 11.0 x 3.0</t>
  </si>
  <si>
    <t>Daniel Orr</t>
  </si>
  <si>
    <t>0423 875 308</t>
  </si>
  <si>
    <t>14.11.24</t>
  </si>
  <si>
    <t xml:space="preserve">293 O'Neil Rd </t>
  </si>
  <si>
    <t>Beaconsfield</t>
  </si>
  <si>
    <t>7.0 x 14.0 x 3.6</t>
  </si>
  <si>
    <t>Cardinia</t>
  </si>
  <si>
    <t>Michael McDonald</t>
  </si>
  <si>
    <t>0429 498 742</t>
  </si>
  <si>
    <t>18.11.24</t>
  </si>
  <si>
    <t>Lot 5 Bridgewater-Maldon Rd</t>
  </si>
  <si>
    <t>Newbridge</t>
  </si>
  <si>
    <t>9.0 x 18.0 x 3.8</t>
  </si>
  <si>
    <t>John Ibrahim</t>
  </si>
  <si>
    <t>0473 066 047</t>
  </si>
  <si>
    <t>22.11.24</t>
  </si>
  <si>
    <t>140 Binks Rd</t>
  </si>
  <si>
    <t>Strathfieldsaye</t>
  </si>
  <si>
    <t xml:space="preserve">9.0 x 14.0 x 3.0 </t>
  </si>
  <si>
    <t>Deon Baker</t>
  </si>
  <si>
    <t>0432 318 969</t>
  </si>
  <si>
    <t>23-45 Fenton Street</t>
  </si>
  <si>
    <t>Long Gully</t>
  </si>
  <si>
    <t>Scott Houlahan</t>
  </si>
  <si>
    <t>0429 395 985</t>
  </si>
  <si>
    <t>10.12.24</t>
  </si>
  <si>
    <t xml:space="preserve">152 Axe Creek Rd </t>
  </si>
  <si>
    <t>Axe Creek</t>
  </si>
  <si>
    <t>9.0 x 15.2 x 4.2</t>
  </si>
  <si>
    <t>Chris Taig</t>
  </si>
  <si>
    <t>0400 721 583</t>
  </si>
  <si>
    <t>12.12.24</t>
  </si>
  <si>
    <t>15 Victoria St</t>
  </si>
  <si>
    <t>Tarnagulla</t>
  </si>
  <si>
    <t>3.7 x 7.0 x 2.9</t>
  </si>
  <si>
    <t>Kersten Vogel</t>
  </si>
  <si>
    <t>0400 695 222</t>
  </si>
  <si>
    <t>14.01.25</t>
  </si>
  <si>
    <t>12 Mayfair Drive</t>
  </si>
  <si>
    <t>Benalla</t>
  </si>
  <si>
    <t>8.0 x 16.0 x 3.6</t>
  </si>
  <si>
    <t>Michael Parsons</t>
  </si>
  <si>
    <t>0438 414 263</t>
  </si>
  <si>
    <t>15.01.25</t>
  </si>
  <si>
    <t>11 Eden St</t>
  </si>
  <si>
    <t>Footscray</t>
  </si>
  <si>
    <t xml:space="preserve">6.0 x 7.0 x 3.0 </t>
  </si>
  <si>
    <t>Heather &amp; Neville Field</t>
  </si>
  <si>
    <t>0432 777 858</t>
  </si>
  <si>
    <t>21.01.2025</t>
  </si>
  <si>
    <t>6 Holden Street</t>
  </si>
  <si>
    <t>Hamilton</t>
  </si>
  <si>
    <t>15.0 x 14.0 x 4.0</t>
  </si>
  <si>
    <t>Southern Grampians</t>
  </si>
  <si>
    <t>Kevin Hooper</t>
  </si>
  <si>
    <t>0438 268 569</t>
  </si>
  <si>
    <t>04.02.25</t>
  </si>
  <si>
    <t>7 Saunders Rd</t>
  </si>
  <si>
    <t>Cobaw</t>
  </si>
  <si>
    <t>6.0 x 16.0 x 3.6</t>
  </si>
  <si>
    <t>Macedon</t>
  </si>
  <si>
    <t>Donna &amp; Bernard Tyquin</t>
  </si>
  <si>
    <t>0408 367 269</t>
  </si>
  <si>
    <t>06.02.25</t>
  </si>
  <si>
    <t>22 Stockfeld St</t>
  </si>
  <si>
    <t>7 x 20 x 2.7</t>
  </si>
  <si>
    <t>Stjepan Marinovic</t>
  </si>
  <si>
    <t>0407 328 661</t>
  </si>
  <si>
    <t>12.02.25</t>
  </si>
  <si>
    <t>10 Egan Ct</t>
  </si>
  <si>
    <t>Darley</t>
  </si>
  <si>
    <t>Moorabool</t>
  </si>
  <si>
    <t>Justin Jackson</t>
  </si>
  <si>
    <t>0408 656 753</t>
  </si>
  <si>
    <t>15 Casey Crescent</t>
  </si>
  <si>
    <t>12.0 x 12.0 x 3.6</t>
  </si>
  <si>
    <t>Lachlan Hume</t>
  </si>
  <si>
    <t>0499 161 777</t>
  </si>
  <si>
    <t>13.02.25</t>
  </si>
  <si>
    <t>200 Mount Pleasant Rd</t>
  </si>
  <si>
    <t>Eltham</t>
  </si>
  <si>
    <t>9.0 x 11.0 x 3.3</t>
  </si>
  <si>
    <t>Nillumbik</t>
  </si>
  <si>
    <t>Janae Hendy &amp; Aaron Jensen</t>
  </si>
  <si>
    <t>0413 451 994</t>
  </si>
  <si>
    <t>24.02.25</t>
  </si>
  <si>
    <t>10 Kangaroo Run</t>
  </si>
  <si>
    <t>Wallan</t>
  </si>
  <si>
    <t>15.0 x 30.0 x 4.2</t>
  </si>
  <si>
    <t>James Stevens</t>
  </si>
  <si>
    <t>0438 458 758</t>
  </si>
  <si>
    <t>97 Flora Avenue</t>
  </si>
  <si>
    <t>Mildura</t>
  </si>
  <si>
    <t>18.0 x 20.0</t>
  </si>
  <si>
    <t>Mick Clancy</t>
  </si>
  <si>
    <t>0417 596 376</t>
  </si>
  <si>
    <t>28.02.25</t>
  </si>
  <si>
    <t>668 Goulburn Valley Hwy</t>
  </si>
  <si>
    <t>Thornton</t>
  </si>
  <si>
    <t>10.0 x 22.0 x 4.0</t>
  </si>
  <si>
    <t>Dirk Blitz</t>
  </si>
  <si>
    <t>0410 343 554</t>
  </si>
  <si>
    <t>24.03.2025</t>
  </si>
  <si>
    <t>12 Belcher Way</t>
  </si>
  <si>
    <t>Gisborne</t>
  </si>
  <si>
    <t>4.0 x 7.0 x 3.2</t>
  </si>
  <si>
    <t>Reuben Worseldine</t>
  </si>
  <si>
    <t>0437 435 688</t>
  </si>
  <si>
    <t>27.03.2025</t>
  </si>
  <si>
    <t>557 Munro-Stockdale Rd</t>
  </si>
  <si>
    <t>Munro</t>
  </si>
  <si>
    <t>12.0 x 15.0 x 5.0</t>
  </si>
  <si>
    <t>Wellington</t>
  </si>
  <si>
    <t>Josef &amp; Catherine Kozar</t>
  </si>
  <si>
    <t>0407 998 566</t>
  </si>
  <si>
    <t>03.04.2025</t>
  </si>
  <si>
    <t>843 Bendigo-Maryborough Rd</t>
  </si>
  <si>
    <t>Lockwood</t>
  </si>
  <si>
    <t>9.0 x 10.0 x 3.7</t>
  </si>
  <si>
    <t>Troy Anderson</t>
  </si>
  <si>
    <t>0430 040 993</t>
  </si>
  <si>
    <t>08.04.2025</t>
  </si>
  <si>
    <t>54 The Elms Boulevard</t>
  </si>
  <si>
    <t>Kilmore</t>
  </si>
  <si>
    <t>9.0 x 18.0 x 3.5</t>
  </si>
  <si>
    <t>Donald YMCA Kinder</t>
  </si>
  <si>
    <t>5497 1738</t>
  </si>
  <si>
    <t>04.04.2025</t>
  </si>
  <si>
    <t>10 Houstan Street</t>
  </si>
  <si>
    <t>Donald VIC 3480</t>
  </si>
  <si>
    <t>3.0 x 12.5 x 2.4-2.667</t>
  </si>
  <si>
    <t>Skillion Garage</t>
  </si>
  <si>
    <t>Leanna Valentin</t>
  </si>
  <si>
    <t>0447 744 037</t>
  </si>
  <si>
    <t>09.04.2025</t>
  </si>
  <si>
    <t>11A Maskell Lane</t>
  </si>
  <si>
    <t>Tatura</t>
  </si>
  <si>
    <t>9.0 x 20.0 x 3.6</t>
  </si>
  <si>
    <t>Michael Sevdalis</t>
  </si>
  <si>
    <t>0412 286 227</t>
  </si>
  <si>
    <t>15.04.25</t>
  </si>
  <si>
    <t>13 Marngo Court</t>
  </si>
  <si>
    <t>Kurunjang</t>
  </si>
  <si>
    <t>9.0 x 10.0 x 4.0</t>
  </si>
  <si>
    <t>Melton</t>
  </si>
  <si>
    <t>Brad O'Riley</t>
  </si>
  <si>
    <t>0409 532 286</t>
  </si>
  <si>
    <t>15.04.2025</t>
  </si>
  <si>
    <t>Lot 1 35 Upper Goulburn Rd</t>
  </si>
  <si>
    <t>Tallarook</t>
  </si>
  <si>
    <t>10.0 x 20.0 x 4.2</t>
  </si>
  <si>
    <t>Peter &amp; Lisa Owen</t>
  </si>
  <si>
    <t>0408 802 279</t>
  </si>
  <si>
    <t>Lot 70 Buckleys Lane</t>
  </si>
  <si>
    <t>7.5 x 10.5 x 3.0</t>
  </si>
  <si>
    <t>Anthony Fleming</t>
  </si>
  <si>
    <t>0418 552 019</t>
  </si>
  <si>
    <t>29.04.2025</t>
  </si>
  <si>
    <t>3 Raglan Ct</t>
  </si>
  <si>
    <t xml:space="preserve">Kurunjang </t>
  </si>
  <si>
    <t>two structures</t>
  </si>
  <si>
    <t>Garage + Patio</t>
  </si>
  <si>
    <t>Fraser Smart</t>
  </si>
  <si>
    <t>0447 564 855</t>
  </si>
  <si>
    <t>15 Courtney St</t>
  </si>
  <si>
    <t>Yarrawonga</t>
  </si>
  <si>
    <t>9.0 x 8.0 x 4.0</t>
  </si>
  <si>
    <t>Moira</t>
  </si>
  <si>
    <t>Julie Holzer</t>
  </si>
  <si>
    <t>0434 023 648</t>
  </si>
  <si>
    <t>129 Weigards Rd</t>
  </si>
  <si>
    <t>9.0 x 18.0 x 4.2</t>
  </si>
  <si>
    <t xml:space="preserve">CoGB </t>
  </si>
  <si>
    <t>Greg Hunt</t>
  </si>
  <si>
    <t>0419 363 726</t>
  </si>
  <si>
    <t>08.05.2025</t>
  </si>
  <si>
    <t>858 Yarragon South Rd</t>
  </si>
  <si>
    <t>Yarragon South</t>
  </si>
  <si>
    <t>7.2 x 12.0 x 4.2</t>
  </si>
  <si>
    <t>Baw Baw</t>
  </si>
  <si>
    <t>Peter Ripinskis</t>
  </si>
  <si>
    <t>0411 750 150</t>
  </si>
  <si>
    <t>09.05.2025</t>
  </si>
  <si>
    <t>2-18 Main St</t>
  </si>
  <si>
    <t>Great Western</t>
  </si>
  <si>
    <t>15 x 21 x 4.8</t>
  </si>
  <si>
    <t>Northern Grampians</t>
  </si>
  <si>
    <t>Jack Bade - PN Services</t>
  </si>
  <si>
    <t>0437 295 008</t>
  </si>
  <si>
    <t>13.05.2025</t>
  </si>
  <si>
    <t>88 Kallista Emerald Rd</t>
  </si>
  <si>
    <t>Kallista</t>
  </si>
  <si>
    <t>10.0 x 18.0 x 4.5</t>
  </si>
  <si>
    <t>Yarra Ranges</t>
  </si>
  <si>
    <t>Tim Hudaverdi</t>
  </si>
  <si>
    <t>0400 005 510</t>
  </si>
  <si>
    <t>29.05.2025</t>
  </si>
  <si>
    <t>133 La-Cote Rd</t>
  </si>
  <si>
    <t>Greendale</t>
  </si>
  <si>
    <t>7.0 x 14.0 x 2.7</t>
  </si>
  <si>
    <t>Mark Grimm</t>
  </si>
  <si>
    <t>0400 023 601</t>
  </si>
  <si>
    <t>9 Clancy Lane</t>
  </si>
  <si>
    <t>7.0 x 12.0 x 4.2</t>
  </si>
  <si>
    <t>Alpine</t>
  </si>
  <si>
    <t>David Crook</t>
  </si>
  <si>
    <t>0415 2115 099</t>
  </si>
  <si>
    <t>30.05.2025</t>
  </si>
  <si>
    <t>2-4 Down St</t>
  </si>
  <si>
    <t>Longwood</t>
  </si>
  <si>
    <t>16.0 x 20.0 x 4.5</t>
  </si>
  <si>
    <t>Strathbogie</t>
  </si>
  <si>
    <t>Geoff Bassler</t>
  </si>
  <si>
    <t>0438 522 776</t>
  </si>
  <si>
    <t>03.06.2025</t>
  </si>
  <si>
    <t>3 Campaspe Mews</t>
  </si>
  <si>
    <t>Strathdale</t>
  </si>
  <si>
    <t>6.0 x 7.0 x 3.4</t>
  </si>
  <si>
    <t>Thomas Chalmers</t>
  </si>
  <si>
    <t xml:space="preserve">0403 277 177 </t>
  </si>
  <si>
    <t>11.06.2025</t>
  </si>
  <si>
    <t>42 Island Drive</t>
  </si>
  <si>
    <t>Tyabb</t>
  </si>
  <si>
    <t>8.0 x 15.0 x 3.0</t>
  </si>
  <si>
    <t>Mornington</t>
  </si>
  <si>
    <t>BPA0315</t>
  </si>
  <si>
    <t>Ryan Turton</t>
  </si>
  <si>
    <t>0423 487 651</t>
  </si>
  <si>
    <t>15 Raymond Rd</t>
  </si>
  <si>
    <t>Seaford</t>
  </si>
  <si>
    <t>Charlie Owins</t>
  </si>
  <si>
    <t>0409 623 216</t>
  </si>
  <si>
    <t>7 Holly st</t>
  </si>
  <si>
    <t>Golden Square</t>
  </si>
  <si>
    <t>6.0 x 9.0 x 2.7</t>
  </si>
  <si>
    <t>Shaun Anderson</t>
  </si>
  <si>
    <t>0437 869 233</t>
  </si>
  <si>
    <t>13.06.2025</t>
  </si>
  <si>
    <t>24 Benton Rd</t>
  </si>
  <si>
    <t>Healesville</t>
  </si>
  <si>
    <t>9.0 x 10.5 x 3.2</t>
  </si>
  <si>
    <t>Brandon Reid</t>
  </si>
  <si>
    <t>0478 667 032</t>
  </si>
  <si>
    <t>17.06.2025</t>
  </si>
  <si>
    <t>14 Norwood Ct</t>
  </si>
  <si>
    <t>Hoppers Crossing</t>
  </si>
  <si>
    <t>8.0 x 17.8 x 3.0</t>
  </si>
  <si>
    <t>Wyndham</t>
  </si>
  <si>
    <t>Neil McCallum</t>
  </si>
  <si>
    <t>0419 525 488</t>
  </si>
  <si>
    <t>24.06.2025</t>
  </si>
  <si>
    <t>34 Wingrave Rd</t>
  </si>
  <si>
    <t>Lockwood South</t>
  </si>
  <si>
    <t>12.0 x 16.0 x 4.2</t>
  </si>
  <si>
    <t>Jayden Versteegen</t>
  </si>
  <si>
    <t>0459 993 356</t>
  </si>
  <si>
    <t>20 Broadbent Way</t>
  </si>
  <si>
    <t>Pakenham</t>
  </si>
  <si>
    <t>6.5 x 10.0 x 3.2</t>
  </si>
  <si>
    <t>Brenton Brooker</t>
  </si>
  <si>
    <t>0408 372 393</t>
  </si>
  <si>
    <t>11.07.2025</t>
  </si>
  <si>
    <t>70 Melaleuca Ave</t>
  </si>
  <si>
    <t>Junortoun</t>
  </si>
  <si>
    <t>7.0 x 12.0 x 3.0</t>
  </si>
  <si>
    <t>Colin Hogan</t>
  </si>
  <si>
    <t>0427 160 601</t>
  </si>
  <si>
    <t>15.07.2025</t>
  </si>
  <si>
    <t>29 Hannans Rd</t>
  </si>
  <si>
    <t>Mandurang South</t>
  </si>
  <si>
    <t>9.5 x 10.0 x 3.5</t>
  </si>
  <si>
    <t>David Maher</t>
  </si>
  <si>
    <t>0467 940 828</t>
  </si>
  <si>
    <t>16.07.2025</t>
  </si>
  <si>
    <t>21 Evans Rd</t>
  </si>
  <si>
    <t>Myers Flat</t>
  </si>
  <si>
    <t>8.0 x 11.6 x 2.55</t>
  </si>
  <si>
    <t>Shani Hickman</t>
  </si>
  <si>
    <t>0488 474 683</t>
  </si>
  <si>
    <t>17.07.2025</t>
  </si>
  <si>
    <t xml:space="preserve">80 Greene St </t>
  </si>
  <si>
    <t>7.0 x 10.6 x 3.6</t>
  </si>
  <si>
    <t>Ghil Hernandez</t>
  </si>
  <si>
    <t>0413 098 925</t>
  </si>
  <si>
    <t>21.07.2025</t>
  </si>
  <si>
    <t>35 Elaine-Egerton Rd</t>
  </si>
  <si>
    <t>Elaine</t>
  </si>
  <si>
    <t xml:space="preserve">10.5 x 12.0 x 2.7 </t>
  </si>
  <si>
    <t>Barn</t>
  </si>
  <si>
    <t>Bobi Markoski</t>
  </si>
  <si>
    <t>0403 548 999</t>
  </si>
  <si>
    <t>22.07.2025</t>
  </si>
  <si>
    <t>65 Wombat Ave</t>
  </si>
  <si>
    <t>Heathcote Junction</t>
  </si>
  <si>
    <t>9.0 x 11.0 x 4.2</t>
  </si>
  <si>
    <t>David Ramlu</t>
  </si>
  <si>
    <t>0414 614 548</t>
  </si>
  <si>
    <t>25.07.2025</t>
  </si>
  <si>
    <t>8 Tarawera Rd</t>
  </si>
  <si>
    <t>Doreen</t>
  </si>
  <si>
    <t>7.0 x 7.0 x 2.7</t>
  </si>
  <si>
    <t>Geoff Elder</t>
  </si>
  <si>
    <t>0401 254 872</t>
  </si>
  <si>
    <t>302 High St</t>
  </si>
  <si>
    <t>6.0 x 6.0 x 2.9   6.0 x 9.0 x 2.7</t>
  </si>
  <si>
    <t>Garages</t>
  </si>
  <si>
    <t>Jason Jenkins</t>
  </si>
  <si>
    <t>0439 492 595</t>
  </si>
  <si>
    <t>15 Ballagh St</t>
  </si>
  <si>
    <t>Elliminyt</t>
  </si>
  <si>
    <t>7.0 x 12.0 x 4.0</t>
  </si>
  <si>
    <t>Colac</t>
  </si>
  <si>
    <t>Craig Spratling</t>
  </si>
  <si>
    <t>0477 702 939</t>
  </si>
  <si>
    <t>28.07.2025</t>
  </si>
  <si>
    <t>160 Clintons Rd</t>
  </si>
  <si>
    <t>Smiths Gully</t>
  </si>
  <si>
    <t>9.0 x 9.0  3.0</t>
  </si>
  <si>
    <t>Travis Murphy</t>
  </si>
  <si>
    <t>0400 187 914</t>
  </si>
  <si>
    <t>43 Godfrey St</t>
  </si>
  <si>
    <t>Wedderburn</t>
  </si>
  <si>
    <t>Ray Flynn</t>
  </si>
  <si>
    <t>Kyle at ACC</t>
  </si>
  <si>
    <t>10 Trevally Way</t>
  </si>
  <si>
    <t>9.5 x 10.5 x 3.6</t>
  </si>
  <si>
    <t>Thomas Young</t>
  </si>
  <si>
    <t>0456 229 616</t>
  </si>
  <si>
    <t>29.07.2025</t>
  </si>
  <si>
    <t>10 Laswon Crescent</t>
  </si>
  <si>
    <t>Warragul</t>
  </si>
  <si>
    <t>Leonard Draper</t>
  </si>
  <si>
    <t>0450 919 640</t>
  </si>
  <si>
    <t>30.07.2025</t>
  </si>
  <si>
    <t>632-650 Lake Rd</t>
  </si>
  <si>
    <t>Connewarre</t>
  </si>
  <si>
    <t>9.0 x 18.0 x 5.0</t>
  </si>
  <si>
    <t>Geelong</t>
  </si>
  <si>
    <t>James Bates</t>
  </si>
  <si>
    <t>0425 925 382</t>
  </si>
  <si>
    <t>01.08.2025</t>
  </si>
  <si>
    <t>30 Birdwood Ave</t>
  </si>
  <si>
    <t>Upwey</t>
  </si>
  <si>
    <t>7.0 x 7.0 x 2.686</t>
  </si>
  <si>
    <t>Ashley Bell</t>
  </si>
  <si>
    <t>0412 820 447</t>
  </si>
  <si>
    <t>08.08.2025</t>
  </si>
  <si>
    <t>5 Eastern Lane</t>
  </si>
  <si>
    <t>Maiden Gully</t>
  </si>
  <si>
    <t>6.0 x 7.5 x 3.0</t>
  </si>
  <si>
    <t>Marc Magee</t>
  </si>
  <si>
    <t>24 Agora Place</t>
  </si>
  <si>
    <t>6.5 x 12.0 x 4.2</t>
  </si>
  <si>
    <t>Melissa Callahan</t>
  </si>
  <si>
    <t>0497 290 112</t>
  </si>
  <si>
    <t>37 Campbell St</t>
  </si>
  <si>
    <t>Colac Otway</t>
  </si>
  <si>
    <t>Tim Bertus</t>
  </si>
  <si>
    <t>0403 609 320</t>
  </si>
  <si>
    <t>13.08.2025</t>
  </si>
  <si>
    <t>8 Newry St</t>
  </si>
  <si>
    <t>Watchem</t>
  </si>
  <si>
    <t>7.5 x 19.0 x 4.0</t>
  </si>
  <si>
    <t>Mon Buso</t>
  </si>
  <si>
    <t>0419 652 827</t>
  </si>
  <si>
    <t>11.08.2025</t>
  </si>
  <si>
    <t>261 Bowles Rd</t>
  </si>
  <si>
    <t>Longlea</t>
  </si>
  <si>
    <t>7.0 x 17.5 x 3.0</t>
  </si>
  <si>
    <t>Kathryn Dole &amp; Guido</t>
  </si>
  <si>
    <t>0432 469 162</t>
  </si>
  <si>
    <t>2 Argyll Drive</t>
  </si>
  <si>
    <t>3.5 x 7.5 x 2.4</t>
  </si>
  <si>
    <t>Delwyn Prakash</t>
  </si>
  <si>
    <t>0439 570 163</t>
  </si>
  <si>
    <t>15.08.2025</t>
  </si>
  <si>
    <t>9 Dunoon St</t>
  </si>
  <si>
    <t xml:space="preserve">Mooroolbark </t>
  </si>
  <si>
    <t xml:space="preserve">8.0 x 15.0 x 3.2 </t>
  </si>
  <si>
    <t>Ron Thomas</t>
  </si>
  <si>
    <t>0429 989 120</t>
  </si>
  <si>
    <t>10 Smith St</t>
  </si>
  <si>
    <t>Horsham</t>
  </si>
  <si>
    <t>Leigh Mitchell</t>
  </si>
  <si>
    <t>0419 382 144</t>
  </si>
  <si>
    <t>25 McMillan St</t>
  </si>
  <si>
    <t>9.0 x 7.5 x 3.0</t>
  </si>
  <si>
    <t>Reg Roordink &amp; Debra Danton</t>
  </si>
  <si>
    <t>0418 505 994</t>
  </si>
  <si>
    <t>21 Tait Drive</t>
  </si>
  <si>
    <t>Creswick</t>
  </si>
  <si>
    <t>4.2 x 9.0 x 3.0</t>
  </si>
  <si>
    <t>Hepburn</t>
  </si>
  <si>
    <t>BPA0351</t>
  </si>
  <si>
    <t>David Turner</t>
  </si>
  <si>
    <t>0429 022 187</t>
  </si>
  <si>
    <t>264 Wilsons Rd</t>
  </si>
  <si>
    <t xml:space="preserve">Haddon </t>
  </si>
  <si>
    <t>4.0 x 6.0 x 3.0</t>
  </si>
  <si>
    <t>Golden Plains</t>
  </si>
  <si>
    <t>Steve &amp; Karen Lange</t>
  </si>
  <si>
    <t>0418 533 811</t>
  </si>
  <si>
    <t>19.08.2025</t>
  </si>
  <si>
    <t>192 Morriss Rd</t>
  </si>
  <si>
    <t>Warrnambool</t>
  </si>
  <si>
    <t>7.5 x 10.0 x 3.5</t>
  </si>
  <si>
    <t>Lachlan Erwin &amp; Lochie Park</t>
  </si>
  <si>
    <t>0438 098 989</t>
  </si>
  <si>
    <t>20.08.2025</t>
  </si>
  <si>
    <t>315 Livingston Rd</t>
  </si>
  <si>
    <t>Boolarra South</t>
  </si>
  <si>
    <t>10.0 x 20.0 x 4.0</t>
  </si>
  <si>
    <t>Gary Bennett</t>
  </si>
  <si>
    <t>0419 572 161</t>
  </si>
  <si>
    <t>40 Shady Gully Drive</t>
  </si>
  <si>
    <t>Mallacoota</t>
  </si>
  <si>
    <t>9.0 x 7.0 x 3.4</t>
  </si>
  <si>
    <t>East Gippsland</t>
  </si>
  <si>
    <t>Peter Twight</t>
  </si>
  <si>
    <t>0417 316 333</t>
  </si>
  <si>
    <t>Stony Crossing Rd</t>
  </si>
  <si>
    <t>Redbank</t>
  </si>
  <si>
    <t>6.0+3.0 x 9.0 x 2.8</t>
  </si>
  <si>
    <t>Peter &amp; Jenny Rallis</t>
  </si>
  <si>
    <t>0417 747 544</t>
  </si>
  <si>
    <t>21.08.2025</t>
  </si>
  <si>
    <t>14-16 Hillsmeade Drive</t>
  </si>
  <si>
    <t>12.0 x 20.0 x 3.8</t>
  </si>
  <si>
    <t>Casey</t>
  </si>
  <si>
    <t>Dennis Padich &amp; Jennifer Pridgeon</t>
  </si>
  <si>
    <t>0411 632 572</t>
  </si>
  <si>
    <t>26.08.2025</t>
  </si>
  <si>
    <t>60 Bradman Blvd</t>
  </si>
  <si>
    <t>5.8 x 8.0 x 3.0</t>
  </si>
  <si>
    <t>Krystal Oats</t>
  </si>
  <si>
    <t>0459 799 907</t>
  </si>
  <si>
    <t>27 Silky Oak</t>
  </si>
  <si>
    <t>Wodonga</t>
  </si>
  <si>
    <t>4.0 x 11.0 x 3.6</t>
  </si>
  <si>
    <t>Jordan Knight</t>
  </si>
  <si>
    <t>0487 297 005</t>
  </si>
  <si>
    <t>12.03.2025</t>
  </si>
  <si>
    <t>72 Oscar Drive</t>
  </si>
  <si>
    <t>Marong</t>
  </si>
  <si>
    <t>5.0 x 12.0 x 2.7</t>
  </si>
  <si>
    <t>George Clark</t>
  </si>
  <si>
    <t>0438 045 883</t>
  </si>
  <si>
    <t>25.03.2025</t>
  </si>
  <si>
    <t>163 Racecourse Rd</t>
  </si>
  <si>
    <t>Lancefield</t>
  </si>
  <si>
    <t>Trevor Lamb</t>
  </si>
  <si>
    <t>0439 301 719</t>
  </si>
  <si>
    <t>2 Julian Ct</t>
  </si>
  <si>
    <t xml:space="preserve">Epsom </t>
  </si>
  <si>
    <t>3.5 x 6.5 x 2.4</t>
  </si>
  <si>
    <t>Kathleen &amp; Terry Barry</t>
  </si>
  <si>
    <t>0428 772 333</t>
  </si>
  <si>
    <t>30.06.2025</t>
  </si>
  <si>
    <t>344 Mathiskes Tank Rd</t>
  </si>
  <si>
    <t>Culgoa</t>
  </si>
  <si>
    <t>8.0 x 10.5 x 3.4</t>
  </si>
  <si>
    <t>Marc Sibun</t>
  </si>
  <si>
    <t>0448 818 080</t>
  </si>
  <si>
    <t>03.07.2025</t>
  </si>
  <si>
    <t>3 Acacia Ct</t>
  </si>
  <si>
    <t>Bridgewater on Loddon</t>
  </si>
  <si>
    <t>12.0 x 12.0 x 3.0</t>
  </si>
  <si>
    <t>Ivan Waight</t>
  </si>
  <si>
    <t>0409 960 988</t>
  </si>
  <si>
    <t>18.07.2025</t>
  </si>
  <si>
    <t>20 Triandra Ave</t>
  </si>
  <si>
    <t>Romsey</t>
  </si>
  <si>
    <t>7.0 x 9.0 x 3.6</t>
  </si>
  <si>
    <t>Type of permit req</t>
  </si>
  <si>
    <t>BP App date</t>
  </si>
  <si>
    <t>Planning Applied date</t>
  </si>
  <si>
    <t xml:space="preserve">Engineering Required? </t>
  </si>
  <si>
    <t>Engineering applied date</t>
  </si>
  <si>
    <t>Date Building Permit Issued</t>
  </si>
  <si>
    <t>Notes</t>
  </si>
  <si>
    <t>Initial Invoice Sent?</t>
  </si>
  <si>
    <t>Initial Invoice Paid?</t>
  </si>
  <si>
    <t>Invoice Sent</t>
  </si>
  <si>
    <t>Invoice Paid</t>
  </si>
  <si>
    <t>Fees paid out</t>
  </si>
  <si>
    <t>Diana Hookey</t>
  </si>
  <si>
    <t>0414 583 746</t>
  </si>
  <si>
    <t>North Harcourt</t>
  </si>
  <si>
    <t>6.0 x 6.0 x 2.8</t>
  </si>
  <si>
    <t>29.07.2022</t>
  </si>
  <si>
    <t>Keith Maybanks</t>
  </si>
  <si>
    <t>0412 780 639</t>
  </si>
  <si>
    <t>Shelbourne</t>
  </si>
  <si>
    <t>4.8 x 10.5 x 3.2</t>
  </si>
  <si>
    <t>06.08.2022</t>
  </si>
  <si>
    <t>Scott Pigdon</t>
  </si>
  <si>
    <t>0408 995 738</t>
  </si>
  <si>
    <t>3.6 x 5.0 x 2.7</t>
  </si>
  <si>
    <t>02.09.2022</t>
  </si>
  <si>
    <t>Alex Karam</t>
  </si>
  <si>
    <t>0429 356 182</t>
  </si>
  <si>
    <t>2.8 x 7.0 x 2.45 - 2.7</t>
  </si>
  <si>
    <t>Chris Odewahn</t>
  </si>
  <si>
    <t>0409 786 528</t>
  </si>
  <si>
    <t>North Bendigo</t>
  </si>
  <si>
    <t xml:space="preserve">6.0 x 8.0 x 3.0 </t>
  </si>
  <si>
    <t>20.09.2022</t>
  </si>
  <si>
    <t>Lauro Lima</t>
  </si>
  <si>
    <t>0424 366 571</t>
  </si>
  <si>
    <t>Mandurang</t>
  </si>
  <si>
    <t>4.5 x 13.5 x 3.0</t>
  </si>
  <si>
    <t xml:space="preserve">Not required </t>
  </si>
  <si>
    <t xml:space="preserve">Glen O'Halloran </t>
  </si>
  <si>
    <t>0417 505 190</t>
  </si>
  <si>
    <t>4.0 x 3.0 + 1.0 x 2.5</t>
  </si>
  <si>
    <t>28.09.2022</t>
  </si>
  <si>
    <t xml:space="preserve">Mick McCashney </t>
  </si>
  <si>
    <t>0408 438 103</t>
  </si>
  <si>
    <t>8.3 x 12.0 x 3.2</t>
  </si>
  <si>
    <t>03.10.2022</t>
  </si>
  <si>
    <t>Brendon Hillermann</t>
  </si>
  <si>
    <t>0407 866 637</t>
  </si>
  <si>
    <t>Yapeen</t>
  </si>
  <si>
    <t>4.0 x 2.0 + 6.0 x 3.350</t>
  </si>
  <si>
    <t>Skillion Garaport</t>
  </si>
  <si>
    <t>19.10.2022</t>
  </si>
  <si>
    <t>BAL PRODUCTS</t>
  </si>
  <si>
    <t>Donna Pezzelato &amp; Mark Stringer</t>
  </si>
  <si>
    <t>0421 540 229</t>
  </si>
  <si>
    <t>6.0 x 6.0 x 2.7</t>
  </si>
  <si>
    <t>31.10.2022</t>
  </si>
  <si>
    <t xml:space="preserve">Stuart Johnson </t>
  </si>
  <si>
    <t>0448 176 814</t>
  </si>
  <si>
    <t>8.0 x 6.0 x 2.7</t>
  </si>
  <si>
    <t xml:space="preserve">Garage </t>
  </si>
  <si>
    <t>Cheryl Colson</t>
  </si>
  <si>
    <t>0407 308 049</t>
  </si>
  <si>
    <t>Taradale</t>
  </si>
  <si>
    <t>6.0 x 16.0 x 3.2</t>
  </si>
  <si>
    <t>Planning &amp; Building</t>
  </si>
  <si>
    <t>16.11.2022</t>
  </si>
  <si>
    <t>Jeff &amp; Donna Parker</t>
  </si>
  <si>
    <t>0458 886 201</t>
  </si>
  <si>
    <t>8.2 x 5.15 x 3.5</t>
  </si>
  <si>
    <t>21.11.2022</t>
  </si>
  <si>
    <t>Darrell and Narelle</t>
  </si>
  <si>
    <t>0478 553 498</t>
  </si>
  <si>
    <t>Best Sheds</t>
  </si>
  <si>
    <t>4.2 x 7.0 x 2.7</t>
  </si>
  <si>
    <t>25.11.2022</t>
  </si>
  <si>
    <t>John Mulej</t>
  </si>
  <si>
    <t>0422 913 627</t>
  </si>
  <si>
    <t>8.0 x 14.0 x 2.8</t>
  </si>
  <si>
    <t>Not necessary 21/10</t>
  </si>
  <si>
    <t>22.12.2022</t>
  </si>
  <si>
    <t xml:space="preserve">Graham Sherar </t>
  </si>
  <si>
    <t>0417 520 756</t>
  </si>
  <si>
    <t>3.0 x 6.0 x 2.4</t>
  </si>
  <si>
    <t>Darren Arthur</t>
  </si>
  <si>
    <t>0438 335 455</t>
  </si>
  <si>
    <t>Elmore</t>
  </si>
  <si>
    <t>6.5 x 6.0 x 2.6</t>
  </si>
  <si>
    <t>20.01.2023</t>
  </si>
  <si>
    <t xml:space="preserve">Lex Silva </t>
  </si>
  <si>
    <t>0427 493 753</t>
  </si>
  <si>
    <t>3.65 x 6.65 x 2.91-3.2</t>
  </si>
  <si>
    <t>26.01.2023</t>
  </si>
  <si>
    <t>Rod Goodwin</t>
  </si>
  <si>
    <t>0418 350 477</t>
  </si>
  <si>
    <t>15.0 x 12.0 x 5.1</t>
  </si>
  <si>
    <t>03.02.2023</t>
  </si>
  <si>
    <t>Peter Doherty</t>
  </si>
  <si>
    <t>0417 149 856</t>
  </si>
  <si>
    <t>Twin Skillion</t>
  </si>
  <si>
    <t>Not necessary 3/11</t>
  </si>
  <si>
    <t>06.02.2023</t>
  </si>
  <si>
    <t>Greg Barkla</t>
  </si>
  <si>
    <t>0429 815 177</t>
  </si>
  <si>
    <t>7B Reckleben Street</t>
  </si>
  <si>
    <t>Castlemaine</t>
  </si>
  <si>
    <t>08.02.2023</t>
  </si>
  <si>
    <t>Pending copy of signed contract</t>
  </si>
  <si>
    <t>19/06/2023</t>
  </si>
  <si>
    <t>Harold Malone</t>
  </si>
  <si>
    <t>0428 352 240</t>
  </si>
  <si>
    <t>4.8 x 14.0 x 3.7</t>
  </si>
  <si>
    <t>Russell Day</t>
  </si>
  <si>
    <t>0447 567 050</t>
  </si>
  <si>
    <t>Echuca</t>
  </si>
  <si>
    <t>5.0 x 7.0 x 2.7</t>
  </si>
  <si>
    <t>09.02.2023</t>
  </si>
  <si>
    <t>Drew Sturni</t>
  </si>
  <si>
    <t>0402 496 445</t>
  </si>
  <si>
    <t>4.0 x 6.0 + 3.0 x 2.4</t>
  </si>
  <si>
    <t>22.02.2023</t>
  </si>
  <si>
    <t>Stephen Mason</t>
  </si>
  <si>
    <t>0417 975 637</t>
  </si>
  <si>
    <t>Ascot</t>
  </si>
  <si>
    <t>3.4 x 5.5 x 2.4</t>
  </si>
  <si>
    <t>23.02.2023</t>
  </si>
  <si>
    <t>Shane Turner</t>
  </si>
  <si>
    <t>0412 590 670</t>
  </si>
  <si>
    <t>7.0 x 12.0 x 2.9-3.5</t>
  </si>
  <si>
    <t>24.02.2023</t>
  </si>
  <si>
    <t>Hayden Shearer</t>
  </si>
  <si>
    <t>0498 779 515</t>
  </si>
  <si>
    <t>Not necessary 21/12</t>
  </si>
  <si>
    <t>01.03.2023</t>
  </si>
  <si>
    <t>Robert Adlington</t>
  </si>
  <si>
    <t>0458 722 562</t>
  </si>
  <si>
    <t>5.0 x 14.5 x 2.59-3.0</t>
  </si>
  <si>
    <t>Mellissa Richardson</t>
  </si>
  <si>
    <t>0421 235 333</t>
  </si>
  <si>
    <t xml:space="preserve">Maiden Gully </t>
  </si>
  <si>
    <t>3.7 x 12.0 x 2.850</t>
  </si>
  <si>
    <t>Lucas Reynolds</t>
  </si>
  <si>
    <t>0411 310 626</t>
  </si>
  <si>
    <t>East Bendigo</t>
  </si>
  <si>
    <t>3.0 x 6.5 x 2.7-2.94</t>
  </si>
  <si>
    <t>Debra Shipp</t>
  </si>
  <si>
    <t>0427 100 305</t>
  </si>
  <si>
    <t xml:space="preserve">4.0 x 6.0 x 2.7 </t>
  </si>
  <si>
    <t>05.03.2023</t>
  </si>
  <si>
    <t>15.03.2023</t>
  </si>
  <si>
    <t>Steve Hartley</t>
  </si>
  <si>
    <t>0438 190 669</t>
  </si>
  <si>
    <t>24.03.2023</t>
  </si>
  <si>
    <t>Ken Holland</t>
  </si>
  <si>
    <t>0408 143 662</t>
  </si>
  <si>
    <t>6.0 x 7.5 x 3.4</t>
  </si>
  <si>
    <t>04.04.2023</t>
  </si>
  <si>
    <t xml:space="preserve">Laraine Anderson </t>
  </si>
  <si>
    <t>0455 021 122</t>
  </si>
  <si>
    <t>6.0 x 6.0 x 3.0</t>
  </si>
  <si>
    <t>Not required</t>
  </si>
  <si>
    <t>12.04.2023</t>
  </si>
  <si>
    <t>Dennis &amp; Charmaine Niblett</t>
  </si>
  <si>
    <t>0438 814 918</t>
  </si>
  <si>
    <t xml:space="preserve"> </t>
  </si>
  <si>
    <t>19.04.2023</t>
  </si>
  <si>
    <t>Max Roberts</t>
  </si>
  <si>
    <t>0413 415 090</t>
  </si>
  <si>
    <t xml:space="preserve">Trevor Neale </t>
  </si>
  <si>
    <t>0417 564 600</t>
  </si>
  <si>
    <t xml:space="preserve">Farm Shed </t>
  </si>
  <si>
    <t>30.04.2023</t>
  </si>
  <si>
    <t>Clint Dickenson</t>
  </si>
  <si>
    <t>0418 313 158</t>
  </si>
  <si>
    <t>Safety Steel</t>
  </si>
  <si>
    <t>Derrinal</t>
  </si>
  <si>
    <t>Hanger</t>
  </si>
  <si>
    <t>01.05.2023</t>
  </si>
  <si>
    <t>Glenn &amp; Kathryn Symons</t>
  </si>
  <si>
    <t>0431 237 513</t>
  </si>
  <si>
    <t>04.05.2023</t>
  </si>
  <si>
    <t xml:space="preserve">John &amp; Jeanette Teague </t>
  </si>
  <si>
    <t>0438 579 987</t>
  </si>
  <si>
    <t>Harcourt</t>
  </si>
  <si>
    <t xml:space="preserve">David Parsons </t>
  </si>
  <si>
    <t>0438 606 155</t>
  </si>
  <si>
    <t xml:space="preserve">Castlemaine </t>
  </si>
  <si>
    <t>Carl Bishop</t>
  </si>
  <si>
    <t>0447 060 234</t>
  </si>
  <si>
    <t>7 Jenolian St</t>
  </si>
  <si>
    <t>07.05.2023</t>
  </si>
  <si>
    <t>pending permit</t>
  </si>
  <si>
    <t>Joanne Tweed</t>
  </si>
  <si>
    <t>0438 925 539</t>
  </si>
  <si>
    <t>Order after PP</t>
  </si>
  <si>
    <t>59 Burke Rd</t>
  </si>
  <si>
    <t>05/05/2023 Waiting for Comps once cust. Pays deposit</t>
  </si>
  <si>
    <t>Megan Gladysz</t>
  </si>
  <si>
    <t>0400 356 368</t>
  </si>
  <si>
    <t>202 Mia Mia Track</t>
  </si>
  <si>
    <t>Newstead</t>
  </si>
  <si>
    <t>17.05.2023</t>
  </si>
  <si>
    <t>Anthony Homaly</t>
  </si>
  <si>
    <t>0447 579 594</t>
  </si>
  <si>
    <t>10 Evermore Drive</t>
  </si>
  <si>
    <t>23.05.2023</t>
  </si>
  <si>
    <t>Matthew Skinner</t>
  </si>
  <si>
    <t>0411 466 851</t>
  </si>
  <si>
    <t>8 North Western Rd</t>
  </si>
  <si>
    <t>St Arnaud</t>
  </si>
  <si>
    <t>08.06.2023</t>
  </si>
  <si>
    <t>08/05/2023 Emailed invoice to cust</t>
  </si>
  <si>
    <t>Catherine Coventry</t>
  </si>
  <si>
    <t>0401 128 856</t>
  </si>
  <si>
    <t>134 Mackenzie St</t>
  </si>
  <si>
    <t>Bendigo</t>
  </si>
  <si>
    <t>4.6 x 11.0 x 2.4</t>
  </si>
  <si>
    <t>13.06.2023</t>
  </si>
  <si>
    <t>14-Apr</t>
  </si>
  <si>
    <t>Deanna Greig</t>
  </si>
  <si>
    <t>0429 859 808</t>
  </si>
  <si>
    <t>96 Bright Street</t>
  </si>
  <si>
    <t>California Gully</t>
  </si>
  <si>
    <t>4.6 x 5.0 x 2.4</t>
  </si>
  <si>
    <t>20.06.2023</t>
  </si>
  <si>
    <t xml:space="preserve">Jake Nelson </t>
  </si>
  <si>
    <t>0415 037 048</t>
  </si>
  <si>
    <t>47 Tonta Rd</t>
  </si>
  <si>
    <t>Woodvale</t>
  </si>
  <si>
    <t>18.0 x 30.0 x 3.2-5.5</t>
  </si>
  <si>
    <t>21.06.2023</t>
  </si>
  <si>
    <t>Jayson Axiaq</t>
  </si>
  <si>
    <t>0404 295 167</t>
  </si>
  <si>
    <t>6 Nation Ct</t>
  </si>
  <si>
    <t>18.07.2023</t>
  </si>
  <si>
    <t>28/05/2023 RESPONSE FROM CFA DUE</t>
  </si>
  <si>
    <t>Robert Lord</t>
  </si>
  <si>
    <t>0421 191 766</t>
  </si>
  <si>
    <t>24/06/2023</t>
  </si>
  <si>
    <t>2 Rush Court</t>
  </si>
  <si>
    <t>28.07.2023</t>
  </si>
  <si>
    <t>B.S payment for approval</t>
  </si>
  <si>
    <t>Greg Dunlop</t>
  </si>
  <si>
    <t>0427 212 377</t>
  </si>
  <si>
    <t>20 Oak Street</t>
  </si>
  <si>
    <t>Golden Sq</t>
  </si>
  <si>
    <t>Custom</t>
  </si>
  <si>
    <t>B.S needs to pay !!</t>
  </si>
  <si>
    <t>22/06/2023</t>
  </si>
  <si>
    <t>28/06/2023</t>
  </si>
  <si>
    <t>255 Cahills Road</t>
  </si>
  <si>
    <t>01.08.2023</t>
  </si>
  <si>
    <t>ABC Approval</t>
  </si>
  <si>
    <t>Jacob Harper</t>
  </si>
  <si>
    <t>0400 087 417</t>
  </si>
  <si>
    <t>169A St Killians Street</t>
  </si>
  <si>
    <t>White Hills</t>
  </si>
  <si>
    <t>15.08.2023</t>
  </si>
  <si>
    <t>approval</t>
  </si>
  <si>
    <t>Alan Lakey</t>
  </si>
  <si>
    <t>0408 571 022</t>
  </si>
  <si>
    <t>27/06/2023</t>
  </si>
  <si>
    <t>9 Lyndam Avenue</t>
  </si>
  <si>
    <t>Approval</t>
  </si>
  <si>
    <t>17/07/2023</t>
  </si>
  <si>
    <t>Kayne Russell</t>
  </si>
  <si>
    <t>0459 652 963</t>
  </si>
  <si>
    <t>2 Rileys Road</t>
  </si>
  <si>
    <t>24.08.2023</t>
  </si>
  <si>
    <t>Contract</t>
  </si>
  <si>
    <t>Glenn Parkhill</t>
  </si>
  <si>
    <t>0432 608 207</t>
  </si>
  <si>
    <t>44 Finn Street</t>
  </si>
  <si>
    <t>Insurance</t>
  </si>
  <si>
    <t>18/07/2023</t>
  </si>
  <si>
    <t>Gordon &amp; Jennie Fraser</t>
  </si>
  <si>
    <t>0418 311 662</t>
  </si>
  <si>
    <t>72 Wright Street</t>
  </si>
  <si>
    <t>30.08.2023</t>
  </si>
  <si>
    <t>28.02.2023</t>
  </si>
  <si>
    <t>19.05.2023</t>
  </si>
  <si>
    <t>Steven Schurmann</t>
  </si>
  <si>
    <t>0421 367 970</t>
  </si>
  <si>
    <t>16/07/2023</t>
  </si>
  <si>
    <t>45 Robb Drive</t>
  </si>
  <si>
    <t>MRSC</t>
  </si>
  <si>
    <t>01.09.2023</t>
  </si>
  <si>
    <t>26.07.2023</t>
  </si>
  <si>
    <t>Brodie Knight</t>
  </si>
  <si>
    <t>0428 476 016</t>
  </si>
  <si>
    <t>18 Ivory Street</t>
  </si>
  <si>
    <t>RFI</t>
  </si>
  <si>
    <t>11.08.23</t>
  </si>
  <si>
    <t>Frank Previti</t>
  </si>
  <si>
    <t>0413 422 649</t>
  </si>
  <si>
    <t>16/08/2023</t>
  </si>
  <si>
    <t>8a Settlers place</t>
  </si>
  <si>
    <t>05.09.2023</t>
  </si>
  <si>
    <t>B.S Pay Invoice</t>
  </si>
  <si>
    <t>16.08.2023</t>
  </si>
  <si>
    <t>Wendy Owen</t>
  </si>
  <si>
    <t>0435 763 723</t>
  </si>
  <si>
    <t>18/08/2023</t>
  </si>
  <si>
    <t>28 Comer Lane</t>
  </si>
  <si>
    <t>Goornong</t>
  </si>
  <si>
    <t>16.09.2023</t>
  </si>
  <si>
    <t>Site plan Conf.</t>
  </si>
  <si>
    <t>21.08.2023</t>
  </si>
  <si>
    <t>Phil Connor</t>
  </si>
  <si>
    <t>0419 989 291</t>
  </si>
  <si>
    <t>25/07/2023</t>
  </si>
  <si>
    <t>44 Goynes Road</t>
  </si>
  <si>
    <t>21.09.2023</t>
  </si>
  <si>
    <t>Neville Pitman</t>
  </si>
  <si>
    <t>0408 428 467</t>
  </si>
  <si>
    <t>72 Penglase St</t>
  </si>
  <si>
    <t>Koondrook</t>
  </si>
  <si>
    <t>26.09.2023</t>
  </si>
  <si>
    <t>B.S Permit payment</t>
  </si>
  <si>
    <t>16.02.2023</t>
  </si>
  <si>
    <t>15.09.2023</t>
  </si>
  <si>
    <t>Brent Rilen</t>
  </si>
  <si>
    <t>0432 909 410</t>
  </si>
  <si>
    <t>20/07/2023</t>
  </si>
  <si>
    <t>4 Weeks Road</t>
  </si>
  <si>
    <t>02.10.2023</t>
  </si>
  <si>
    <t>Contract Insurance</t>
  </si>
  <si>
    <t>21.07.2023</t>
  </si>
  <si>
    <t>Daniel Leist</t>
  </si>
  <si>
    <t>0421 508 150</t>
  </si>
  <si>
    <t>24/08/2023</t>
  </si>
  <si>
    <t>29 Bakers Lane</t>
  </si>
  <si>
    <t>Site plan conf.</t>
  </si>
  <si>
    <t>29.08.2023</t>
  </si>
  <si>
    <t>Paul Costin</t>
  </si>
  <si>
    <t>0418 318 758</t>
  </si>
  <si>
    <t>6 Sommerville Road,</t>
  </si>
  <si>
    <t>05.10.2023</t>
  </si>
  <si>
    <t>06.09.2023</t>
  </si>
  <si>
    <t>Anthony Pappas</t>
  </si>
  <si>
    <t>0433 077 590</t>
  </si>
  <si>
    <t>22 Marengo Rd</t>
  </si>
  <si>
    <t>Seymour</t>
  </si>
  <si>
    <t>Pending site plan confirmation</t>
  </si>
  <si>
    <t>Liam Bartlett</t>
  </si>
  <si>
    <t>0414 629 220</t>
  </si>
  <si>
    <t>32 Sutherland Street</t>
  </si>
  <si>
    <t>Contract amendment</t>
  </si>
  <si>
    <t>31.08.2023</t>
  </si>
  <si>
    <t>Jason Sawford</t>
  </si>
  <si>
    <t>0481 197 770</t>
  </si>
  <si>
    <t>10 Santa Rosa Way</t>
  </si>
  <si>
    <t>09.10.2023</t>
  </si>
  <si>
    <t>Contract, insurance &amp; Engineering</t>
  </si>
  <si>
    <t>04.09.2023</t>
  </si>
  <si>
    <t>Joshua Giri</t>
  </si>
  <si>
    <t>0403 572 001</t>
  </si>
  <si>
    <t>39 Bolitho Terrace</t>
  </si>
  <si>
    <t>Pending transferral</t>
  </si>
  <si>
    <t>15.06.2023</t>
  </si>
  <si>
    <t>19.06.2023</t>
  </si>
  <si>
    <t>Neil Sahlstrom</t>
  </si>
  <si>
    <t>0408 517 268</t>
  </si>
  <si>
    <t>6 Jean Court</t>
  </si>
  <si>
    <t>13.10.2023</t>
  </si>
  <si>
    <t>B.S paying invoice</t>
  </si>
  <si>
    <t>07.08.2023</t>
  </si>
  <si>
    <t>22.09.2023</t>
  </si>
  <si>
    <t>Matt Nicholson</t>
  </si>
  <si>
    <t>0407 679 420</t>
  </si>
  <si>
    <t>11 The Point</t>
  </si>
  <si>
    <t>18.10.2023</t>
  </si>
  <si>
    <t>Building approval</t>
  </si>
  <si>
    <t>27.07.2023</t>
  </si>
  <si>
    <t>Josh Kent</t>
  </si>
  <si>
    <t>0407 137 916</t>
  </si>
  <si>
    <t>8 Joshua Court</t>
  </si>
  <si>
    <t>B.S Invoice payment</t>
  </si>
  <si>
    <t>22.06.2023</t>
  </si>
  <si>
    <t>Jade Field</t>
  </si>
  <si>
    <t>0457 259 310</t>
  </si>
  <si>
    <t>9 Kalinda Drive</t>
  </si>
  <si>
    <t>Junortoun 3551</t>
  </si>
  <si>
    <t>19.10.2023</t>
  </si>
  <si>
    <t>18.09.2023</t>
  </si>
  <si>
    <t>11.10.2023</t>
  </si>
  <si>
    <t>Mick McCashney</t>
  </si>
  <si>
    <t>20/09/2023</t>
  </si>
  <si>
    <t>140 Pasley Street</t>
  </si>
  <si>
    <t>20.10.2023</t>
  </si>
  <si>
    <t>20.09.2023</t>
  </si>
  <si>
    <t>Paul Howe</t>
  </si>
  <si>
    <t>0457 437 982</t>
  </si>
  <si>
    <t>33 Christie St</t>
  </si>
  <si>
    <t>30.10.2023</t>
  </si>
  <si>
    <t>02.08.2023</t>
  </si>
  <si>
    <t>17.10.2023</t>
  </si>
  <si>
    <t>Dakota Norden</t>
  </si>
  <si>
    <t>0412 205 242</t>
  </si>
  <si>
    <t>26/06/2023</t>
  </si>
  <si>
    <t>5A Tchumlock Court</t>
  </si>
  <si>
    <t>06.11.2023</t>
  </si>
  <si>
    <t>Approved soon</t>
  </si>
  <si>
    <t>30.06.2023</t>
  </si>
  <si>
    <t>Peter &amp; Marianne Braam</t>
  </si>
  <si>
    <t>0437 210 005</t>
  </si>
  <si>
    <t>6 Bridge Road</t>
  </si>
  <si>
    <t>Rochester</t>
  </si>
  <si>
    <t>Shed</t>
  </si>
  <si>
    <t>Daryl Kennedy</t>
  </si>
  <si>
    <t>0417 322 446</t>
  </si>
  <si>
    <t>19/09/2023</t>
  </si>
  <si>
    <t>135 Caldwell Street</t>
  </si>
  <si>
    <t>09.11.2023</t>
  </si>
  <si>
    <t>HOWI</t>
  </si>
  <si>
    <t>Stuart Suter</t>
  </si>
  <si>
    <t>0407 787 713</t>
  </si>
  <si>
    <t>303 Station Street</t>
  </si>
  <si>
    <t>Machinery Shed</t>
  </si>
  <si>
    <t>Contract &amp; Insurance</t>
  </si>
  <si>
    <t>15.05.2023</t>
  </si>
  <si>
    <t>03.05.2023</t>
  </si>
  <si>
    <t>Kevin Mortley</t>
  </si>
  <si>
    <t>0408 771 713</t>
  </si>
  <si>
    <t>6 Toronga Rise</t>
  </si>
  <si>
    <t>Alexandra</t>
  </si>
  <si>
    <t>21.11.2023</t>
  </si>
  <si>
    <t>Pending approval</t>
  </si>
  <si>
    <t>17.11.2023</t>
  </si>
  <si>
    <t>Nick Kinross</t>
  </si>
  <si>
    <t xml:space="preserve">2 Trotters Lane, </t>
  </si>
  <si>
    <t>Ironbark</t>
  </si>
  <si>
    <t>22.11.2023</t>
  </si>
  <si>
    <t>Rob &amp; Susan Seip</t>
  </si>
  <si>
    <t>0481 861 845</t>
  </si>
  <si>
    <t>13/08/2023</t>
  </si>
  <si>
    <t>15 Urquart Street</t>
  </si>
  <si>
    <t>29.11.2023</t>
  </si>
  <si>
    <t>HOWI &amp; Contact</t>
  </si>
  <si>
    <t>Wendy Hodgkin</t>
  </si>
  <si>
    <t>0466 136 656</t>
  </si>
  <si>
    <t>35 Mullins Road</t>
  </si>
  <si>
    <t>Killara</t>
  </si>
  <si>
    <t>05.12.2023</t>
  </si>
  <si>
    <t>PCP Contract &amp; Ins</t>
  </si>
  <si>
    <t>08.11.2023</t>
  </si>
  <si>
    <t>BPA0057</t>
  </si>
  <si>
    <t>Dawn Wilders</t>
  </si>
  <si>
    <t>0418 376 869</t>
  </si>
  <si>
    <t>50 Noy Court</t>
  </si>
  <si>
    <t>14.12.2023</t>
  </si>
  <si>
    <t>PCP Quote approval</t>
  </si>
  <si>
    <t>12.10.2023</t>
  </si>
  <si>
    <t>Sam Essex</t>
  </si>
  <si>
    <t>0478 779 198</t>
  </si>
  <si>
    <t>24.10.2023</t>
  </si>
  <si>
    <t>23 Harveys lane</t>
  </si>
  <si>
    <t>Jackass Flat</t>
  </si>
  <si>
    <t>Engineering &amp; Appt. Form</t>
  </si>
  <si>
    <t>25.10.2023</t>
  </si>
  <si>
    <t>Vanessa Miechel</t>
  </si>
  <si>
    <t>0400 357 530</t>
  </si>
  <si>
    <t>51 Punt Road</t>
  </si>
  <si>
    <t>Cobram</t>
  </si>
  <si>
    <t>Garage &amp; Carport</t>
  </si>
  <si>
    <t>17.12.2023</t>
  </si>
  <si>
    <t>Public Liability Insurance</t>
  </si>
  <si>
    <t>21.12.2023</t>
  </si>
  <si>
    <t>Kate Jackson</t>
  </si>
  <si>
    <t>0447 606 282</t>
  </si>
  <si>
    <t xml:space="preserve">277 Higgins Road </t>
  </si>
  <si>
    <t>Navarre</t>
  </si>
  <si>
    <t>Stat dec, contract, ins</t>
  </si>
  <si>
    <t>Darryl Brown</t>
  </si>
  <si>
    <t>0408 322 868</t>
  </si>
  <si>
    <t>730 Crusoe Road</t>
  </si>
  <si>
    <t>10.08.2023</t>
  </si>
  <si>
    <t>20.11.2023</t>
  </si>
  <si>
    <t>BPA0058</t>
  </si>
  <si>
    <t>Darby Frazer</t>
  </si>
  <si>
    <t>0455 935 379</t>
  </si>
  <si>
    <t>10 Topaz Street</t>
  </si>
  <si>
    <t>Alfredton</t>
  </si>
  <si>
    <t>Ballarat</t>
  </si>
  <si>
    <t>22.12.2023</t>
  </si>
  <si>
    <t>Planning enquiry pending</t>
  </si>
  <si>
    <t>Andrew Lowndes</t>
  </si>
  <si>
    <t>0499 515 905</t>
  </si>
  <si>
    <t>3 Sullivan Street</t>
  </si>
  <si>
    <t>28.11.2023</t>
  </si>
  <si>
    <t>Permit invoice</t>
  </si>
  <si>
    <t>14.11.2023</t>
  </si>
  <si>
    <t>Sean Hawkins</t>
  </si>
  <si>
    <t>0411 836 985</t>
  </si>
  <si>
    <t>06.11.2024</t>
  </si>
  <si>
    <t xml:space="preserve">991 Rodborough Rd </t>
  </si>
  <si>
    <t>Moolort</t>
  </si>
  <si>
    <t>Central Goldfields</t>
  </si>
  <si>
    <t>15.01.2024</t>
  </si>
  <si>
    <t>17.12.2024</t>
  </si>
  <si>
    <t>Richard Jane</t>
  </si>
  <si>
    <t>0410 040 286</t>
  </si>
  <si>
    <t>06.05.2024</t>
  </si>
  <si>
    <t>122 Landrigan road</t>
  </si>
  <si>
    <t>Carrisbrook</t>
  </si>
  <si>
    <t>planning paid</t>
  </si>
  <si>
    <t>29.05.2024</t>
  </si>
  <si>
    <t>03.12.2024</t>
  </si>
  <si>
    <t>BPA0056</t>
  </si>
  <si>
    <t>Mitchell Harvey</t>
  </si>
  <si>
    <t>0447 771 863</t>
  </si>
  <si>
    <t>4 Finnigan Court,</t>
  </si>
  <si>
    <t>Waranga Shores</t>
  </si>
  <si>
    <t>Campaspe</t>
  </si>
  <si>
    <t>16.01.2024</t>
  </si>
  <si>
    <t>RFI Rec'd</t>
  </si>
  <si>
    <t>Barbara Aita</t>
  </si>
  <si>
    <t>0411 579 451</t>
  </si>
  <si>
    <t>26.10.2023</t>
  </si>
  <si>
    <t>1 Luis Street</t>
  </si>
  <si>
    <t>Ballan</t>
  </si>
  <si>
    <t>29.01.2024</t>
  </si>
  <si>
    <t>Pier details submitted</t>
  </si>
  <si>
    <t>18.12.2023</t>
  </si>
  <si>
    <t>BPA0048</t>
  </si>
  <si>
    <t>Paul Benson</t>
  </si>
  <si>
    <t>0458 856 825</t>
  </si>
  <si>
    <t>25/09/2023</t>
  </si>
  <si>
    <t>329 Eaglehawk Road</t>
  </si>
  <si>
    <t>01.02.2024</t>
  </si>
  <si>
    <t>B.S to pay invoice</t>
  </si>
  <si>
    <t>25/09/2024</t>
  </si>
  <si>
    <t>20/12/2024</t>
  </si>
  <si>
    <t>Ellie Manzie</t>
  </si>
  <si>
    <t>0417 010 718</t>
  </si>
  <si>
    <t>60 Swanwater Drive</t>
  </si>
  <si>
    <t>29/01/2024</t>
  </si>
  <si>
    <t>Millie Renwick</t>
  </si>
  <si>
    <t>0487 644 855</t>
  </si>
  <si>
    <t>06.10.2023</t>
  </si>
  <si>
    <t>14 Courtenay Avenue</t>
  </si>
  <si>
    <t>Cranbourne North</t>
  </si>
  <si>
    <t>Garage _ Verandah</t>
  </si>
  <si>
    <t>07.02.2024</t>
  </si>
  <si>
    <t>Peter Conn</t>
  </si>
  <si>
    <t>0478 695 090</t>
  </si>
  <si>
    <t>8 Dowker Street</t>
  </si>
  <si>
    <t>14.02.2024</t>
  </si>
  <si>
    <t xml:space="preserve">Approved </t>
  </si>
  <si>
    <t>19/10/2023</t>
  </si>
  <si>
    <t>Amy Holmes</t>
  </si>
  <si>
    <t>0427 365 849</t>
  </si>
  <si>
    <t>63 Victoria Street</t>
  </si>
  <si>
    <t>Tim Young</t>
  </si>
  <si>
    <t>0401 963 545</t>
  </si>
  <si>
    <t>9.11.2023</t>
  </si>
  <si>
    <t>4 Casuarina Court</t>
  </si>
  <si>
    <t>Beaufort</t>
  </si>
  <si>
    <t>16.02.2024</t>
  </si>
  <si>
    <t>Building permit invoice</t>
  </si>
  <si>
    <t>Trevor Ward</t>
  </si>
  <si>
    <t>0437 546 982</t>
  </si>
  <si>
    <t>117 Ryan Street</t>
  </si>
  <si>
    <t>Brown Hill</t>
  </si>
  <si>
    <t>Gerage</t>
  </si>
  <si>
    <t>BALLARAT</t>
  </si>
  <si>
    <t>18.02.2024</t>
  </si>
  <si>
    <t>PAID - A.D to do site plan</t>
  </si>
  <si>
    <t>Kellie &amp; Brad Free</t>
  </si>
  <si>
    <t>0424 864 446</t>
  </si>
  <si>
    <t>04.12.2023</t>
  </si>
  <si>
    <t>44 Partridge Crescent</t>
  </si>
  <si>
    <t>23.02.2024</t>
  </si>
  <si>
    <t xml:space="preserve">approved - A.D pending </t>
  </si>
  <si>
    <t>Darren Slater</t>
  </si>
  <si>
    <t>0484 324 939</t>
  </si>
  <si>
    <t>2 Yeramba Close</t>
  </si>
  <si>
    <t>Invoice from ABC</t>
  </si>
  <si>
    <t>23/02/2024</t>
  </si>
  <si>
    <t>15/02/2024</t>
  </si>
  <si>
    <t>Brent Shannon</t>
  </si>
  <si>
    <t>0418 503 218</t>
  </si>
  <si>
    <t>7 Pioneer Drive</t>
  </si>
  <si>
    <t>24/10/2024</t>
  </si>
  <si>
    <t>15/01/2024</t>
  </si>
  <si>
    <t>Jo Reilly</t>
  </si>
  <si>
    <t>0438 761 960</t>
  </si>
  <si>
    <t>15.11.2023</t>
  </si>
  <si>
    <t>28 Red Rocks Road</t>
  </si>
  <si>
    <t>Cowes</t>
  </si>
  <si>
    <t>Bass Coast</t>
  </si>
  <si>
    <t>24.03.2024</t>
  </si>
  <si>
    <t>RBP/OB</t>
  </si>
  <si>
    <t>21.03.2024</t>
  </si>
  <si>
    <t>Thomas Christie</t>
  </si>
  <si>
    <t>0487 984 700</t>
  </si>
  <si>
    <t>27/07/2023</t>
  </si>
  <si>
    <t>1042 McIvor HWY</t>
  </si>
  <si>
    <t>26.02.2024</t>
  </si>
  <si>
    <t>payment pending W. Bryan</t>
  </si>
  <si>
    <t>31/07/2024</t>
  </si>
  <si>
    <t>BPA0047</t>
  </si>
  <si>
    <t>Louie &amp; Donna Shalevski</t>
  </si>
  <si>
    <t>0425 241 376</t>
  </si>
  <si>
    <t>21/09/2023</t>
  </si>
  <si>
    <t>2 of 8 Smiths Street</t>
  </si>
  <si>
    <t>27.02.2024</t>
  </si>
  <si>
    <t>Owner Builder Cert</t>
  </si>
  <si>
    <t>Gerald Ashman</t>
  </si>
  <si>
    <t>0418 338 534</t>
  </si>
  <si>
    <t>16.11.2023</t>
  </si>
  <si>
    <t>43 Hill Drive</t>
  </si>
  <si>
    <t>Kyneton</t>
  </si>
  <si>
    <t>pending approval</t>
  </si>
  <si>
    <t>9.02.2024</t>
  </si>
  <si>
    <t>Brett Anderson</t>
  </si>
  <si>
    <t>0448 863 388</t>
  </si>
  <si>
    <t>49 Aspiring Drive</t>
  </si>
  <si>
    <t>28.02.2024</t>
  </si>
  <si>
    <t>BAL from cust</t>
  </si>
  <si>
    <t>05.12.2024</t>
  </si>
  <si>
    <t>Sean Hubbard</t>
  </si>
  <si>
    <t>0403 437 499</t>
  </si>
  <si>
    <t>4 Bottletree Road</t>
  </si>
  <si>
    <t>North Wonthaggi</t>
  </si>
  <si>
    <t>01.03.2024</t>
  </si>
  <si>
    <t>Contract with Jack</t>
  </si>
  <si>
    <t>BPA0069</t>
  </si>
  <si>
    <t>Tristan Rayner</t>
  </si>
  <si>
    <t>0466 715 991</t>
  </si>
  <si>
    <t>28 Blossom Drive</t>
  </si>
  <si>
    <t>07.03.2024</t>
  </si>
  <si>
    <t>Building permit submitted</t>
  </si>
  <si>
    <t>21.02.2024</t>
  </si>
  <si>
    <t>Lucas Clark</t>
  </si>
  <si>
    <t>0439 684 149</t>
  </si>
  <si>
    <t>102 Ironstone Road</t>
  </si>
  <si>
    <t>RBP</t>
  </si>
  <si>
    <t>Jayne &amp; Zeljko Fujto</t>
  </si>
  <si>
    <t>0427 198 134</t>
  </si>
  <si>
    <t>12.12.2023</t>
  </si>
  <si>
    <t>24 Highgate Road</t>
  </si>
  <si>
    <t>11.03.2024</t>
  </si>
  <si>
    <t>BAL plans</t>
  </si>
  <si>
    <t>15.12.2023</t>
  </si>
  <si>
    <t>06.02.2024</t>
  </si>
  <si>
    <t xml:space="preserve">Jess Hope </t>
  </si>
  <si>
    <t>0419 004 472</t>
  </si>
  <si>
    <t>20 Cleary Rd</t>
  </si>
  <si>
    <t>14.03.2024</t>
  </si>
  <si>
    <t>17.03.2023</t>
  </si>
  <si>
    <t>Mark &amp; Anita Taylor</t>
  </si>
  <si>
    <t>0408 884 984</t>
  </si>
  <si>
    <t>31/01/2024</t>
  </si>
  <si>
    <t>8 Valderama Court</t>
  </si>
  <si>
    <t>K.W to do site plan</t>
  </si>
  <si>
    <t>05.02.2024</t>
  </si>
  <si>
    <t>Jack Fowler</t>
  </si>
  <si>
    <t>0428 984 935</t>
  </si>
  <si>
    <t>25/01/2024</t>
  </si>
  <si>
    <t>9 Lewis Street</t>
  </si>
  <si>
    <t>pending invoice</t>
  </si>
  <si>
    <t>25.01.2024</t>
  </si>
  <si>
    <t>1157.25+28.98</t>
  </si>
  <si>
    <t>Dale Pearce</t>
  </si>
  <si>
    <t>0439 012 816</t>
  </si>
  <si>
    <t>145 McIvor Forest Drive</t>
  </si>
  <si>
    <t>Site plan confirmation</t>
  </si>
  <si>
    <t>08.02.2024</t>
  </si>
  <si>
    <t>Steven Valentin</t>
  </si>
  <si>
    <t>0448 350 663</t>
  </si>
  <si>
    <t>30.11.2023</t>
  </si>
  <si>
    <t>75a O'Reilly Road</t>
  </si>
  <si>
    <t>26.03.2024</t>
  </si>
  <si>
    <t>08.03.2024</t>
  </si>
  <si>
    <t>Anthony Galletta</t>
  </si>
  <si>
    <t>0417 244 733</t>
  </si>
  <si>
    <t>96 Couangalt Road</t>
  </si>
  <si>
    <t>Gisborne South</t>
  </si>
  <si>
    <t>05.04.2024</t>
  </si>
  <si>
    <t>site plan revision</t>
  </si>
  <si>
    <t>22.01.2024</t>
  </si>
  <si>
    <t>Rod Byford</t>
  </si>
  <si>
    <t>0413 860 707</t>
  </si>
  <si>
    <t>74 Wilsons Road</t>
  </si>
  <si>
    <t>Haddon</t>
  </si>
  <si>
    <t>12.02.2024</t>
  </si>
  <si>
    <t>BPA0060</t>
  </si>
  <si>
    <t>Royce Chapman</t>
  </si>
  <si>
    <t>0428 375 508</t>
  </si>
  <si>
    <t>22 Bonnington Street</t>
  </si>
  <si>
    <t>Jackass Flat 3556</t>
  </si>
  <si>
    <t>11.04.2024</t>
  </si>
  <si>
    <t>RBP - PCP Const.</t>
  </si>
  <si>
    <t>Karen Gebert</t>
  </si>
  <si>
    <t>0477 924 403</t>
  </si>
  <si>
    <t>32 Market Street</t>
  </si>
  <si>
    <t>13.04.2024</t>
  </si>
  <si>
    <t>RFI ACTIONED &amp; PLANNING PAID</t>
  </si>
  <si>
    <t>Jarrod Mihalj</t>
  </si>
  <si>
    <t>0488 388 350</t>
  </si>
  <si>
    <t>30/01/2024</t>
  </si>
  <si>
    <t>1 Melaiuca Blvd</t>
  </si>
  <si>
    <t>17.04.2024</t>
  </si>
  <si>
    <t>30.01.2024</t>
  </si>
  <si>
    <t>Damien Dwyer</t>
  </si>
  <si>
    <t>0414 209 389</t>
  </si>
  <si>
    <t>10.10.2023</t>
  </si>
  <si>
    <t>1724 Birregurra-Forest Road</t>
  </si>
  <si>
    <t>Barwon Downs</t>
  </si>
  <si>
    <t>Steven Forbes</t>
  </si>
  <si>
    <t>0423 175 638</t>
  </si>
  <si>
    <t>20.12.2023</t>
  </si>
  <si>
    <t>9 Mclean Court</t>
  </si>
  <si>
    <t>19.04.2024</t>
  </si>
  <si>
    <t>HASN'T PAID!!</t>
  </si>
  <si>
    <t>18.04.2024</t>
  </si>
  <si>
    <t>BPA0079</t>
  </si>
  <si>
    <t>Vincent Brouillet</t>
  </si>
  <si>
    <t>0455 248 120</t>
  </si>
  <si>
    <t>87 Damons Road</t>
  </si>
  <si>
    <t>Mount Taylor</t>
  </si>
  <si>
    <t>22.04.2024</t>
  </si>
  <si>
    <t>Owner builder cert.</t>
  </si>
  <si>
    <t>01.12.2024</t>
  </si>
  <si>
    <t>19.12.2023</t>
  </si>
  <si>
    <t>Wayne Haw</t>
  </si>
  <si>
    <t>0481 127 105</t>
  </si>
  <si>
    <t>16/02/2024</t>
  </si>
  <si>
    <t>5 Vellore Way</t>
  </si>
  <si>
    <t>Engineering</t>
  </si>
  <si>
    <t>26.03.2026</t>
  </si>
  <si>
    <t>Jason Angove</t>
  </si>
  <si>
    <t>0438 553 860</t>
  </si>
  <si>
    <t>21/03/2024</t>
  </si>
  <si>
    <t>2 Cockatoo Drive</t>
  </si>
  <si>
    <t>28.04.2024</t>
  </si>
  <si>
    <t>Pending planning rfi</t>
  </si>
  <si>
    <t>02.04.2024</t>
  </si>
  <si>
    <t>10.04.2024</t>
  </si>
  <si>
    <t>Chris Pantazis</t>
  </si>
  <si>
    <t>0407 829 013</t>
  </si>
  <si>
    <t>20 Beischer Street</t>
  </si>
  <si>
    <t>12.01.2024</t>
  </si>
  <si>
    <t>Lloyd Neale</t>
  </si>
  <si>
    <t>0427 887 226</t>
  </si>
  <si>
    <t>580 Lockington Road</t>
  </si>
  <si>
    <t>HHunter</t>
  </si>
  <si>
    <t>01.05.2024</t>
  </si>
  <si>
    <t>followed p Bryan</t>
  </si>
  <si>
    <t>Lavinia O'Neil</t>
  </si>
  <si>
    <t>0400 934 234</t>
  </si>
  <si>
    <t>10 Ivory Street</t>
  </si>
  <si>
    <t>Epsom 3551</t>
  </si>
  <si>
    <t>Ryan Weir</t>
  </si>
  <si>
    <t>0429 670 585</t>
  </si>
  <si>
    <t>14/02/2024</t>
  </si>
  <si>
    <t>10 Jarrung Street</t>
  </si>
  <si>
    <t>Followed up Bryan</t>
  </si>
  <si>
    <t>Brad Burgess</t>
  </si>
  <si>
    <t>0431 751 931</t>
  </si>
  <si>
    <t>83 McGeorge Rd</t>
  </si>
  <si>
    <t>Gosborne South</t>
  </si>
  <si>
    <t>08.05.2024</t>
  </si>
  <si>
    <t>Owner Builder cert</t>
  </si>
  <si>
    <t>BPA0115</t>
  </si>
  <si>
    <t>Shirley Migani</t>
  </si>
  <si>
    <t>0402 269 295</t>
  </si>
  <si>
    <t>28/02/2024</t>
  </si>
  <si>
    <t>6a Westley place</t>
  </si>
  <si>
    <t>Brookfield</t>
  </si>
  <si>
    <t>Permit submitted</t>
  </si>
  <si>
    <t>03.04.2024</t>
  </si>
  <si>
    <t>BPA0066</t>
  </si>
  <si>
    <t>Brody Every</t>
  </si>
  <si>
    <t>0438 356 382</t>
  </si>
  <si>
    <t>27.10.2023</t>
  </si>
  <si>
    <t>38-40 Lily Street</t>
  </si>
  <si>
    <t>Bridgewater</t>
  </si>
  <si>
    <t>12.05.2024</t>
  </si>
  <si>
    <t>Troy Kennedy</t>
  </si>
  <si>
    <t>0400 996 294</t>
  </si>
  <si>
    <t>29 Inglewood Drive</t>
  </si>
  <si>
    <t>Enfield</t>
  </si>
  <si>
    <t>14.05.2024</t>
  </si>
  <si>
    <t>Owner called RE: Builder Cert</t>
  </si>
  <si>
    <t>14.09.2024</t>
  </si>
  <si>
    <t>31.10.2023</t>
  </si>
  <si>
    <t>Ken Maher</t>
  </si>
  <si>
    <t>0408 281 011</t>
  </si>
  <si>
    <t>73 Acacia Street</t>
  </si>
  <si>
    <t>26.04.2024</t>
  </si>
  <si>
    <t>Christine Steiner</t>
  </si>
  <si>
    <t>0491 640 377</t>
  </si>
  <si>
    <t>28.03.2024</t>
  </si>
  <si>
    <t>2 Pleasant Street</t>
  </si>
  <si>
    <t>Mt Alexander</t>
  </si>
  <si>
    <t>Pending payment</t>
  </si>
  <si>
    <t>29.04.2024</t>
  </si>
  <si>
    <t>Steve Leggiero</t>
  </si>
  <si>
    <t>0432 715 254</t>
  </si>
  <si>
    <t>112 Sunset Strip</t>
  </si>
  <si>
    <t>Ocean Grove</t>
  </si>
  <si>
    <t>Greater Geelong</t>
  </si>
  <si>
    <t>21.05.2024</t>
  </si>
  <si>
    <t>Owner Builder or RBP</t>
  </si>
  <si>
    <t>25.09.2023</t>
  </si>
  <si>
    <t>11.12.2023</t>
  </si>
  <si>
    <t>Dylan Blackman</t>
  </si>
  <si>
    <t>0412 718 105</t>
  </si>
  <si>
    <t>13 Strathmore Court</t>
  </si>
  <si>
    <t>Site plan pending</t>
  </si>
  <si>
    <t>29.03.2024</t>
  </si>
  <si>
    <t>John Wyllie</t>
  </si>
  <si>
    <t>0407 654 031</t>
  </si>
  <si>
    <t>09.04.2024</t>
  </si>
  <si>
    <t>114 Loch Street</t>
  </si>
  <si>
    <t>Maryborough</t>
  </si>
  <si>
    <t>John &amp; Jeanette Teague</t>
  </si>
  <si>
    <t>27.09.2023</t>
  </si>
  <si>
    <t>19 Market Street</t>
  </si>
  <si>
    <t>Alfresco</t>
  </si>
  <si>
    <t>B.S to fix engineering</t>
  </si>
  <si>
    <t>Andrew Kormanyos</t>
  </si>
  <si>
    <t>0427 926 986</t>
  </si>
  <si>
    <t>18.01.2024</t>
  </si>
  <si>
    <t>26 Pine Grove</t>
  </si>
  <si>
    <t>followed up buildover</t>
  </si>
  <si>
    <t>24.01.2024</t>
  </si>
  <si>
    <t>Helen Byron</t>
  </si>
  <si>
    <t>08.04.2024</t>
  </si>
  <si>
    <t>68 Seaby Street</t>
  </si>
  <si>
    <t>Stawell</t>
  </si>
  <si>
    <t>24.05.2024</t>
  </si>
  <si>
    <t>Paul Abraham</t>
  </si>
  <si>
    <t>18.03.2024</t>
  </si>
  <si>
    <t>58 Gardner Street</t>
  </si>
  <si>
    <t>Beechforest</t>
  </si>
  <si>
    <t>28.05.2024</t>
  </si>
  <si>
    <t>Sam McDowall</t>
  </si>
  <si>
    <t>0429 401 164</t>
  </si>
  <si>
    <t>6 Janelle Drive</t>
  </si>
  <si>
    <t>16.05.2024</t>
  </si>
  <si>
    <t>Steve Haley</t>
  </si>
  <si>
    <t>0428 357 107</t>
  </si>
  <si>
    <t>12 Monsants Road</t>
  </si>
  <si>
    <t>01.06.2024</t>
  </si>
  <si>
    <t>pending engineering</t>
  </si>
  <si>
    <t>02.02.2024</t>
  </si>
  <si>
    <t>Creina O'Grady</t>
  </si>
  <si>
    <t>0402 433 997</t>
  </si>
  <si>
    <t>276 Edgecombe Road</t>
  </si>
  <si>
    <t>Owner submitting certificate</t>
  </si>
  <si>
    <t>Darren Williams</t>
  </si>
  <si>
    <t>0421 220 999</t>
  </si>
  <si>
    <t>27/02/2024</t>
  </si>
  <si>
    <t>55 Eucalypt Road</t>
  </si>
  <si>
    <t>Inverleigh</t>
  </si>
  <si>
    <t>Request for planning after removal of dam</t>
  </si>
  <si>
    <t>Phil Dunn</t>
  </si>
  <si>
    <t>24/04/2024</t>
  </si>
  <si>
    <t>16 Frog Hollow Drive</t>
  </si>
  <si>
    <t>Torquay</t>
  </si>
  <si>
    <t>04.06.2024</t>
  </si>
  <si>
    <t>Bianca Helling</t>
  </si>
  <si>
    <t>0430 850 422</t>
  </si>
  <si>
    <t>26a Burns Street</t>
  </si>
  <si>
    <t>Bannockburn</t>
  </si>
  <si>
    <t>Katie-Ann Baird</t>
  </si>
  <si>
    <t>0434 571 547</t>
  </si>
  <si>
    <t>15 Grevillea Road</t>
  </si>
  <si>
    <t>09.06.2024</t>
  </si>
  <si>
    <t>AHD Cert. Price</t>
  </si>
  <si>
    <t>21.11.2024</t>
  </si>
  <si>
    <t>05.06.2024</t>
  </si>
  <si>
    <t>Matt Rogers</t>
  </si>
  <si>
    <t>0422 643 924</t>
  </si>
  <si>
    <t>92 Bunney Road</t>
  </si>
  <si>
    <t>Clarinda</t>
  </si>
  <si>
    <t>pending RFI from ABC</t>
  </si>
  <si>
    <t>Helen Briggs &amp; Nick Evren</t>
  </si>
  <si>
    <t>0420 519 239</t>
  </si>
  <si>
    <t>15/08/2023</t>
  </si>
  <si>
    <t>1 Alanbrae Terrace</t>
  </si>
  <si>
    <t>Attwood</t>
  </si>
  <si>
    <t>OTHER</t>
  </si>
  <si>
    <t>12.06.2024</t>
  </si>
  <si>
    <t>Owner Builder cert.</t>
  </si>
  <si>
    <t>16.08.2024</t>
  </si>
  <si>
    <t>Jade Durbage</t>
  </si>
  <si>
    <t>0427 623 308</t>
  </si>
  <si>
    <t>15.05.2024</t>
  </si>
  <si>
    <t>220 Commercial road</t>
  </si>
  <si>
    <t>Koroit</t>
  </si>
  <si>
    <t>Ready to issue</t>
  </si>
  <si>
    <t>15/05/2024</t>
  </si>
  <si>
    <t>23/05/2024</t>
  </si>
  <si>
    <t>James Mennen</t>
  </si>
  <si>
    <t>0459 542 338</t>
  </si>
  <si>
    <t>8 Reeve Street</t>
  </si>
  <si>
    <t>Kialla</t>
  </si>
  <si>
    <t>SHEPPARTON</t>
  </si>
  <si>
    <t>13.06.2024</t>
  </si>
  <si>
    <t>20.05.2024</t>
  </si>
  <si>
    <t>Jarrod Shurety</t>
  </si>
  <si>
    <t>0411 693 486</t>
  </si>
  <si>
    <t>18 Endeavour Drive</t>
  </si>
  <si>
    <t>CASEY</t>
  </si>
  <si>
    <t>14.06.2024</t>
  </si>
  <si>
    <t>Owner builder certificate</t>
  </si>
  <si>
    <t>Jeff Gardner</t>
  </si>
  <si>
    <t>0408 844 152</t>
  </si>
  <si>
    <t>1A Fountain Street</t>
  </si>
  <si>
    <t>19.06.2024</t>
  </si>
  <si>
    <t>pending contract insurnace</t>
  </si>
  <si>
    <t>21.06.2024</t>
  </si>
  <si>
    <t>15.04.2024</t>
  </si>
  <si>
    <t>Julie Bourke</t>
  </si>
  <si>
    <t>0407 842 936</t>
  </si>
  <si>
    <t>735 Charlton-boundary road</t>
  </si>
  <si>
    <t>Jeffcott</t>
  </si>
  <si>
    <t>Boundary survey quote request</t>
  </si>
  <si>
    <t>22/04/2024</t>
  </si>
  <si>
    <t>Warwick Spencer</t>
  </si>
  <si>
    <t>0428 508 308</t>
  </si>
  <si>
    <t>15 Edmarna Way, Maiden Gully 3551</t>
  </si>
  <si>
    <t>24.04.2024</t>
  </si>
  <si>
    <t>Marc Phillips</t>
  </si>
  <si>
    <t>0407 391 416</t>
  </si>
  <si>
    <t>35 Village Avenue, Doncaster</t>
  </si>
  <si>
    <t>Doncaster</t>
  </si>
  <si>
    <t>18.06.2024</t>
  </si>
  <si>
    <t>Neil McLean</t>
  </si>
  <si>
    <t>2 Twyford Street</t>
  </si>
  <si>
    <t>23.06.2024</t>
  </si>
  <si>
    <t>Kerryn Bennett</t>
  </si>
  <si>
    <t>0408 989 202</t>
  </si>
  <si>
    <t>10.05.2024</t>
  </si>
  <si>
    <t>75 Hope Street</t>
  </si>
  <si>
    <t>Bunyip</t>
  </si>
  <si>
    <t>26.06.2024</t>
  </si>
  <si>
    <t>followed up payment</t>
  </si>
  <si>
    <t>05.03.2024</t>
  </si>
  <si>
    <t>163 RACECOURSE ROAD</t>
  </si>
  <si>
    <t>pending contract insurance</t>
  </si>
  <si>
    <t>06.03.2024</t>
  </si>
  <si>
    <t>Daniel Gauci</t>
  </si>
  <si>
    <t>0439 445 739</t>
  </si>
  <si>
    <t>23 Camp Street</t>
  </si>
  <si>
    <t>Mooroopna</t>
  </si>
  <si>
    <t>Reg 79 pending</t>
  </si>
  <si>
    <t>03.05.2024</t>
  </si>
  <si>
    <t>Mitchell McCullagh</t>
  </si>
  <si>
    <t>0407 190 802</t>
  </si>
  <si>
    <t>7 Monique Drive</t>
  </si>
  <si>
    <t>Neighbour consent forms</t>
  </si>
  <si>
    <t>07.05.2024</t>
  </si>
  <si>
    <t>Jarrod Nichols</t>
  </si>
  <si>
    <t>0407 074 165</t>
  </si>
  <si>
    <t>1 White gum Way</t>
  </si>
  <si>
    <t>Winter Valley</t>
  </si>
  <si>
    <t>Neighbour comment forms</t>
  </si>
  <si>
    <t>27.05.2024</t>
  </si>
  <si>
    <t>Hayden Leehane</t>
  </si>
  <si>
    <t>0473 904 845</t>
  </si>
  <si>
    <t>37 Hains Close</t>
  </si>
  <si>
    <t>28.06.2024</t>
  </si>
  <si>
    <t>Provided titles for OB</t>
  </si>
  <si>
    <t>13.05.2024</t>
  </si>
  <si>
    <t>Michael Bell</t>
  </si>
  <si>
    <t>0407 602 878</t>
  </si>
  <si>
    <t>97 Youngs Lane</t>
  </si>
  <si>
    <t>Sedgwick</t>
  </si>
  <si>
    <t>29.06.2024</t>
  </si>
  <si>
    <t>15.03.2024</t>
  </si>
  <si>
    <t>Robyn Johns</t>
  </si>
  <si>
    <t>64 Kerr Street</t>
  </si>
  <si>
    <t>Mortlake</t>
  </si>
  <si>
    <t>01.07.2024</t>
  </si>
  <si>
    <t>followed up invoice</t>
  </si>
  <si>
    <t>Alistair Smith</t>
  </si>
  <si>
    <t>0407 393 628</t>
  </si>
  <si>
    <t>79 Retreat Road</t>
  </si>
  <si>
    <t>Garager</t>
  </si>
  <si>
    <t>followed up enquiry</t>
  </si>
  <si>
    <t>Nick Dundon</t>
  </si>
  <si>
    <t>0432 751 564</t>
  </si>
  <si>
    <t>66 Yellowgum Drive</t>
  </si>
  <si>
    <t>02.07.2024</t>
  </si>
  <si>
    <t>AHD Covenent Requirements</t>
  </si>
  <si>
    <t>Rob Billings</t>
  </si>
  <si>
    <t>0438 208 753</t>
  </si>
  <si>
    <t>25.06.2024</t>
  </si>
  <si>
    <t>14 Donegall Street</t>
  </si>
  <si>
    <t>Dennis Barlow</t>
  </si>
  <si>
    <t>0427 060 919</t>
  </si>
  <si>
    <t>78 Meadows Lane</t>
  </si>
  <si>
    <t>03.07.2024</t>
  </si>
  <si>
    <t>Contract insurance</t>
  </si>
  <si>
    <t>23.05.2024</t>
  </si>
  <si>
    <t>Dylan Maron</t>
  </si>
  <si>
    <t>0425 519 972</t>
  </si>
  <si>
    <t>163 Belgravbe-Hallam Road</t>
  </si>
  <si>
    <t>Belgrave South</t>
  </si>
  <si>
    <t>05.07.2024</t>
  </si>
  <si>
    <t>Craig Doye</t>
  </si>
  <si>
    <t>0419 323 439</t>
  </si>
  <si>
    <t>883 McIvor Highway</t>
  </si>
  <si>
    <t>06.07.2024</t>
  </si>
  <si>
    <t>RFI Actioned</t>
  </si>
  <si>
    <t>04.07.2024</t>
  </si>
  <si>
    <t>Richard &amp; Rhonder Whitham</t>
  </si>
  <si>
    <t>0466 055 094</t>
  </si>
  <si>
    <t>19/02/2024</t>
  </si>
  <si>
    <t>169 Back Kyneton Road</t>
  </si>
  <si>
    <t>10.07.2024</t>
  </si>
  <si>
    <t>OB Cert.</t>
  </si>
  <si>
    <t>John &amp; Joshua Maher</t>
  </si>
  <si>
    <t>0427 391 246</t>
  </si>
  <si>
    <t>27.04.2024</t>
  </si>
  <si>
    <t>83 Smiths Street</t>
  </si>
  <si>
    <t>Oxley</t>
  </si>
  <si>
    <t>12.07.2024</t>
  </si>
  <si>
    <t>30.05.2024</t>
  </si>
  <si>
    <t>Mike Doolan</t>
  </si>
  <si>
    <t>0417 386 730</t>
  </si>
  <si>
    <t>106 Symonds Street</t>
  </si>
  <si>
    <t>Pending contract</t>
  </si>
  <si>
    <t>Jaymie Roach</t>
  </si>
  <si>
    <t>0438 656 298</t>
  </si>
  <si>
    <t>13.12.2023</t>
  </si>
  <si>
    <t>153 McDowalls Road</t>
  </si>
  <si>
    <t>15.07.2024</t>
  </si>
  <si>
    <t>07.06.2024</t>
  </si>
  <si>
    <t>Joe Calleja</t>
  </si>
  <si>
    <t>11 Proctor Crescent</t>
  </si>
  <si>
    <t>Keilor Downs</t>
  </si>
  <si>
    <t>18.07.2024</t>
  </si>
  <si>
    <t>Joe called - said he'd call back tomorrow</t>
  </si>
  <si>
    <t>Damien Cleever</t>
  </si>
  <si>
    <t>0421 855 705</t>
  </si>
  <si>
    <t>19/04/2024</t>
  </si>
  <si>
    <t>9 Mountain Circuit</t>
  </si>
  <si>
    <t>Tangambalanga</t>
  </si>
  <si>
    <t>Indigo</t>
  </si>
  <si>
    <t xml:space="preserve">pending BAL </t>
  </si>
  <si>
    <t>BPA0052</t>
  </si>
  <si>
    <t>Nathan Fosnaugh</t>
  </si>
  <si>
    <t>0437 379 271</t>
  </si>
  <si>
    <t>66 McGregor Road, Gisborne 3437</t>
  </si>
  <si>
    <t>RBP/owner builder</t>
  </si>
  <si>
    <t>10.10.2024</t>
  </si>
  <si>
    <t>Glen Coates</t>
  </si>
  <si>
    <t>0418 871 895</t>
  </si>
  <si>
    <t>8 Remington Crt</t>
  </si>
  <si>
    <t>26.07.2024</t>
  </si>
  <si>
    <t>Land surveyor quote</t>
  </si>
  <si>
    <t>27.06.2024</t>
  </si>
  <si>
    <t>Lindsay &amp; Kath Barton</t>
  </si>
  <si>
    <t>0437 171 455</t>
  </si>
  <si>
    <t>22/03/2024</t>
  </si>
  <si>
    <t>3 Huntingdon Court</t>
  </si>
  <si>
    <t>Drouin</t>
  </si>
  <si>
    <t>01.08.2024</t>
  </si>
  <si>
    <t>Ryan Vassallo</t>
  </si>
  <si>
    <t>0417 098 181</t>
  </si>
  <si>
    <t>21 Crimmins Way</t>
  </si>
  <si>
    <t>payment made</t>
  </si>
  <si>
    <t>25.07.2024</t>
  </si>
  <si>
    <t>Phil Healy</t>
  </si>
  <si>
    <t>0458 527 958</t>
  </si>
  <si>
    <t>304 Inverness Court</t>
  </si>
  <si>
    <t>02.08.2024</t>
  </si>
  <si>
    <t>OB Certificate</t>
  </si>
  <si>
    <t>15.12.2024</t>
  </si>
  <si>
    <t>David Ralton</t>
  </si>
  <si>
    <t>0408 691 281</t>
  </si>
  <si>
    <t>92-94 Sailors Gully Road</t>
  </si>
  <si>
    <t>08.08.2024</t>
  </si>
  <si>
    <t>22.02.2024</t>
  </si>
  <si>
    <t>06.08.2024</t>
  </si>
  <si>
    <t>Ian Chard</t>
  </si>
  <si>
    <t>0438 135 819</t>
  </si>
  <si>
    <t>4 Maria Crescent Packenham</t>
  </si>
  <si>
    <t>packenham</t>
  </si>
  <si>
    <t>12.08.2024</t>
  </si>
  <si>
    <t>followed up convayencer enquiry</t>
  </si>
  <si>
    <t>Charlie Burn</t>
  </si>
  <si>
    <t>0403 782 531</t>
  </si>
  <si>
    <t>19 Franklin Street</t>
  </si>
  <si>
    <t>Maddingley</t>
  </si>
  <si>
    <t>MOORABOOL</t>
  </si>
  <si>
    <t>14.08.2024</t>
  </si>
  <si>
    <t>Owner builder cert? RBP?</t>
  </si>
  <si>
    <t>23.01.2024</t>
  </si>
  <si>
    <t>04.03.2024</t>
  </si>
  <si>
    <t>Rhys Stone</t>
  </si>
  <si>
    <t>0407 795 097</t>
  </si>
  <si>
    <t>46 Andrews Avenue</t>
  </si>
  <si>
    <t>Reservoir</t>
  </si>
  <si>
    <t>28.08.2024</t>
  </si>
  <si>
    <t>follow up</t>
  </si>
  <si>
    <t>Rod Raines</t>
  </si>
  <si>
    <t>0414 655 575</t>
  </si>
  <si>
    <t>12 North Mountain Road</t>
  </si>
  <si>
    <t>03.09.2024</t>
  </si>
  <si>
    <t>A.Buller Contract.Insurance</t>
  </si>
  <si>
    <t>20.07.2024</t>
  </si>
  <si>
    <t>Mike's Earthmoving pty. ltd.</t>
  </si>
  <si>
    <t>0411 601 891</t>
  </si>
  <si>
    <t>70 Malcolm Road</t>
  </si>
  <si>
    <t>Little River</t>
  </si>
  <si>
    <t>05.09.2024</t>
  </si>
  <si>
    <t>21.06.2024 on hold - customer deaths in family</t>
  </si>
  <si>
    <t>Steve Hill</t>
  </si>
  <si>
    <t>5 San Remo Crescent</t>
  </si>
  <si>
    <t>Sunsept Strip</t>
  </si>
  <si>
    <t>06.09.2024</t>
  </si>
  <si>
    <t>owner builder cert</t>
  </si>
  <si>
    <t>Ron Steen</t>
  </si>
  <si>
    <t>5432 6050</t>
  </si>
  <si>
    <t>29.07.2024</t>
  </si>
  <si>
    <t>18-20 Hervey Street, Elmore VIC 3558</t>
  </si>
  <si>
    <t>30.07.2024</t>
  </si>
  <si>
    <t>Dyson Lawrence &amp; Candice Jackson</t>
  </si>
  <si>
    <t>0476 633 645</t>
  </si>
  <si>
    <t>89 Panton Street</t>
  </si>
  <si>
    <t>12.09.2024</t>
  </si>
  <si>
    <t>Michael Brozic</t>
  </si>
  <si>
    <t>0413 464 543</t>
  </si>
  <si>
    <t>39 Walnut Street,</t>
  </si>
  <si>
    <t>Whittlesea</t>
  </si>
  <si>
    <t>13.09.2024</t>
  </si>
  <si>
    <t>RFI actioned</t>
  </si>
  <si>
    <t>John Davy</t>
  </si>
  <si>
    <t>0429 350 696</t>
  </si>
  <si>
    <t>21/02/2024</t>
  </si>
  <si>
    <t>14 McKendry Street</t>
  </si>
  <si>
    <t>Mt Alexander shire recipt</t>
  </si>
  <si>
    <t>04.04.2024</t>
  </si>
  <si>
    <t>Jack Chaplin</t>
  </si>
  <si>
    <t>0431 092 199</t>
  </si>
  <si>
    <t>9 Powells Avenue</t>
  </si>
  <si>
    <t>17.09.2024</t>
  </si>
  <si>
    <t>boe paid</t>
  </si>
  <si>
    <t>Grant Nel</t>
  </si>
  <si>
    <t>0426 100 941</t>
  </si>
  <si>
    <t>08.12.2023</t>
  </si>
  <si>
    <t>23 Hopkins Street</t>
  </si>
  <si>
    <t>Birregurra</t>
  </si>
  <si>
    <t>18.09.2024</t>
  </si>
  <si>
    <t>Planning permit amendment</t>
  </si>
  <si>
    <t>Pas Martino</t>
  </si>
  <si>
    <t>0412 149 600</t>
  </si>
  <si>
    <t>7 Prentice Street, Rushworth VIC 3612</t>
  </si>
  <si>
    <t>Rushworth</t>
  </si>
  <si>
    <t>ON HOLD - can follow up monthly</t>
  </si>
  <si>
    <t>15/07/2024</t>
  </si>
  <si>
    <t>Geoff Kearton</t>
  </si>
  <si>
    <t xml:space="preserve">0429 121 756 </t>
  </si>
  <si>
    <t>14/08/2024</t>
  </si>
  <si>
    <t>6 Denovan St</t>
  </si>
  <si>
    <t>24.09.2024</t>
  </si>
  <si>
    <t>20.08.2024</t>
  </si>
  <si>
    <t>Murphy Watt</t>
  </si>
  <si>
    <t>0411 250 147</t>
  </si>
  <si>
    <t>35 Taylors Lane</t>
  </si>
  <si>
    <t>25.09.2024</t>
  </si>
  <si>
    <t>followed up with owner RE: advertising</t>
  </si>
  <si>
    <t>22.05.2024</t>
  </si>
  <si>
    <t>BPA0188</t>
  </si>
  <si>
    <t>Brett Sharpe &amp; Kylie McIntyre</t>
  </si>
  <si>
    <t>0400 396 961</t>
  </si>
  <si>
    <t>44 Janelle Drive</t>
  </si>
  <si>
    <t>29.09.2024</t>
  </si>
  <si>
    <t>Glen &amp; Diane Robinson</t>
  </si>
  <si>
    <t>0409 930 986</t>
  </si>
  <si>
    <t>28 Cowper Street</t>
  </si>
  <si>
    <t>02.10.2024</t>
  </si>
  <si>
    <t>pending owner response</t>
  </si>
  <si>
    <t>Ross Failla</t>
  </si>
  <si>
    <t>0407 116 073</t>
  </si>
  <si>
    <t>27.08.2024</t>
  </si>
  <si>
    <t>134 Eastbourne Road</t>
  </si>
  <si>
    <t>Rosebud</t>
  </si>
  <si>
    <t>Mornington Peninsula</t>
  </si>
  <si>
    <t>04.10.2024</t>
  </si>
  <si>
    <t>19.08.2024</t>
  </si>
  <si>
    <t>Richie Nightingale</t>
  </si>
  <si>
    <t xml:space="preserve">0407 170 981 </t>
  </si>
  <si>
    <t xml:space="preserve"> 2 Peake Ct</t>
  </si>
  <si>
    <t>On hold until he gets back to us</t>
  </si>
  <si>
    <t>05.08.2024</t>
  </si>
  <si>
    <t>Monica Smyrek</t>
  </si>
  <si>
    <t>0407 490 011</t>
  </si>
  <si>
    <t>239 Blackhill road</t>
  </si>
  <si>
    <t>21.08.2024</t>
  </si>
  <si>
    <t>Danny Davies</t>
  </si>
  <si>
    <t>0419 996 190</t>
  </si>
  <si>
    <t>30 Postema Drive</t>
  </si>
  <si>
    <t>Point Cook</t>
  </si>
  <si>
    <t>RC submitted</t>
  </si>
  <si>
    <t>11.07.2024</t>
  </si>
  <si>
    <t>Adrian Lazzaro</t>
  </si>
  <si>
    <t>0419 988 513</t>
  </si>
  <si>
    <t>188 Maroondah Highway</t>
  </si>
  <si>
    <t>Croydon</t>
  </si>
  <si>
    <t>Maroondah</t>
  </si>
  <si>
    <t>11.10.2024</t>
  </si>
  <si>
    <t>pending RFI</t>
  </si>
  <si>
    <t>31.05.2024</t>
  </si>
  <si>
    <t>Tim Robins</t>
  </si>
  <si>
    <t>0411 746 991</t>
  </si>
  <si>
    <t>728 Gillies Road</t>
  </si>
  <si>
    <t>Girgarre</t>
  </si>
  <si>
    <t>15.10.2024</t>
  </si>
  <si>
    <t>site plan confirmation</t>
  </si>
  <si>
    <t>07.08.2024</t>
  </si>
  <si>
    <t>Dane O'neil</t>
  </si>
  <si>
    <t>0439 406 305</t>
  </si>
  <si>
    <t>309 Murray River Road</t>
  </si>
  <si>
    <t>Talgarna</t>
  </si>
  <si>
    <t>Towong Shire</t>
  </si>
  <si>
    <t>TBC</t>
  </si>
  <si>
    <t>Pete &amp; Tara Hulcoop</t>
  </si>
  <si>
    <t>0438 615 550</t>
  </si>
  <si>
    <t>30.08.2024</t>
  </si>
  <si>
    <t>11 Frankston Street</t>
  </si>
  <si>
    <t>18.10.2024</t>
  </si>
  <si>
    <t>Michael Robinson</t>
  </si>
  <si>
    <t>0405 536 992</t>
  </si>
  <si>
    <t>24 Clow Avenue</t>
  </si>
  <si>
    <t>Upper Ferntree Gully</t>
  </si>
  <si>
    <t>Knox</t>
  </si>
  <si>
    <t>25.10.2024</t>
  </si>
  <si>
    <t>Sam Engellenner</t>
  </si>
  <si>
    <t>0452 029 290</t>
  </si>
  <si>
    <t>15/04/2024</t>
  </si>
  <si>
    <t>40 Pulford Crescent</t>
  </si>
  <si>
    <t>Mill Park</t>
  </si>
  <si>
    <t>04.11.2024</t>
  </si>
  <si>
    <t>planning submitted</t>
  </si>
  <si>
    <t>Scott Macleod</t>
  </si>
  <si>
    <t>0402 331 246</t>
  </si>
  <si>
    <t>138 Coopers Road</t>
  </si>
  <si>
    <t>Harcourt North</t>
  </si>
  <si>
    <t>payment follow up</t>
  </si>
  <si>
    <t>Liam Farrell</t>
  </si>
  <si>
    <t>0413 624 666</t>
  </si>
  <si>
    <t>18/01/2024</t>
  </si>
  <si>
    <t>Piantas Lane</t>
  </si>
  <si>
    <t>Concongella</t>
  </si>
  <si>
    <t>ContractInsurance</t>
  </si>
  <si>
    <t>Joseph Arbaci</t>
  </si>
  <si>
    <t>0418 347 440</t>
  </si>
  <si>
    <t>8 Howitt Court</t>
  </si>
  <si>
    <t>Werribee</t>
  </si>
  <si>
    <t>other</t>
  </si>
  <si>
    <t>08.11.2024</t>
  </si>
  <si>
    <t>John Maher</t>
  </si>
  <si>
    <t>20.10.2024</t>
  </si>
  <si>
    <t>83 Smith Street</t>
  </si>
  <si>
    <t>Mudroom</t>
  </si>
  <si>
    <t>13.11.2024</t>
  </si>
  <si>
    <t>Caleb Argus</t>
  </si>
  <si>
    <t>0448 530 499</t>
  </si>
  <si>
    <t>29.10.2024</t>
  </si>
  <si>
    <t>15 Antrim St</t>
  </si>
  <si>
    <t>05.11.2024</t>
  </si>
  <si>
    <t>Alkira Grazules</t>
  </si>
  <si>
    <t>0427 404 048</t>
  </si>
  <si>
    <t>03.10.2024</t>
  </si>
  <si>
    <t>5 Fairfield Boulevard</t>
  </si>
  <si>
    <t>14.11.2024</t>
  </si>
  <si>
    <t>Daniel Garrard</t>
  </si>
  <si>
    <t>0477 008 047</t>
  </si>
  <si>
    <t>15 Spinwing Terrace</t>
  </si>
  <si>
    <t>16.11.2024</t>
  </si>
  <si>
    <t>12.11.2024</t>
  </si>
  <si>
    <t>John &amp; Gail White</t>
  </si>
  <si>
    <t>0427 081 380</t>
  </si>
  <si>
    <t>4 Unitt Street</t>
  </si>
  <si>
    <t>Kyabram</t>
  </si>
  <si>
    <t>19.11.2024</t>
  </si>
  <si>
    <t>Called - discussed boundary realignment</t>
  </si>
  <si>
    <t>08.07.2024</t>
  </si>
  <si>
    <t>23.08.2024</t>
  </si>
  <si>
    <t>Mark Jones</t>
  </si>
  <si>
    <t>0408 568 397</t>
  </si>
  <si>
    <t>29 Rupert Street</t>
  </si>
  <si>
    <t>20.11.2024</t>
  </si>
  <si>
    <t>Rod Mackintosh</t>
  </si>
  <si>
    <t>0418 547 684</t>
  </si>
  <si>
    <t>34 Barkly Street</t>
  </si>
  <si>
    <t>Central goldfields</t>
  </si>
  <si>
    <t>02.09.2024</t>
  </si>
  <si>
    <t>Michael Bulmer</t>
  </si>
  <si>
    <t>0427 669 888</t>
  </si>
  <si>
    <t>1 Shackell Street</t>
  </si>
  <si>
    <t>CAMPASPE</t>
  </si>
  <si>
    <t>22.11.2024</t>
  </si>
  <si>
    <t>31.07.2024</t>
  </si>
  <si>
    <t>23.10.2024</t>
  </si>
  <si>
    <t>Clayton Schloss</t>
  </si>
  <si>
    <t>0415 625 588</t>
  </si>
  <si>
    <t>115 Dairy Flat Road</t>
  </si>
  <si>
    <t>Agyle</t>
  </si>
  <si>
    <t>followed up planning payment</t>
  </si>
  <si>
    <t>Scott Burchett</t>
  </si>
  <si>
    <t>0421 385 568</t>
  </si>
  <si>
    <t>07.09.2024</t>
  </si>
  <si>
    <t>195 Holdsworth Road</t>
  </si>
  <si>
    <t>25.11.2024</t>
  </si>
  <si>
    <t>07.11.2024</t>
  </si>
  <si>
    <t>Darren Adams</t>
  </si>
  <si>
    <t>0401 132 115</t>
  </si>
  <si>
    <t>12 Kallay Drive</t>
  </si>
  <si>
    <t>Pioneer Bay</t>
  </si>
  <si>
    <t>28.11.2024</t>
  </si>
  <si>
    <t>08.10.2024</t>
  </si>
  <si>
    <t>Shayne Norton</t>
  </si>
  <si>
    <t>0424 044 797</t>
  </si>
  <si>
    <t>7.11.24</t>
  </si>
  <si>
    <t>3 Mammone Ct</t>
  </si>
  <si>
    <t>Orrvale</t>
  </si>
  <si>
    <t>29.11.2024</t>
  </si>
  <si>
    <t>Trish Surplice</t>
  </si>
  <si>
    <t>0413 247 117</t>
  </si>
  <si>
    <t>351 Pethericks Road</t>
  </si>
  <si>
    <t>Garage &amp; Shelter</t>
  </si>
  <si>
    <t>02.12.2024</t>
  </si>
  <si>
    <t>14.10.2024</t>
  </si>
  <si>
    <t>Graeme Bryar</t>
  </si>
  <si>
    <t>0438 556 599</t>
  </si>
  <si>
    <t>486 Eickerts Lane</t>
  </si>
  <si>
    <t>Redcastle</t>
  </si>
  <si>
    <t>04.12.2024</t>
  </si>
  <si>
    <t>19.07.2024</t>
  </si>
  <si>
    <t>Bill Sanson</t>
  </si>
  <si>
    <t>0417 389 951</t>
  </si>
  <si>
    <t>31.10.2024</t>
  </si>
  <si>
    <t>239 Turners Road</t>
  </si>
  <si>
    <t>Chris White</t>
  </si>
  <si>
    <t>0407 533 778</t>
  </si>
  <si>
    <t>54 Vaughan Springs Road</t>
  </si>
  <si>
    <t>Farm Shed</t>
  </si>
  <si>
    <t>09.12.2024</t>
  </si>
  <si>
    <t>pending response from builder</t>
  </si>
  <si>
    <t>Michael Griffin</t>
  </si>
  <si>
    <t>38 Anne Court</t>
  </si>
  <si>
    <t>Smythes Creek</t>
  </si>
  <si>
    <t>12.12.2024</t>
  </si>
  <si>
    <t>Ken Burgess</t>
  </si>
  <si>
    <t>3 Monash Street</t>
  </si>
  <si>
    <t>18.12.2024</t>
  </si>
  <si>
    <t>29.102.2024</t>
  </si>
  <si>
    <t>BPA0122</t>
  </si>
  <si>
    <t>Matthew Hobson</t>
  </si>
  <si>
    <t>0439 317 329</t>
  </si>
  <si>
    <t>27/03/2024</t>
  </si>
  <si>
    <t>400 Bull Swamp Road</t>
  </si>
  <si>
    <t>Bona Vista</t>
  </si>
  <si>
    <t>20.12.2024</t>
  </si>
  <si>
    <t>Sent information to go into planning</t>
  </si>
  <si>
    <t>09.07.2024</t>
  </si>
  <si>
    <t>Andrew Price</t>
  </si>
  <si>
    <t>0477 030 421</t>
  </si>
  <si>
    <t>16 Wallaby Avenue</t>
  </si>
  <si>
    <t>Kerrie Dorian</t>
  </si>
  <si>
    <t>0425 122 454</t>
  </si>
  <si>
    <t>24 Machine Street</t>
  </si>
  <si>
    <t>13.12.2024</t>
  </si>
  <si>
    <t>Scott Aldridge</t>
  </si>
  <si>
    <t>0432 907 711</t>
  </si>
  <si>
    <t>9.12.24</t>
  </si>
  <si>
    <t xml:space="preserve">38 Murphy St </t>
  </si>
  <si>
    <t>Stephen Trickey</t>
  </si>
  <si>
    <t>0427 678 406</t>
  </si>
  <si>
    <t>1161 Strathfieldsaye Road</t>
  </si>
  <si>
    <t>22.01.2025</t>
  </si>
  <si>
    <t>23.01.2025</t>
  </si>
  <si>
    <t>9 Vermont Road</t>
  </si>
  <si>
    <t>Smythesdale</t>
  </si>
  <si>
    <t>24.01.2025</t>
  </si>
  <si>
    <t>Rohan Burgess</t>
  </si>
  <si>
    <t>0438 333 213</t>
  </si>
  <si>
    <t>4.12.24</t>
  </si>
  <si>
    <t>17 Whittakers Lane</t>
  </si>
  <si>
    <t>Riddells Creek</t>
  </si>
  <si>
    <t>Michael Leonard</t>
  </si>
  <si>
    <t>0438 519 471</t>
  </si>
  <si>
    <t>50 Donaldson Road</t>
  </si>
  <si>
    <t>Byrneside</t>
  </si>
  <si>
    <t>02.02.2025</t>
  </si>
  <si>
    <t>owner builder/rbp</t>
  </si>
  <si>
    <t>07.06.2025</t>
  </si>
  <si>
    <t>20.06.2024</t>
  </si>
  <si>
    <t>Jacob Dickason</t>
  </si>
  <si>
    <t>0409 405 678</t>
  </si>
  <si>
    <t>2 Alana Ct</t>
  </si>
  <si>
    <t>03.02.2025</t>
  </si>
  <si>
    <t>Troy Lister</t>
  </si>
  <si>
    <t>0405 258 741</t>
  </si>
  <si>
    <t>13.08.2024</t>
  </si>
  <si>
    <t>135 Wallan Heights Road</t>
  </si>
  <si>
    <t>07.02.2025</t>
  </si>
  <si>
    <t>14.01.2025</t>
  </si>
  <si>
    <t>William Jacobson</t>
  </si>
  <si>
    <t>0455 544 449</t>
  </si>
  <si>
    <t>18 Comans Way</t>
  </si>
  <si>
    <t>Moe</t>
  </si>
  <si>
    <t>12.02.2025</t>
  </si>
  <si>
    <t>pending forms</t>
  </si>
  <si>
    <t>Brian Moyle</t>
  </si>
  <si>
    <t>0407 515 880</t>
  </si>
  <si>
    <t>3.12.24</t>
  </si>
  <si>
    <t>40 Newton St</t>
  </si>
  <si>
    <t>Goldfields</t>
  </si>
  <si>
    <t>02.12.2025</t>
  </si>
  <si>
    <t>11.12.2024</t>
  </si>
  <si>
    <t>Jamie Astell</t>
  </si>
  <si>
    <t>0403 647 953</t>
  </si>
  <si>
    <t>111 Sandy Creek Road</t>
  </si>
  <si>
    <t>13.02.2025</t>
  </si>
  <si>
    <t>17.10.2025</t>
  </si>
  <si>
    <t>Gareth Hames</t>
  </si>
  <si>
    <t>0410 704 800</t>
  </si>
  <si>
    <t>2 Derek Drive</t>
  </si>
  <si>
    <t>Garage Verandah</t>
  </si>
  <si>
    <t>20.02.2025</t>
  </si>
  <si>
    <t>Planning moving</t>
  </si>
  <si>
    <t>02.01.2024</t>
  </si>
  <si>
    <t>Malcolm Purcell</t>
  </si>
  <si>
    <t>0422 135 406</t>
  </si>
  <si>
    <t>05.12.24</t>
  </si>
  <si>
    <t>49 Dunstan St</t>
  </si>
  <si>
    <t>Sailors Gully</t>
  </si>
  <si>
    <t>Shane Walten</t>
  </si>
  <si>
    <t>0419 141 431</t>
  </si>
  <si>
    <t>1 Albert St</t>
  </si>
  <si>
    <t>21.02.2025</t>
  </si>
  <si>
    <t>Andrew De Havilland</t>
  </si>
  <si>
    <t>0449 136 766</t>
  </si>
  <si>
    <t>13.12.24</t>
  </si>
  <si>
    <t>10 Donegall St</t>
  </si>
  <si>
    <t>Caleb Smith</t>
  </si>
  <si>
    <t>0428 553 817</t>
  </si>
  <si>
    <t>21.10.2024</t>
  </si>
  <si>
    <t>479 Hattens Lane</t>
  </si>
  <si>
    <t>Durham Ox</t>
  </si>
  <si>
    <t>02.03.2025</t>
  </si>
  <si>
    <t>Stephen Todd</t>
  </si>
  <si>
    <t>0402 826 345</t>
  </si>
  <si>
    <t>6 Gray Street</t>
  </si>
  <si>
    <t>Donald</t>
  </si>
  <si>
    <t>15.11.2024</t>
  </si>
  <si>
    <t>Simon Patterson</t>
  </si>
  <si>
    <t>0447 319 378</t>
  </si>
  <si>
    <t>14.02.25</t>
  </si>
  <si>
    <t>16 Fairway Drive</t>
  </si>
  <si>
    <t>Waldara</t>
  </si>
  <si>
    <t>Brooke &amp; Greg Toole</t>
  </si>
  <si>
    <t>0408 337 546</t>
  </si>
  <si>
    <t>2 Masters Place</t>
  </si>
  <si>
    <t>St Leonard</t>
  </si>
  <si>
    <t>04.03.2025</t>
  </si>
  <si>
    <t>22.02.2025</t>
  </si>
  <si>
    <t>Phillip Murrell</t>
  </si>
  <si>
    <t>0432 184 923</t>
  </si>
  <si>
    <t>12.2.25</t>
  </si>
  <si>
    <t>105 McManus Rd</t>
  </si>
  <si>
    <t xml:space="preserve">Barkers Creek </t>
  </si>
  <si>
    <t>Skillion Carport</t>
  </si>
  <si>
    <t>06.03.2025</t>
  </si>
  <si>
    <t>11.02.2025</t>
  </si>
  <si>
    <t>05.03.2025</t>
  </si>
  <si>
    <t>Coen Schilling</t>
  </si>
  <si>
    <t>0448 347 077</t>
  </si>
  <si>
    <t>10 Gordon Ct</t>
  </si>
  <si>
    <t xml:space="preserve">Strathfieldsaye </t>
  </si>
  <si>
    <t>06.03.25</t>
  </si>
  <si>
    <t>Selina Jordan</t>
  </si>
  <si>
    <t>0438 514 261</t>
  </si>
  <si>
    <t>04.11.24</t>
  </si>
  <si>
    <t>99 Soden Rd</t>
  </si>
  <si>
    <t>Bangholme</t>
  </si>
  <si>
    <t>11.03.2025</t>
  </si>
  <si>
    <t>07.03.2025</t>
  </si>
  <si>
    <t>David Townsend</t>
  </si>
  <si>
    <t>0427 288 667</t>
  </si>
  <si>
    <t>01.11.24</t>
  </si>
  <si>
    <t>39 Oakridge Drive</t>
  </si>
  <si>
    <t>14.03.2025</t>
  </si>
  <si>
    <t>Paedan Monaghan</t>
  </si>
  <si>
    <t>0488 954 350</t>
  </si>
  <si>
    <t>01.10.2024</t>
  </si>
  <si>
    <t>592 San Mateo Avenue</t>
  </si>
  <si>
    <t>18.03.2025</t>
  </si>
  <si>
    <t>Linto Thomas</t>
  </si>
  <si>
    <t>0401 397 129</t>
  </si>
  <si>
    <t>102 Havlin St</t>
  </si>
  <si>
    <t>Garage + Carport</t>
  </si>
  <si>
    <t>19.03.2025</t>
  </si>
  <si>
    <t>Peter Caelli</t>
  </si>
  <si>
    <t>0409 828 942</t>
  </si>
  <si>
    <t>19.02.25</t>
  </si>
  <si>
    <t>1832 Strathfieldsaye Rd</t>
  </si>
  <si>
    <t>Eppalock</t>
  </si>
  <si>
    <t>20.03.2025</t>
  </si>
  <si>
    <t>10.02.2025</t>
  </si>
  <si>
    <t>Pete NicOla</t>
  </si>
  <si>
    <t>0418 134 174</t>
  </si>
  <si>
    <t>398 Old Melbourne Road, Traralgon VIC 3844</t>
  </si>
  <si>
    <t>LATROBE</t>
  </si>
  <si>
    <t>Thani Phenghakij</t>
  </si>
  <si>
    <t>0457 110 450</t>
  </si>
  <si>
    <t>12.03.25</t>
  </si>
  <si>
    <t>105 Dawson St</t>
  </si>
  <si>
    <t>Sale</t>
  </si>
  <si>
    <t>01.04.2025</t>
  </si>
  <si>
    <t>Ashley McClelland</t>
  </si>
  <si>
    <t>0408 760 837</t>
  </si>
  <si>
    <t>19.12.24</t>
  </si>
  <si>
    <t>20 Hopkins Way</t>
  </si>
  <si>
    <t>27.02.2025</t>
  </si>
  <si>
    <t>Chris Best</t>
  </si>
  <si>
    <t>0409 374 539</t>
  </si>
  <si>
    <t>1060 Mount Terrick Rd</t>
  </si>
  <si>
    <t>18.02.2025</t>
  </si>
  <si>
    <t>Doug Greenwell</t>
  </si>
  <si>
    <t>0438 418 088</t>
  </si>
  <si>
    <t>121 McIvor Forest Drive</t>
  </si>
  <si>
    <t>Carport &amp; Shed</t>
  </si>
  <si>
    <t>Doug Anderson</t>
  </si>
  <si>
    <t>0419 521 572</t>
  </si>
  <si>
    <t>20.09.2024</t>
  </si>
  <si>
    <t>16 Howell Crescent</t>
  </si>
  <si>
    <t>Francis Leech</t>
  </si>
  <si>
    <t>10.02.25</t>
  </si>
  <si>
    <t>237 Aspinall St</t>
  </si>
  <si>
    <t>07.04.2025</t>
  </si>
  <si>
    <t>Denise Holusa</t>
  </si>
  <si>
    <t>0400 200 695</t>
  </si>
  <si>
    <t>31.01.25</t>
  </si>
  <si>
    <t>8 Ryans Lane</t>
  </si>
  <si>
    <t>17.02.2025</t>
  </si>
  <si>
    <t>Scott Bowley</t>
  </si>
  <si>
    <t>0432 014 761</t>
  </si>
  <si>
    <t>122 Peg Leg Rd</t>
  </si>
  <si>
    <t>11.04.2025</t>
  </si>
  <si>
    <t>Kane Solomano</t>
  </si>
  <si>
    <t>0431 081 776</t>
  </si>
  <si>
    <t>17 Miles Street</t>
  </si>
  <si>
    <t>MACEDON</t>
  </si>
  <si>
    <t>Talked on phone RE plumber</t>
  </si>
  <si>
    <t>Khush Brar</t>
  </si>
  <si>
    <t>0430 434 853</t>
  </si>
  <si>
    <t>04.03.25</t>
  </si>
  <si>
    <t>9 Dalrymple Blvd</t>
  </si>
  <si>
    <t>Ron Perryman</t>
  </si>
  <si>
    <t>0429 503 635</t>
  </si>
  <si>
    <t>13 Whiting Court</t>
  </si>
  <si>
    <t>Skye</t>
  </si>
  <si>
    <t>23.04.2025</t>
  </si>
  <si>
    <t>10.04.2025</t>
  </si>
  <si>
    <t>Ryan Peterson</t>
  </si>
  <si>
    <t>0477 227 772</t>
  </si>
  <si>
    <t xml:space="preserve">43 McCarthy St </t>
  </si>
  <si>
    <t>Churchill</t>
  </si>
  <si>
    <t>Richard Jones</t>
  </si>
  <si>
    <t>0418 566 186</t>
  </si>
  <si>
    <t>41 Campbell Rd</t>
  </si>
  <si>
    <t>0427 035 452</t>
  </si>
  <si>
    <t>14.04.25</t>
  </si>
  <si>
    <t>15 Cabernet Drive</t>
  </si>
  <si>
    <t>24.04.2025</t>
  </si>
  <si>
    <t>14.04.2025</t>
  </si>
  <si>
    <t>James Borg</t>
  </si>
  <si>
    <t>0402 367 668</t>
  </si>
  <si>
    <t>81 Wendouree Drive</t>
  </si>
  <si>
    <t>24.03.25</t>
  </si>
  <si>
    <t>Adam Schapp</t>
  </si>
  <si>
    <t>0418 311 779</t>
  </si>
  <si>
    <t>24 Sherman Drive</t>
  </si>
  <si>
    <t>Bayswater North</t>
  </si>
  <si>
    <t>01.05.2025</t>
  </si>
  <si>
    <t>14.02.2025</t>
  </si>
  <si>
    <t>Vito Defazio</t>
  </si>
  <si>
    <t>0412 489 995</t>
  </si>
  <si>
    <t>8 Valley Rd</t>
  </si>
  <si>
    <t>04.02.2025</t>
  </si>
  <si>
    <t>Brendan Jansen</t>
  </si>
  <si>
    <t>0438 068 409</t>
  </si>
  <si>
    <t>20.01.25</t>
  </si>
  <si>
    <t>3060 Midland Hwy</t>
  </si>
  <si>
    <t>Nalinga</t>
  </si>
  <si>
    <t>02.05.2025</t>
  </si>
  <si>
    <t>Peter &amp; Debbie Bennetts</t>
  </si>
  <si>
    <t>0432 073 522</t>
  </si>
  <si>
    <t>111 Wilcar Drive</t>
  </si>
  <si>
    <t>Waubra</t>
  </si>
  <si>
    <t>Adrian Martin</t>
  </si>
  <si>
    <t>0466 533 600</t>
  </si>
  <si>
    <t>5 Camelia Grove</t>
  </si>
  <si>
    <t>3.152 x 6.0 x 2.4</t>
  </si>
  <si>
    <t>Kingston</t>
  </si>
  <si>
    <t>Richard Thomson</t>
  </si>
  <si>
    <t>0429 026 555</t>
  </si>
  <si>
    <t xml:space="preserve">6 Elvin St </t>
  </si>
  <si>
    <t>Tungamah</t>
  </si>
  <si>
    <t>12.05.2025</t>
  </si>
  <si>
    <t>08.02.2025</t>
  </si>
  <si>
    <t xml:space="preserve">Sam Buckell </t>
  </si>
  <si>
    <t>0490 110 293</t>
  </si>
  <si>
    <t>12 Grattan Street</t>
  </si>
  <si>
    <t>14.05.2025</t>
  </si>
  <si>
    <t>Richard Burge</t>
  </si>
  <si>
    <t>0448 323 142</t>
  </si>
  <si>
    <t>53 Lowry St</t>
  </si>
  <si>
    <t>16.05.2025</t>
  </si>
  <si>
    <t>Bernadette Wood</t>
  </si>
  <si>
    <t>0421 747 680</t>
  </si>
  <si>
    <t>16.12.24</t>
  </si>
  <si>
    <t>Lot 27-28 Weeah St</t>
  </si>
  <si>
    <t>Debbie Lee</t>
  </si>
  <si>
    <t>0427 423 020</t>
  </si>
  <si>
    <t>26 Waratah St</t>
  </si>
  <si>
    <t>06.05.2025</t>
  </si>
  <si>
    <t>Sam Attard</t>
  </si>
  <si>
    <t>0414 752 625</t>
  </si>
  <si>
    <t xml:space="preserve">369 Myrniong Korobeit Rd </t>
  </si>
  <si>
    <t>Korobeit</t>
  </si>
  <si>
    <t>05.05.2025</t>
  </si>
  <si>
    <t>Hudson Kerr</t>
  </si>
  <si>
    <t>0431 068 536</t>
  </si>
  <si>
    <t>34 Wells Rd</t>
  </si>
  <si>
    <t>Mirboo North</t>
  </si>
  <si>
    <t>19.05.2025</t>
  </si>
  <si>
    <t>Juliette Kabalan</t>
  </si>
  <si>
    <t>0451 105 115</t>
  </si>
  <si>
    <t>23 McConnell Drive</t>
  </si>
  <si>
    <t>20.05.2025</t>
  </si>
  <si>
    <t>David Spooner</t>
  </si>
  <si>
    <t>0435 939 209</t>
  </si>
  <si>
    <t>41 Shinners Close</t>
  </si>
  <si>
    <t>26.02.2025</t>
  </si>
  <si>
    <t>Zac Parker</t>
  </si>
  <si>
    <t>0488 570 151</t>
  </si>
  <si>
    <t xml:space="preserve">25 Tennyson St </t>
  </si>
  <si>
    <t>Gordon</t>
  </si>
  <si>
    <t>22.05.2025</t>
  </si>
  <si>
    <t>Stephen Roach</t>
  </si>
  <si>
    <t>0418 148 535</t>
  </si>
  <si>
    <t xml:space="preserve">35 Babbidges Lane </t>
  </si>
  <si>
    <t>MIA MIA</t>
  </si>
  <si>
    <t>Ryan Hartland</t>
  </si>
  <si>
    <t>0439 398 062</t>
  </si>
  <si>
    <t>14 Charolais Ct</t>
  </si>
  <si>
    <t>28.05.2025</t>
  </si>
  <si>
    <t>17.03.2025</t>
  </si>
  <si>
    <t>Ian Mickelburough</t>
  </si>
  <si>
    <t>0418 509 309</t>
  </si>
  <si>
    <t xml:space="preserve">4 Alec St </t>
  </si>
  <si>
    <t xml:space="preserve">Tecoma </t>
  </si>
  <si>
    <t>27.05.2025</t>
  </si>
  <si>
    <t>Frank Polack</t>
  </si>
  <si>
    <t>0447 607 497</t>
  </si>
  <si>
    <t>24 Reverie St</t>
  </si>
  <si>
    <t>02.06.2025</t>
  </si>
  <si>
    <t>Jamie Turner</t>
  </si>
  <si>
    <t>0429 128 316</t>
  </si>
  <si>
    <t>28.01.25</t>
  </si>
  <si>
    <t>17 Robinia Ct</t>
  </si>
  <si>
    <t>12.06.2025</t>
  </si>
  <si>
    <t>Dean How</t>
  </si>
  <si>
    <t>0408 867 262</t>
  </si>
  <si>
    <t>125-127 Jamieson St</t>
  </si>
  <si>
    <t>Corinella</t>
  </si>
  <si>
    <t>Ellen Gorman</t>
  </si>
  <si>
    <t>0433 074 441</t>
  </si>
  <si>
    <t>9 Laurie St</t>
  </si>
  <si>
    <t>04.06.2025</t>
  </si>
  <si>
    <t>Keith Stammers</t>
  </si>
  <si>
    <t>0408 111 818</t>
  </si>
  <si>
    <t>27 Wrixon St</t>
  </si>
  <si>
    <t>21.03.2025</t>
  </si>
  <si>
    <t>Russ Anthony Tremayne</t>
  </si>
  <si>
    <t>0409 960 135</t>
  </si>
  <si>
    <t>17 Grevillea Road</t>
  </si>
  <si>
    <t>Naomi MacGregor</t>
  </si>
  <si>
    <t>0438 381 816</t>
  </si>
  <si>
    <t>50 Rankin Street</t>
  </si>
  <si>
    <t>Mainedanple</t>
  </si>
  <si>
    <t>18.06.2025</t>
  </si>
  <si>
    <t>Thu Mwe Htoo Kunoo</t>
  </si>
  <si>
    <t>0403 616 824</t>
  </si>
  <si>
    <t>50 Londonderry Way</t>
  </si>
  <si>
    <t>23.06.2025</t>
  </si>
  <si>
    <t>30.01.2025</t>
  </si>
  <si>
    <t>Chris Dixon</t>
  </si>
  <si>
    <t>0418 535 484</t>
  </si>
  <si>
    <t>26.02.24</t>
  </si>
  <si>
    <t>17-25 Kooroui Ct</t>
  </si>
  <si>
    <t>Drysdale</t>
  </si>
  <si>
    <t>27.06.2025</t>
  </si>
  <si>
    <t>Colin Elvey</t>
  </si>
  <si>
    <t xml:space="preserve">0400 721 583 </t>
  </si>
  <si>
    <t>23 Greig St</t>
  </si>
  <si>
    <t>Korong Vale</t>
  </si>
  <si>
    <t>02.07.2025</t>
  </si>
  <si>
    <t>Shaun King</t>
  </si>
  <si>
    <t>0448 672 043</t>
  </si>
  <si>
    <t>16 Lukin Crescent</t>
  </si>
  <si>
    <t>02.04.2025</t>
  </si>
  <si>
    <t>Lou Nicolazzo</t>
  </si>
  <si>
    <t>0400 076 736</t>
  </si>
  <si>
    <t>2.12.24</t>
  </si>
  <si>
    <t>9 Yarramundi St</t>
  </si>
  <si>
    <t>Clifton Springs</t>
  </si>
  <si>
    <t>7.0 x 7.0 x 3.2</t>
  </si>
  <si>
    <t>04.07.2025</t>
  </si>
  <si>
    <t>Jamie Glass</t>
  </si>
  <si>
    <t>0427 385 717</t>
  </si>
  <si>
    <t>19.06.2025</t>
  </si>
  <si>
    <t>9 Broadway</t>
  </si>
  <si>
    <t>09.07.2025</t>
  </si>
  <si>
    <t>Sam Mackay (James Walters)</t>
  </si>
  <si>
    <t>0419 101 663</t>
  </si>
  <si>
    <t>21 Dawson Drive</t>
  </si>
  <si>
    <t>14.07.2025</t>
  </si>
  <si>
    <t>07.07.2025</t>
  </si>
  <si>
    <t>Josh Maloney</t>
  </si>
  <si>
    <t>0408 547 649</t>
  </si>
  <si>
    <t>119 McPhillips Road</t>
  </si>
  <si>
    <t>16.04.2025</t>
  </si>
  <si>
    <t>Elidon Gejubini</t>
  </si>
  <si>
    <t>0406 135 544</t>
  </si>
  <si>
    <t>16.06.2025</t>
  </si>
  <si>
    <t>34 Arunga Ave</t>
  </si>
  <si>
    <t xml:space="preserve">Norlane </t>
  </si>
  <si>
    <t>David Waters</t>
  </si>
  <si>
    <t>0400 034 903</t>
  </si>
  <si>
    <t xml:space="preserve">98 Taylors Lane </t>
  </si>
  <si>
    <t>Dean Leech</t>
  </si>
  <si>
    <t>0407 550 576</t>
  </si>
  <si>
    <t>15 Donegall St</t>
  </si>
  <si>
    <t>23.07.2025</t>
  </si>
  <si>
    <t>Michael Warwick</t>
  </si>
  <si>
    <t>0412 691 423</t>
  </si>
  <si>
    <t>55 Lakeside Drive</t>
  </si>
  <si>
    <t>Chesney Vale</t>
  </si>
  <si>
    <t>24.07.2025</t>
  </si>
  <si>
    <t>Chad Peterkin</t>
  </si>
  <si>
    <t>0477 142 367</t>
  </si>
  <si>
    <t>05.06.2025</t>
  </si>
  <si>
    <t>3 Heather Ave</t>
  </si>
  <si>
    <t>Mount Clear</t>
  </si>
  <si>
    <t>26.06.2025</t>
  </si>
  <si>
    <t>Alan Giachin</t>
  </si>
  <si>
    <t>0450 066 775</t>
  </si>
  <si>
    <t>37 Grantham Tce</t>
  </si>
  <si>
    <t>25.06.2025</t>
  </si>
  <si>
    <t>Jared Ridsdale</t>
  </si>
  <si>
    <t>0437 450 532</t>
  </si>
  <si>
    <t>4.02.25</t>
  </si>
  <si>
    <t>57 Diamond Gully Rd</t>
  </si>
  <si>
    <t>Mark and Marley Wood</t>
  </si>
  <si>
    <t>0425 832 555</t>
  </si>
  <si>
    <t>352 High Street Golden Square VIC 3555</t>
  </si>
  <si>
    <t>Paul Hawthorne</t>
  </si>
  <si>
    <t>0416 097 376</t>
  </si>
  <si>
    <t>3 Shearer Ct</t>
  </si>
  <si>
    <t>15.11.2025</t>
  </si>
  <si>
    <t>0400 028 200</t>
  </si>
  <si>
    <t>35A Haddon Common Rd</t>
  </si>
  <si>
    <t>31.07.2025</t>
  </si>
  <si>
    <t>Jack McKernan</t>
  </si>
  <si>
    <t>0487 151 718</t>
  </si>
  <si>
    <t>31.03.2025</t>
  </si>
  <si>
    <t>19 Templeton St</t>
  </si>
  <si>
    <t>Euroa</t>
  </si>
  <si>
    <t>05.08.2025</t>
  </si>
  <si>
    <t>04.08.2025</t>
  </si>
  <si>
    <t>Stephen Ellis</t>
  </si>
  <si>
    <t>0409 426 004</t>
  </si>
  <si>
    <t>13.1.25</t>
  </si>
  <si>
    <t>10 Edwin St</t>
  </si>
  <si>
    <t>Nathan Trist</t>
  </si>
  <si>
    <t>0417 019 301</t>
  </si>
  <si>
    <t>129 Caldwell St</t>
  </si>
  <si>
    <t>Kelcie McDowell</t>
  </si>
  <si>
    <t>0493 672 964</t>
  </si>
  <si>
    <t>3 Eden Way</t>
  </si>
  <si>
    <t>Corey Gove</t>
  </si>
  <si>
    <t>0427 902 151</t>
  </si>
  <si>
    <t>865 Brentwood West Rd</t>
  </si>
  <si>
    <t>Beulah</t>
  </si>
  <si>
    <t>Yarriambiack</t>
  </si>
  <si>
    <t>Mark Taggart</t>
  </si>
  <si>
    <t>24 Mackin Rd</t>
  </si>
  <si>
    <t>21.05.2025</t>
  </si>
  <si>
    <t>Adam Holland</t>
  </si>
  <si>
    <t>0408 356 031</t>
  </si>
  <si>
    <t>7 Willman Court</t>
  </si>
  <si>
    <t>White hills</t>
  </si>
  <si>
    <t>Jade Damm</t>
  </si>
  <si>
    <t>0456 423 714</t>
  </si>
  <si>
    <t>8 Milford Grove</t>
  </si>
  <si>
    <t>Wangaratta</t>
  </si>
  <si>
    <t>Justin Robinson</t>
  </si>
  <si>
    <t>0448 508 021</t>
  </si>
  <si>
    <t>4 Scoreby Street</t>
  </si>
  <si>
    <t>Kerang</t>
  </si>
  <si>
    <t>CANCELLED</t>
  </si>
  <si>
    <t>Payment - cancel imminent</t>
  </si>
  <si>
    <t>CANCELED</t>
  </si>
  <si>
    <t>Daniel Groves</t>
  </si>
  <si>
    <t>0419 586 123</t>
  </si>
  <si>
    <t>747 Bradford Road</t>
  </si>
  <si>
    <t>followed up refund</t>
  </si>
  <si>
    <t>Josh Costin</t>
  </si>
  <si>
    <t>13/03/2024</t>
  </si>
  <si>
    <t>783 Emu Creek Road</t>
  </si>
  <si>
    <t>Emu Creek</t>
  </si>
  <si>
    <t>followed up planning</t>
  </si>
  <si>
    <t>Bruce Lourie</t>
  </si>
  <si>
    <t>0429 361 387</t>
  </si>
  <si>
    <t>12.04.2024</t>
  </si>
  <si>
    <t>25 Janelle Drive</t>
  </si>
  <si>
    <t>Marcus Austin</t>
  </si>
  <si>
    <t>0400 571 424</t>
  </si>
  <si>
    <t>16.07.2024</t>
  </si>
  <si>
    <t>14 Dorsett Drive</t>
  </si>
  <si>
    <t>5.0 * 7.0 * 3.0</t>
  </si>
  <si>
    <t>Melissa Turville</t>
  </si>
  <si>
    <t>0417 096 317</t>
  </si>
  <si>
    <t>250 Dromana Parade</t>
  </si>
  <si>
    <t>Safety Beach</t>
  </si>
  <si>
    <t>3.0 x 8.0 x 2.4</t>
  </si>
  <si>
    <t>Jacquelyn Woods</t>
  </si>
  <si>
    <t>19 Wesley Street, Yarram VIC 3971</t>
  </si>
  <si>
    <t>Yarram</t>
  </si>
  <si>
    <t>Owner providing comps for attached frame</t>
  </si>
  <si>
    <t>Allan Sharp</t>
  </si>
  <si>
    <t>0407 777 997</t>
  </si>
  <si>
    <t>144 Michie Street</t>
  </si>
  <si>
    <t>Pending invoice</t>
  </si>
  <si>
    <t>Erkan Yildirim</t>
  </si>
  <si>
    <t>0419 282 823</t>
  </si>
  <si>
    <t>CA1 Holts Flat Trak</t>
  </si>
  <si>
    <t>Skillion Garage + Verandah</t>
  </si>
  <si>
    <t>Les Thornton</t>
  </si>
  <si>
    <t>0427 350 026</t>
  </si>
  <si>
    <t xml:space="preserve">188 Mansfield Road, </t>
  </si>
  <si>
    <t>Horfield</t>
  </si>
  <si>
    <t>Karl Dawson</t>
  </si>
  <si>
    <t>0412 279 862</t>
  </si>
  <si>
    <t>19.12.2024</t>
  </si>
  <si>
    <t>35 Halpern Road</t>
  </si>
  <si>
    <t>Woodend</t>
  </si>
  <si>
    <t>Neils Peter Neilson</t>
  </si>
  <si>
    <t>0412 438 973</t>
  </si>
  <si>
    <t>4 Hodgins Crescent</t>
  </si>
  <si>
    <t>Frankston North</t>
  </si>
  <si>
    <t>FRANKSTON</t>
  </si>
  <si>
    <t xml:space="preserve">Russell Barratt </t>
  </si>
  <si>
    <t>0438 942 705</t>
  </si>
  <si>
    <t>3.0 x 6.0 x 2.7</t>
  </si>
  <si>
    <t xml:space="preserve">CANCELLED </t>
  </si>
  <si>
    <t xml:space="preserve">refunded </t>
  </si>
  <si>
    <t>Sally McKimm</t>
  </si>
  <si>
    <t>0498 061 087</t>
  </si>
  <si>
    <t>SIGN</t>
  </si>
  <si>
    <t>Eureka Garages</t>
  </si>
  <si>
    <t>5448 3099</t>
  </si>
  <si>
    <t>303 Midland Highway</t>
  </si>
  <si>
    <t>Sign</t>
  </si>
  <si>
    <t>Chris Motta</t>
  </si>
  <si>
    <t>0466 344 818</t>
  </si>
  <si>
    <t>29 Mollison Street</t>
  </si>
  <si>
    <t>Pyalong</t>
  </si>
  <si>
    <t>Darron Priest</t>
  </si>
  <si>
    <t>0450 781 648</t>
  </si>
  <si>
    <t>46 Englishs Road</t>
  </si>
  <si>
    <t>gOORNONG</t>
  </si>
  <si>
    <t>Danny Holmes &amp; Melanie O'Neill</t>
  </si>
  <si>
    <t>0412 077 261</t>
  </si>
  <si>
    <t>3/237 Glen Eira Road</t>
  </si>
  <si>
    <t>Caufield North</t>
  </si>
  <si>
    <t>58 Southey Street</t>
  </si>
  <si>
    <t>Carports</t>
  </si>
  <si>
    <t>Jerome Leonard</t>
  </si>
  <si>
    <t>0413 648 252</t>
  </si>
  <si>
    <t>178 Sailors Gully Road</t>
  </si>
  <si>
    <t>Owner Builder Certificate</t>
  </si>
  <si>
    <t>18.08.2023</t>
  </si>
  <si>
    <t>BPA0083</t>
  </si>
  <si>
    <t>Rhys Dempster</t>
  </si>
  <si>
    <t>0447 016 066</t>
  </si>
  <si>
    <t>58 Hyperno Way</t>
  </si>
  <si>
    <t>Mount Martha</t>
  </si>
  <si>
    <t>Pending REG 80</t>
  </si>
  <si>
    <t>BPA0113</t>
  </si>
  <si>
    <t>Jeremy Kuriakose</t>
  </si>
  <si>
    <t>0490 040 032</t>
  </si>
  <si>
    <t>33 Botanical Drive</t>
  </si>
  <si>
    <t>Carport with Front Fascia</t>
  </si>
  <si>
    <t>Request for enjineering &amp; certificate of complience</t>
  </si>
  <si>
    <t>Vito Bertuna</t>
  </si>
  <si>
    <t>0411 729 232</t>
  </si>
  <si>
    <t>5 Spring Street</t>
  </si>
  <si>
    <t>Bulleen</t>
  </si>
  <si>
    <t>Manningham</t>
  </si>
  <si>
    <t>owner builder cert.</t>
  </si>
  <si>
    <t>14 Counsel Road</t>
  </si>
  <si>
    <t>Build over RFI actioned</t>
  </si>
  <si>
    <t>Peter &amp; Debbie Minchin</t>
  </si>
  <si>
    <t>0488 691 328</t>
  </si>
  <si>
    <t>15 Venture Court</t>
  </si>
  <si>
    <t>Nathalia</t>
  </si>
  <si>
    <t>Casey Rentsch</t>
  </si>
  <si>
    <t>0439 390 905</t>
  </si>
  <si>
    <t>18 Tucker Street</t>
  </si>
  <si>
    <t>Lachie Searle</t>
  </si>
  <si>
    <t>0404 857 296</t>
  </si>
  <si>
    <t>34 Reillys Rd</t>
  </si>
  <si>
    <t>Bagshot</t>
  </si>
  <si>
    <t>Belinda Wallace</t>
  </si>
  <si>
    <t>0437 487 003</t>
  </si>
  <si>
    <t>2 Saxby Drive</t>
  </si>
  <si>
    <t>Malcolm Leech</t>
  </si>
  <si>
    <t>0417 544 372</t>
  </si>
  <si>
    <t>24/07/2024</t>
  </si>
  <si>
    <t xml:space="preserve"> 2670 Pyrenees Hwy</t>
  </si>
  <si>
    <t>Sue Tabone</t>
  </si>
  <si>
    <t>0448 842 662</t>
  </si>
  <si>
    <t>17 Royal Pines Drive</t>
  </si>
  <si>
    <t>Michael Fereday</t>
  </si>
  <si>
    <t>0403 013 915</t>
  </si>
  <si>
    <t>20 Mollison St</t>
  </si>
  <si>
    <t>Shane Camilleri</t>
  </si>
  <si>
    <t xml:space="preserve">45 Outlook Ride </t>
  </si>
  <si>
    <t>on hold</t>
  </si>
  <si>
    <t>Ben Luck</t>
  </si>
  <si>
    <t>0417 661 991</t>
  </si>
  <si>
    <t>12 Thompson Crescent</t>
  </si>
  <si>
    <t>Kennington VIC 3550</t>
  </si>
  <si>
    <t>Ivan Petkov</t>
  </si>
  <si>
    <t>0428 359 214</t>
  </si>
  <si>
    <t>211-241 mt aitken road</t>
  </si>
  <si>
    <t>Diggers Rest</t>
  </si>
  <si>
    <t>ON HOLD 03.06.2024</t>
  </si>
  <si>
    <t>Brayden Wilkinson</t>
  </si>
  <si>
    <t>0400 095 774</t>
  </si>
  <si>
    <t>76 Renie Street</t>
  </si>
  <si>
    <t>ON HOLD - FINANCE ISSUES</t>
  </si>
  <si>
    <t>John Hanrahan</t>
  </si>
  <si>
    <t>0418 292 994</t>
  </si>
  <si>
    <t>81-89 Buckley Grove</t>
  </si>
  <si>
    <t>Moolap</t>
  </si>
  <si>
    <t>ON HOLD</t>
  </si>
  <si>
    <t>Planning lapsed</t>
  </si>
  <si>
    <t>Name</t>
  </si>
  <si>
    <t>Invoice</t>
  </si>
  <si>
    <t>Client
Paid</t>
  </si>
  <si>
    <t>Holding</t>
  </si>
  <si>
    <t>GST</t>
  </si>
  <si>
    <t>Earnings</t>
  </si>
  <si>
    <t>BPA
Paid</t>
  </si>
  <si>
    <t>HOLDING SUMMARY</t>
  </si>
  <si>
    <t>EARNINGS SUMMARY</t>
  </si>
  <si>
    <t>Susan Seip</t>
  </si>
  <si>
    <t>Dennis Padich</t>
  </si>
  <si>
    <t>Aurora Construction</t>
  </si>
  <si>
    <t>61 Minton St</t>
  </si>
  <si>
    <t>2/19 Fitzgerald St</t>
  </si>
  <si>
    <t>Jesse Morton</t>
  </si>
  <si>
    <t>18 Kooroork Lane</t>
  </si>
  <si>
    <t>Steven Sell</t>
  </si>
  <si>
    <t>190 Townsend Rd</t>
  </si>
  <si>
    <t>Lachlan Erwin</t>
  </si>
  <si>
    <t>Steve Lange</t>
  </si>
  <si>
    <t>Reg Roordink</t>
  </si>
  <si>
    <t>21 Tait Dr</t>
  </si>
  <si>
    <t>80 Greene St</t>
  </si>
  <si>
    <t>Krystal Oates</t>
  </si>
  <si>
    <t>27 Silky Oak Ave</t>
  </si>
  <si>
    <t>Dwayne Chamings</t>
  </si>
  <si>
    <t>15 Woodbridge St</t>
  </si>
  <si>
    <t>Jarryd Bowler</t>
  </si>
  <si>
    <t>46 Janiesleigh Rd</t>
  </si>
  <si>
    <t>Peter Rallis</t>
  </si>
  <si>
    <t>14-16 Hills Meade Dr</t>
  </si>
  <si>
    <t>Natalie Crichton</t>
  </si>
  <si>
    <t>10 Becky Lane</t>
  </si>
  <si>
    <t>2 Raglan Ct</t>
  </si>
  <si>
    <t>Angrez Singh Padda</t>
  </si>
  <si>
    <t>123 Emerald Monbulk Rd</t>
  </si>
  <si>
    <t>97 Flora Ave</t>
  </si>
  <si>
    <t>Matt Szendrodi</t>
  </si>
  <si>
    <t>10 Phillis St</t>
  </si>
  <si>
    <t>Justin Arrowsmith</t>
  </si>
  <si>
    <t>5 Gunyah Flat Rd</t>
  </si>
  <si>
    <t>35 Haddon Common Rd</t>
  </si>
  <si>
    <t xml:space="preserve">3 Campaspe Mews </t>
  </si>
  <si>
    <t>42 Island View Drive</t>
  </si>
  <si>
    <t>ACC - Colin Hogan</t>
  </si>
  <si>
    <t>Donald YMCA</t>
  </si>
  <si>
    <t>10 Houston St</t>
  </si>
  <si>
    <t>35 Elain-Egerton Rd</t>
  </si>
  <si>
    <t>16 Boston Blvd</t>
  </si>
  <si>
    <t>Ray DeMack</t>
  </si>
  <si>
    <t>8 Drake St</t>
  </si>
  <si>
    <t>Terry Barry</t>
  </si>
  <si>
    <t>344 Mathiskies Tank Rd</t>
  </si>
  <si>
    <t>13 Marngo Ct</t>
  </si>
  <si>
    <t>Wendy Igoe</t>
  </si>
  <si>
    <t>1 Ironstone Rd</t>
  </si>
  <si>
    <t>2/4 Down St</t>
  </si>
  <si>
    <t>23-45 Fenton St</t>
  </si>
  <si>
    <t>Joshua Amos</t>
  </si>
  <si>
    <t>205 Hirds Rd</t>
  </si>
  <si>
    <t>Mario Di Gregorio</t>
  </si>
  <si>
    <t>73 Grange Dr</t>
  </si>
  <si>
    <t>Haydon Cornish</t>
  </si>
  <si>
    <t>23 Autumn Gully Rd</t>
  </si>
  <si>
    <t>5 Ponsford Place</t>
  </si>
  <si>
    <t>Peter Ripinski</t>
  </si>
  <si>
    <t>15 Raymond St</t>
  </si>
  <si>
    <t>Jack Bade</t>
  </si>
  <si>
    <t>133 La-cote Rd</t>
  </si>
  <si>
    <t xml:space="preserve">Peter Ripinskis </t>
  </si>
  <si>
    <t>43101 Main Street</t>
  </si>
  <si>
    <t>557 Munro StockdaleRd</t>
  </si>
  <si>
    <t>Jozsef Kozkr</t>
  </si>
  <si>
    <t>12 Blecher Way</t>
  </si>
  <si>
    <t>Brad O-Riley</t>
  </si>
  <si>
    <t>Upper Goulburn Rd</t>
  </si>
  <si>
    <t>Helen Russell</t>
  </si>
  <si>
    <t>Peter Owen</t>
  </si>
  <si>
    <t>Llot 70 Buckleys Lane</t>
  </si>
  <si>
    <t>Matthew Kellet</t>
  </si>
  <si>
    <t>11A Muskell Lane</t>
  </si>
  <si>
    <t>PN Services - Jack Bade</t>
  </si>
  <si>
    <t>88 Kallista-Emerald Rd</t>
  </si>
  <si>
    <t>129 Wiegards Rd</t>
  </si>
  <si>
    <t>Brad O'Reilly</t>
  </si>
  <si>
    <t>Lo1 No 35 Upper Goulburn Rd</t>
  </si>
  <si>
    <t>Mick Sevdalis</t>
  </si>
  <si>
    <t>Mark Wood</t>
  </si>
  <si>
    <t>352 High St</t>
  </si>
  <si>
    <t>Peter Nicola</t>
  </si>
  <si>
    <t>Lot 3 Ham St</t>
  </si>
  <si>
    <t xml:space="preserve">54 The Elms Boulevard </t>
  </si>
  <si>
    <t>668 Goulburn Valley Highway</t>
  </si>
  <si>
    <t>557 Munro Stockdale Rd</t>
  </si>
  <si>
    <t>Aaron Jenson &amp; Janae Hendy</t>
  </si>
  <si>
    <t>Rodney Ardley</t>
  </si>
  <si>
    <t>19 Irontree Close</t>
  </si>
  <si>
    <t>Neville Field</t>
  </si>
  <si>
    <t>6 Holden St</t>
  </si>
  <si>
    <t>Janae Hendy</t>
  </si>
  <si>
    <t>35 Halpern Rd</t>
  </si>
  <si>
    <t xml:space="preserve">Hugh Alexander </t>
  </si>
  <si>
    <t>34 Houston St</t>
  </si>
  <si>
    <t>Jo Millard</t>
  </si>
  <si>
    <t xml:space="preserve">25 Reef St </t>
  </si>
  <si>
    <t>152 Axe Creek Rd</t>
  </si>
  <si>
    <t>293 O'Neill Rd</t>
  </si>
  <si>
    <t xml:space="preserve">293 O'Neill Rd </t>
  </si>
  <si>
    <t>293 O'Neil Rd</t>
  </si>
  <si>
    <t>26 Clarke St</t>
  </si>
  <si>
    <t>715 Robinsons Rd</t>
  </si>
  <si>
    <t>Michael Corcorran</t>
  </si>
  <si>
    <t>Ray Demack</t>
  </si>
  <si>
    <t>Monique Vojtek</t>
  </si>
  <si>
    <t>Dalbir Sings</t>
  </si>
  <si>
    <t>5 Ponsford Place, Sunbury Vic 3429</t>
  </si>
  <si>
    <t>Tony Van De Hoef</t>
  </si>
  <si>
    <t>Daldir Singhs</t>
  </si>
  <si>
    <t>Matt Jones</t>
  </si>
  <si>
    <t>25 Magellan Crst</t>
  </si>
  <si>
    <t>Nigel Mckenzie</t>
  </si>
  <si>
    <t>10 Banksia court</t>
  </si>
  <si>
    <t>19 Wesley Street</t>
  </si>
  <si>
    <t>BPA0089</t>
  </si>
  <si>
    <t>BPA0087</t>
  </si>
  <si>
    <t>BPA0068</t>
  </si>
  <si>
    <t>Accomplish projects</t>
  </si>
  <si>
    <t>REF No.</t>
  </si>
  <si>
    <t>Client</t>
  </si>
  <si>
    <t>Street No.</t>
  </si>
  <si>
    <t>Street</t>
  </si>
  <si>
    <t>Town</t>
  </si>
  <si>
    <t>Post code</t>
  </si>
  <si>
    <t>Status</t>
  </si>
  <si>
    <t>BPA0311</t>
  </si>
  <si>
    <t>3</t>
  </si>
  <si>
    <t>Campaspe Mews</t>
  </si>
  <si>
    <t>Permitting</t>
  </si>
  <si>
    <t>BPA0299</t>
  </si>
  <si>
    <t>129</t>
  </si>
  <si>
    <t>Weigards road</t>
  </si>
  <si>
    <t>BPA0226</t>
  </si>
  <si>
    <t>Houston Street</t>
  </si>
  <si>
    <t>Planning permit by</t>
  </si>
  <si>
    <t>App date</t>
  </si>
  <si>
    <t>Council</t>
  </si>
  <si>
    <t>Other permit by</t>
  </si>
  <si>
    <t>R &amp; C required</t>
  </si>
  <si>
    <t>Other Issued</t>
  </si>
  <si>
    <t>Planning issued</t>
  </si>
  <si>
    <t>Building Permit Issued</t>
  </si>
  <si>
    <t xml:space="preserve">GK </t>
  </si>
  <si>
    <t>GK</t>
  </si>
  <si>
    <t>ABC</t>
  </si>
  <si>
    <t>Will</t>
  </si>
  <si>
    <t>JOB NO.</t>
  </si>
  <si>
    <t>NAME</t>
  </si>
  <si>
    <t>Width</t>
  </si>
  <si>
    <t>BUSINESS NAME</t>
  </si>
  <si>
    <t>Permeability/Coverage</t>
  </si>
  <si>
    <t>Length</t>
  </si>
  <si>
    <t>ADDRESS</t>
  </si>
  <si>
    <t>Proposed size</t>
  </si>
  <si>
    <t>PHONE NO.</t>
  </si>
  <si>
    <t>Existing (small) Sheds/Pergolas/Eaves</t>
  </si>
  <si>
    <t>EMAIL ADDRESS</t>
  </si>
  <si>
    <t>Existing Dwelling/Large Sheds</t>
  </si>
  <si>
    <t>POSTAL ADDRESS</t>
  </si>
  <si>
    <t>Concrete</t>
  </si>
  <si>
    <t>Site</t>
  </si>
  <si>
    <t>Building Coverage:</t>
  </si>
  <si>
    <t>Permeable Surfaces:</t>
  </si>
  <si>
    <t>Garden Area</t>
  </si>
  <si>
    <t>Permit Details:</t>
  </si>
  <si>
    <t>Nature of Work</t>
  </si>
  <si>
    <t>Construction of a</t>
  </si>
  <si>
    <t>Estimated Cost</t>
  </si>
  <si>
    <t>Allotment of area m²</t>
  </si>
  <si>
    <t>New floor area m²</t>
  </si>
  <si>
    <t>Number of Storeys</t>
  </si>
  <si>
    <t>No. Existing Dwellings</t>
  </si>
  <si>
    <t>Builder</t>
  </si>
  <si>
    <t>Property Info</t>
  </si>
  <si>
    <t>Elevations</t>
  </si>
  <si>
    <t>Title</t>
  </si>
  <si>
    <t>Sewer plan</t>
  </si>
  <si>
    <t>POS</t>
  </si>
  <si>
    <t>Appointment Form</t>
  </si>
  <si>
    <t>Covenants</t>
  </si>
  <si>
    <t>Site plan</t>
  </si>
  <si>
    <t>Apex</t>
  </si>
  <si>
    <t>Sewer Details</t>
  </si>
  <si>
    <t>Compass</t>
  </si>
  <si>
    <t>SW/DP</t>
  </si>
  <si>
    <t>Existing Developments</t>
  </si>
  <si>
    <t>Check block info</t>
  </si>
  <si>
    <t>Street Name</t>
  </si>
  <si>
    <t>Lot &amp; PS#</t>
  </si>
  <si>
    <t>Check doors &amp; Windows</t>
  </si>
  <si>
    <t>Property Dimensions</t>
  </si>
  <si>
    <t>Shed Size</t>
  </si>
  <si>
    <t>Confirm Cut/fill</t>
  </si>
  <si>
    <t>AHD's</t>
  </si>
  <si>
    <t>Permit Submitted</t>
  </si>
  <si>
    <t>Engineering Uploaded</t>
  </si>
  <si>
    <t>Contract Signed</t>
  </si>
  <si>
    <t>Approved</t>
  </si>
  <si>
    <t>Ensure Permit was paid</t>
  </si>
  <si>
    <t>Double check Builder &amp; Planning Permit # on Form 2</t>
  </si>
  <si>
    <t>Check Planning conditions &amp; BAL &amp; Soil Type</t>
  </si>
  <si>
    <t>Forward notice to Bryan &amp; James if required</t>
  </si>
  <si>
    <t>Forward to Owner, less applicant doc</t>
  </si>
  <si>
    <t>Update Financials &amp; Move over</t>
  </si>
  <si>
    <t>Move on server, emails &amp; Move copy of permit folder to B.S Server</t>
  </si>
  <si>
    <t>Print this history page, save in Folder, Delete from Register</t>
  </si>
  <si>
    <t>27 Silky Oak Ave, Wodonga VIC 3690</t>
  </si>
  <si>
    <t>krystal.oats@defencebank.com.au</t>
  </si>
  <si>
    <t>60 Bradman Blvd, Traralgon VIC 3844</t>
  </si>
  <si>
    <t>jennifer.pridgeon69@gmail.com</t>
  </si>
  <si>
    <t>OB</t>
  </si>
  <si>
    <t>14-16 Hillsmeade Drive, Narre Warren VIC 3805</t>
  </si>
  <si>
    <t>pjrallis1@gmail.com</t>
  </si>
  <si>
    <t>NO EMAIL</t>
  </si>
  <si>
    <t>40 Shady Gully Drive, Mallacoota VIC 3892</t>
  </si>
  <si>
    <t>unifab584@gmail.com</t>
  </si>
  <si>
    <t>315 Livingston Rd, Boolarra South</t>
  </si>
  <si>
    <t>lochiesonsitemechanical@gmail.com</t>
  </si>
  <si>
    <t xml:space="preserve">192 Morriss Rd, Warrnambool VIC </t>
  </si>
  <si>
    <t>champlange@hotmail.com</t>
  </si>
  <si>
    <t>264 Wilsons Rd, Haddon VIC 3351</t>
  </si>
  <si>
    <t>davidturnercarpentry@gmail.com</t>
  </si>
  <si>
    <t>21 Tait Drive, Creswick VIC 3363</t>
  </si>
  <si>
    <t>debdanton@hotmail.com</t>
  </si>
  <si>
    <t>25 McMillan St, Traralgon VIC 3844</t>
  </si>
  <si>
    <t>mightydoors@live.com.au</t>
  </si>
  <si>
    <t>10 Smith St, Horsham VIC 3400</t>
  </si>
  <si>
    <t>s.o.m@bigpond.com.au</t>
  </si>
  <si>
    <t xml:space="preserve">Delwyn Prakash </t>
  </si>
  <si>
    <t>9 Dunoon St, Mooroolbark VIC 3138</t>
  </si>
  <si>
    <t>delza8mr@gmail.com</t>
  </si>
  <si>
    <t>Kathry nDole &amp; Guido</t>
  </si>
  <si>
    <t>2 Argyll Drive, Junortoun VIC 3551</t>
  </si>
  <si>
    <t>kathryndole@live.com</t>
  </si>
  <si>
    <t>261 Bowles Rd, Longlea VIC 3551</t>
  </si>
  <si>
    <t>felixstroek@hotmail.com</t>
  </si>
  <si>
    <t xml:space="preserve">Tim Bertus </t>
  </si>
  <si>
    <t>8 Newry St, Watchem VIC 3482</t>
  </si>
  <si>
    <t>timothy.bertus@hotmail.com</t>
  </si>
  <si>
    <t>2 Julian Ct, Epsom VIC 3551</t>
  </si>
  <si>
    <t>tnlamb@bigpond.com</t>
  </si>
  <si>
    <t>Construction of a Garage</t>
  </si>
  <si>
    <t>single</t>
  </si>
  <si>
    <t>OB but Bryan construction</t>
  </si>
  <si>
    <t>37 Campbell St, Colac VIC 3250</t>
  </si>
  <si>
    <t>melcallahan21@gmail.com</t>
  </si>
  <si>
    <t>24 Agora Place, Junortoun VIC 3551</t>
  </si>
  <si>
    <t>Kyle</t>
  </si>
  <si>
    <t>5 Eastern Lane, Maiden Gully VIC 3551</t>
  </si>
  <si>
    <t>ashcraig72@outlook.com</t>
  </si>
  <si>
    <t>30 Birdwood Avenue, Upwey VIC 3158</t>
  </si>
  <si>
    <t>james@femac.com.au</t>
  </si>
  <si>
    <t>10 Lawson Crescent, Warragul VIC 3820</t>
  </si>
  <si>
    <t>thomas.young5113@gmail.com</t>
  </si>
  <si>
    <t>10 Trevally Way, Tatura VIC 3616</t>
  </si>
  <si>
    <t>Construction of a Barn</t>
  </si>
  <si>
    <t>Kyle Chant</t>
  </si>
  <si>
    <t>43 Godfrey St, Wedderburn VIC 3518</t>
  </si>
  <si>
    <t>travkry@gmail.com</t>
  </si>
  <si>
    <t>15127 on footings</t>
  </si>
  <si>
    <t>160 Clintons Rd, Smiths Gully VIC 3760</t>
  </si>
  <si>
    <t>crspratling165@gmail.com</t>
  </si>
  <si>
    <t>15 Ballagh St, Elliminyt VIC 3250</t>
  </si>
  <si>
    <t>gonzo84@live.com.au</t>
  </si>
  <si>
    <t>302 High St, Golden Square VIC 3555</t>
  </si>
  <si>
    <t>elder054@gmail.com</t>
  </si>
  <si>
    <t>Construction of 2 garages</t>
  </si>
  <si>
    <t>8 Tarawera Rd, Doreen VIC 3754</t>
  </si>
  <si>
    <t>david.ramlu@bigpond.com</t>
  </si>
  <si>
    <t>65 Wombat Ave, Heathcote Junction VIC 3758</t>
  </si>
  <si>
    <t>bobimarkoski@live.com</t>
  </si>
  <si>
    <t>35 Elaine-Egerton Rd, Elaine VIC 3334</t>
  </si>
  <si>
    <t>xsep97@yahoo.com.au</t>
  </si>
  <si>
    <t>20 Triandra Ave, Romsey VIC 3434</t>
  </si>
  <si>
    <t>ivan.waight@bigpond.com</t>
  </si>
  <si>
    <t>920m²</t>
  </si>
  <si>
    <t>63m²</t>
  </si>
  <si>
    <t>BBB</t>
  </si>
  <si>
    <t>80 Greene St, Huntly VIC 3551</t>
  </si>
  <si>
    <t>shani2192@hotmail.com</t>
  </si>
  <si>
    <t>74.2m²</t>
  </si>
  <si>
    <t>ACC</t>
  </si>
  <si>
    <t>21 Evans Rd, Myers Flat VIC 3556</t>
  </si>
  <si>
    <t>bilmah@hotmail.com</t>
  </si>
  <si>
    <t>Construction of a Garaport</t>
  </si>
  <si>
    <t>29 Hannans Rd, Mandurang South VIC 3551</t>
  </si>
  <si>
    <t>colhoges01@gmail.com</t>
  </si>
  <si>
    <t>95m²</t>
  </si>
  <si>
    <t>70 Melaleuca Ave, Junortoun VIC 3551</t>
  </si>
  <si>
    <t>bbrooka@hotmail.com</t>
  </si>
  <si>
    <t>20235m²</t>
  </si>
  <si>
    <t>84m²</t>
  </si>
  <si>
    <t>OB - Confirmed email 11.07.25</t>
  </si>
  <si>
    <t>3 Acacia Ct, Bridgewater on Loddon</t>
  </si>
  <si>
    <t>0448 818 080  &lt;&lt;&lt;&lt; Prefers whatsapp due to poor reception at home</t>
  </si>
  <si>
    <t>marc@indrel.com.au</t>
  </si>
  <si>
    <t>144m²</t>
  </si>
  <si>
    <t>1 - permitted</t>
  </si>
  <si>
    <t>Permeability/coverage</t>
  </si>
  <si>
    <t>20 Broadbent Way, Pakenham VIC 3810</t>
  </si>
  <si>
    <t>jaydenversteegen@hotmail.com</t>
  </si>
  <si>
    <t>34 Wingrave Rd, Lockwood South VIC 3551</t>
  </si>
  <si>
    <t>no email</t>
  </si>
  <si>
    <t>344 Mathiskes Tank Rd, Culgoa VIC 3530</t>
  </si>
  <si>
    <t>mathisketank@activ8.net.au</t>
  </si>
  <si>
    <t>OB - Farm Shed</t>
  </si>
  <si>
    <t>14 Norwood Court, Hoppers Crossing VIC 3029</t>
  </si>
  <si>
    <t>reidb.15@hotmail.com</t>
  </si>
  <si>
    <t>24 Benton Rd, Healesville VIC 3777</t>
  </si>
  <si>
    <t>shaun.anderson@stardrilling.com.au</t>
  </si>
  <si>
    <t>94.5m²</t>
  </si>
  <si>
    <t>Existing Dwelling/LargeSheds</t>
  </si>
  <si>
    <t>20 Mollison St, Pyalong VIC 3521</t>
  </si>
  <si>
    <t>michael.fereday1987@gmail.com</t>
  </si>
  <si>
    <t>108m²</t>
  </si>
  <si>
    <t>rjt454@gmail.com</t>
  </si>
  <si>
    <t>42 Island Drive, Tyabb VIC 3913</t>
  </si>
  <si>
    <t>0403 277 177</t>
  </si>
  <si>
    <t>tom@chalmersconstructiongroup.com.au</t>
  </si>
  <si>
    <t>3 Campaspe Mews, Strathdale VIC 3550</t>
  </si>
  <si>
    <t>geoffbassler@gmail.com</t>
  </si>
  <si>
    <t>731m²</t>
  </si>
  <si>
    <t>35.0m²</t>
  </si>
  <si>
    <t>Kyle &amp; Sam</t>
  </si>
  <si>
    <t>2-4 Down St, Longwood VIC 3665</t>
  </si>
  <si>
    <t>0415 215 099</t>
  </si>
  <si>
    <t>jap01@bigpond.com</t>
  </si>
  <si>
    <t>6120m²</t>
  </si>
  <si>
    <t>368m²</t>
  </si>
  <si>
    <t>Double check Builder on Form 2</t>
  </si>
  <si>
    <t>Forward to Bryan if required</t>
  </si>
  <si>
    <t>Update financials &amp; Move over</t>
  </si>
  <si>
    <t>Print This history page, save in Folder, Delete from Register</t>
  </si>
  <si>
    <t>9 Clancy Lane, Myrtleford VIC 3737</t>
  </si>
  <si>
    <t>grimbo61@gmail.com</t>
  </si>
  <si>
    <t>1713m²</t>
  </si>
  <si>
    <t>133 La-Cote Road, Greendale VIC 3341</t>
  </si>
  <si>
    <t>tim.hudaverdi@education.vic.gov.au</t>
  </si>
  <si>
    <t>PN Services</t>
  </si>
  <si>
    <t>88 Kallista Emerald Rd, Kallista VIC 3791</t>
  </si>
  <si>
    <t>jack@pnservices.co</t>
  </si>
  <si>
    <t>180m²</t>
  </si>
  <si>
    <t>Engneering Uploaded</t>
  </si>
  <si>
    <t>Forward to Alex &amp; Bryan</t>
  </si>
  <si>
    <t>2-18 Main Street, Great Western VIC 3374</t>
  </si>
  <si>
    <t>towing@ozemail.com.au</t>
  </si>
  <si>
    <t>858 Yarragon South Rd, Yarragon South VIC 3832</t>
  </si>
  <si>
    <t>aftrophyindustries@hotmail.com</t>
  </si>
  <si>
    <t>Julie &amp; Peter Holzer</t>
  </si>
  <si>
    <t>129 Weigards Rd, Lockwood VIC 3551</t>
  </si>
  <si>
    <t>julieholzer64@gmail.com</t>
  </si>
  <si>
    <t>162m²</t>
  </si>
  <si>
    <t>Kyle at accomplish</t>
  </si>
  <si>
    <t>15 Courtney St, Yarrawonga VIC 3730</t>
  </si>
  <si>
    <t>fraser@bscgroup.au</t>
  </si>
  <si>
    <t>72m²</t>
  </si>
  <si>
    <t xml:space="preserve">USING ALPINE BUILDING SURVEYORS. NOT ABC!!!! </t>
  </si>
  <si>
    <t>3 Raglan Ct, Kurunjang VIC 3337</t>
  </si>
  <si>
    <t>anthonyfleming77@hotmail.com</t>
  </si>
  <si>
    <t>Construction of a Garage and Patio</t>
  </si>
  <si>
    <t>8 Milford Grove, Wangaratta VIC 3677</t>
  </si>
  <si>
    <t>jade.rhodes@hotmail.com</t>
  </si>
  <si>
    <t>850m²</t>
  </si>
  <si>
    <t>Looking for RBP</t>
  </si>
  <si>
    <t>Lot 70 Buckleys Lane, Huntly VIC 3551</t>
  </si>
  <si>
    <t>digshsv1967@gmail.com</t>
  </si>
  <si>
    <t>Lot 1 35 Upper Goulburn Rd, Tallarook VIC 3659</t>
  </si>
  <si>
    <t>bard@flexems.com.au</t>
  </si>
  <si>
    <t>13 Marngo Court, Kurunjang VIC 3337</t>
  </si>
  <si>
    <t>michaelsevdalis@hotmail.com</t>
  </si>
  <si>
    <t>11A Maskell Lane, Tatura VIC 3616</t>
  </si>
  <si>
    <t>ljcouston@gmail.com</t>
  </si>
  <si>
    <t>4000m²</t>
  </si>
  <si>
    <t>YMCA Kinder</t>
  </si>
  <si>
    <t>10 Houston Street, Donald VIC 3480</t>
  </si>
  <si>
    <t>donsteel@gjr.net.au</t>
  </si>
  <si>
    <t>Freestanding shed</t>
  </si>
  <si>
    <t>Single</t>
  </si>
  <si>
    <t>Donald Steel Metaland</t>
  </si>
  <si>
    <t>54 The Elms Boulevard, Kilmore VIC 3764</t>
  </si>
  <si>
    <t>troyando74@yahoo.com</t>
  </si>
  <si>
    <t xml:space="preserve">single </t>
  </si>
  <si>
    <t>843 Bendigo-Maryborough Rd, Lockwood VIC 3551</t>
  </si>
  <si>
    <t>catherinemary01@gmail.com</t>
  </si>
  <si>
    <t>90m²</t>
  </si>
  <si>
    <t>557 Munro-Stockdale Rd, Munro VIC 3862</t>
  </si>
  <si>
    <t>reubenw@fastmail.com</t>
  </si>
  <si>
    <t>13000m²</t>
  </si>
  <si>
    <t>Proposed</t>
  </si>
  <si>
    <t>Existing Buildings</t>
  </si>
  <si>
    <t>Will be RBP but not found one yet</t>
  </si>
  <si>
    <t>12 Belcher Way, Gisborne VIC 3437</t>
  </si>
  <si>
    <t>dirkblitz@hotmail.com</t>
  </si>
  <si>
    <t>28m²</t>
  </si>
  <si>
    <t>27 Wrixon St, Romsey VIC 3434</t>
  </si>
  <si>
    <t>stammerscarpentry@bigpond.com</t>
  </si>
  <si>
    <t>1 Ironstone Rd, Epsom VIC 3551</t>
  </si>
  <si>
    <t>croucherwendy@gmail.com</t>
  </si>
  <si>
    <t xml:space="preserve">Existing </t>
  </si>
  <si>
    <t>Coverage:</t>
  </si>
  <si>
    <t>72 Oscar Drive, Marong VIC 3515</t>
  </si>
  <si>
    <t>jordan_knight32@hotmail.com</t>
  </si>
  <si>
    <t>Jeffrey Bronsgeest</t>
  </si>
  <si>
    <t>7 Shirley Court, Huntly VIC 3551</t>
  </si>
  <si>
    <t>2fiftytransport@gmail.com</t>
  </si>
  <si>
    <t>668 Goulburn Valley Hwy, Thornton VIC 3712</t>
  </si>
  <si>
    <t>clancyselectrical@hotmail.com</t>
  </si>
  <si>
    <t>97 Flora Avenue, Mildura VIC 3500</t>
  </si>
  <si>
    <t>jjltcstevens@gmail.com</t>
  </si>
  <si>
    <t>4007m²</t>
  </si>
  <si>
    <t>360m²</t>
  </si>
  <si>
    <t>OB - White Card</t>
  </si>
  <si>
    <t>10 Kangaroo Run, Wallan VIC 3756</t>
  </si>
  <si>
    <t>j.hendy1983@gmail.com</t>
  </si>
  <si>
    <t>6216m²</t>
  </si>
  <si>
    <t>450m²</t>
  </si>
  <si>
    <t>Mark Holmes</t>
  </si>
  <si>
    <t>19 Irontree Close, Kangaroo Flat VIC 3555</t>
  </si>
  <si>
    <t>0431 284 608</t>
  </si>
  <si>
    <t>rards71@gmail.com</t>
  </si>
  <si>
    <t>200 Mount Pleasant Rd, Eltham VIC 3095</t>
  </si>
  <si>
    <t>lachlan.hume@gmail.com</t>
  </si>
  <si>
    <t>15 Casey Crescent, Broadford VIC 3658</t>
  </si>
  <si>
    <t>foxn22@y7mail.com</t>
  </si>
  <si>
    <t>10 Egan Ct, Darley VIC 3340</t>
  </si>
  <si>
    <t>stjepanmarinovic9@gmail.com</t>
  </si>
  <si>
    <t>Donne &amp; Bernard Tyquin</t>
  </si>
  <si>
    <t>22 Stockfeld St, Sunbury VIC 3429</t>
  </si>
  <si>
    <t>erniesexcavations@gmail.com</t>
  </si>
  <si>
    <t>Outbuilding</t>
  </si>
  <si>
    <t>4 only</t>
  </si>
  <si>
    <t>7 Saunders Rd, Cobaw VIC 3442</t>
  </si>
  <si>
    <t>kevinhooper@live.com.au</t>
  </si>
  <si>
    <t>Neville &amp; Heather Field</t>
  </si>
  <si>
    <t>6 Holden Street, Hamilton VIC 3300</t>
  </si>
  <si>
    <t>nfield3300@hotmail.com</t>
  </si>
  <si>
    <t>66 Simpsons Rd, Eaglehawk VIC 3556</t>
  </si>
  <si>
    <t>johnbarta.jb@gmail.com</t>
  </si>
  <si>
    <t>120m²</t>
  </si>
  <si>
    <t>11 Eden St, Footscray VIC 3011</t>
  </si>
  <si>
    <t>micparsons1@hotmail.com</t>
  </si>
  <si>
    <t>42m²</t>
  </si>
  <si>
    <t>12 Mayfair Drive, Benalla VIC 3672</t>
  </si>
  <si>
    <t>kersten.vogel1@gmail.com</t>
  </si>
  <si>
    <t>17 Royal Pines Drive, Drouin VIC 3810</t>
  </si>
  <si>
    <t>susan-kate@hotmail.com</t>
  </si>
  <si>
    <t>owner?</t>
  </si>
  <si>
    <t>P</t>
  </si>
  <si>
    <t>15 Victoria St, Tarnagulla VIC 3551</t>
  </si>
  <si>
    <t>admin@accomplishcc.com.au</t>
  </si>
  <si>
    <t>KYLE AND SAM</t>
  </si>
  <si>
    <t>152 Axe Creek Rd, Axe Creek VIC 3551</t>
  </si>
  <si>
    <t>hbc01@bigpond.net.au</t>
  </si>
  <si>
    <t>136.8m²</t>
  </si>
  <si>
    <t>25 Reef St, Maldon VIC 3463</t>
  </si>
  <si>
    <t>stephen.a.millard@outlook.com    jo-anne.millard@outlook.com</t>
  </si>
  <si>
    <t>Construction of a Carport</t>
  </si>
  <si>
    <t>48m²</t>
  </si>
  <si>
    <t>St Peters Primary School</t>
  </si>
  <si>
    <t>23-45 Fenton Street, Long Gully VIC 3550</t>
  </si>
  <si>
    <t>hannahdeon@gmail.com</t>
  </si>
  <si>
    <t>Freestanding shelter</t>
  </si>
  <si>
    <t>Owner?</t>
  </si>
  <si>
    <t>140 Binks Rd, Strathfieldsaye VIC 3551</t>
  </si>
  <si>
    <t>johnibrahim63@hotmail.com</t>
  </si>
  <si>
    <t>126m²</t>
  </si>
  <si>
    <t>Lot 5 Bridgewater-Maldon Rd, Newbridge VIC 3551</t>
  </si>
  <si>
    <t>smicko56@yahoo.com</t>
  </si>
  <si>
    <t>Construction of a House and Shed</t>
  </si>
  <si>
    <t xml:space="preserve">A LOT </t>
  </si>
  <si>
    <t>Sam and Kyle potentially</t>
  </si>
  <si>
    <t>293 O'Neil Rd, Beaconsfield</t>
  </si>
  <si>
    <t>daniel.orr.1993@hotmail.com</t>
  </si>
  <si>
    <t>34 Houston Street, Quarry Hill VIC 3550</t>
  </si>
  <si>
    <t>hughbert.skypig@hotmail.com</t>
  </si>
  <si>
    <t>Sam and Kyle - confirmed</t>
  </si>
  <si>
    <t>715 Robinsons  Road, Langwarrin 3910</t>
  </si>
  <si>
    <t>16 Boston Boulevard, Traralgon VIC 3844</t>
  </si>
  <si>
    <t>marksy14@hotmail.com</t>
  </si>
  <si>
    <t>26 Clarke Street, Crowlands VIC 3377</t>
  </si>
  <si>
    <t>iccoffeecart@gmail.com</t>
  </si>
  <si>
    <t>septic</t>
  </si>
  <si>
    <t>2 Timbertop Rise, Broadford VIC 3658</t>
  </si>
  <si>
    <t>lumsdens@live.com.au</t>
  </si>
  <si>
    <t>Owner Builder - confirmed</t>
  </si>
  <si>
    <t>septic?</t>
  </si>
  <si>
    <t>109 Caldwell Street, Heathcote VIC 3523</t>
  </si>
  <si>
    <t>8 Drake Street, Melmsbury VIC 3446</t>
  </si>
  <si>
    <t>ray.demack@gmail.com</t>
  </si>
  <si>
    <t>✅</t>
  </si>
  <si>
    <t>!</t>
  </si>
  <si>
    <t>29 Mollison Street, Pyalong VIC 3521</t>
  </si>
  <si>
    <t>motson@outlook.com.au</t>
  </si>
  <si>
    <t>2670 Pyrenees Hwy, Newstead 3462</t>
  </si>
  <si>
    <t>admin@fouremiletrading.com.au</t>
  </si>
  <si>
    <t>7b FARM SHED</t>
  </si>
  <si>
    <t>40090m²</t>
  </si>
  <si>
    <t>Commercial builder OR BBB</t>
  </si>
  <si>
    <t>brycedonaghy@hotmail.com</t>
  </si>
  <si>
    <t>Owner Builder</t>
  </si>
  <si>
    <t>250 Dromana Parade, Safety Beach VIC 3936</t>
  </si>
  <si>
    <t>melrays1967@gmail.com</t>
  </si>
  <si>
    <t>dev.eng@mornpen.vic.gov.au</t>
  </si>
  <si>
    <t>P23/0571</t>
  </si>
  <si>
    <t>secCONS: P21/0439</t>
  </si>
  <si>
    <t>356m²</t>
  </si>
  <si>
    <t>Owner - confirmed</t>
  </si>
  <si>
    <t>23 Autumn Gully Road, Spring Gully VIC 3550</t>
  </si>
  <si>
    <t>hayds87@live.com</t>
  </si>
  <si>
    <t>17 Hawkins Drive, Kinglake VIC 3763</t>
  </si>
  <si>
    <t>leemorgan75@outlook.com</t>
  </si>
  <si>
    <t>Pending</t>
  </si>
  <si>
    <t>Septic</t>
  </si>
  <si>
    <t>kevingolden204@yahoo.com</t>
  </si>
  <si>
    <t>21 Garryowen Crescent, Narre Warren VIC 3805</t>
  </si>
  <si>
    <t>tony_vandehoef@hotmail.com</t>
  </si>
  <si>
    <t>123 Emerald Monbulk Road, Emerald 3782</t>
  </si>
  <si>
    <t>dilly_009@hotmail.com</t>
  </si>
  <si>
    <t>DECK PERMIT TOO - INSPECTIONS AT SAME TIME - COSTS MAY CHANGE - OWNER KNOWS THIS</t>
  </si>
  <si>
    <t>freestanding shed</t>
  </si>
  <si>
    <t>owner - confirmed</t>
  </si>
  <si>
    <t>?</t>
  </si>
  <si>
    <t>✔</t>
  </si>
  <si>
    <t>12 Heales Street, Inglewood VIC 3517</t>
  </si>
  <si>
    <t>sparksdriver@gmail.com</t>
  </si>
  <si>
    <t>52-56 Berends Drive, Dandenong South 3175</t>
  </si>
  <si>
    <t>0434 902 154</t>
  </si>
  <si>
    <t>infor@asapbinhire.com.au</t>
  </si>
  <si>
    <t>Freestanding Warehouse</t>
  </si>
  <si>
    <t>8 total</t>
  </si>
  <si>
    <t>25 Magellan Crescent, Kangaroo Flat 3555</t>
  </si>
  <si>
    <t>mkellett83@gmail.com</t>
  </si>
  <si>
    <t>&gt;10m from street</t>
  </si>
  <si>
    <t>only 1</t>
  </si>
  <si>
    <t>25 Gerard Road, Sugarloaf Creek, 3658</t>
  </si>
  <si>
    <t>bradleybuckland@gmail.com</t>
  </si>
  <si>
    <t>planner:</t>
  </si>
  <si>
    <t>5734 6449</t>
  </si>
  <si>
    <t>Freestanding carport and shed</t>
  </si>
  <si>
    <t>Private builder</t>
  </si>
  <si>
    <t>Proposed Dimensions</t>
  </si>
  <si>
    <t>223 Burgoyne Street, Huntly 3551</t>
  </si>
  <si>
    <t>sm_johns@hotmail.com</t>
  </si>
  <si>
    <t>Freestanding Shed</t>
  </si>
  <si>
    <t>FFL FOR HOMES</t>
  </si>
  <si>
    <t>6 Menzies Crescent, Shepparton 3630</t>
  </si>
  <si>
    <t>0418 355 758</t>
  </si>
  <si>
    <t>b.seiter@icloud.com</t>
  </si>
  <si>
    <t>jo.seiter@bowens.com.au</t>
  </si>
  <si>
    <t>TEXT</t>
  </si>
  <si>
    <t>Goonawarra Golf Club</t>
  </si>
  <si>
    <t>2 Francis Boulevard, Sunbury VIC 3429</t>
  </si>
  <si>
    <t xml:space="preserve">manager@goonawarragolfclub.com.au </t>
  </si>
  <si>
    <t>NR</t>
  </si>
  <si>
    <t>33 Sir Leo Curtis Drive, Wandong 3758</t>
  </si>
  <si>
    <t>0437 702 748</t>
  </si>
  <si>
    <t>m79thomson@gmail.com</t>
  </si>
  <si>
    <t>10 Banksia Court, Campbells Creek</t>
  </si>
  <si>
    <t>jintmacplumbing@gmail.com</t>
  </si>
  <si>
    <t>Freestanding Garaport</t>
  </si>
  <si>
    <t>MANUFACTURED ON APRIL</t>
  </si>
  <si>
    <t>Balhan Industrial pty ltd</t>
  </si>
  <si>
    <t>81-89 Buckley Grove, Moolap</t>
  </si>
  <si>
    <t>jhanrahan1969@gmail.com</t>
  </si>
  <si>
    <t>NOT DOING BUILDING PERMIT</t>
  </si>
  <si>
    <t>31 The Point, Mansfield 3722</t>
  </si>
  <si>
    <t>lucasrussell@live.com</t>
  </si>
  <si>
    <t>Best Leisure Industries</t>
  </si>
  <si>
    <t>matt@westpacificgroup.com.au</t>
  </si>
  <si>
    <t>Check planning conditions &amp; BAL</t>
  </si>
  <si>
    <t>27.08.2025</t>
  </si>
  <si>
    <t>188 Mansfield Rd</t>
  </si>
  <si>
    <t>Matt Szrendrodi</t>
  </si>
  <si>
    <t>Jason Clark</t>
  </si>
  <si>
    <t>131 McDowalls Rd</t>
  </si>
  <si>
    <t>0437 812 496</t>
  </si>
  <si>
    <t>9.0 x 15.0 x 4.0</t>
  </si>
  <si>
    <t>131 McDowalls Rd, East Bendigo VIC 3550</t>
  </si>
  <si>
    <t>jason_clark12@hotmail.com</t>
  </si>
  <si>
    <t>0417 780 897</t>
  </si>
  <si>
    <t>1B Kooroork Lane</t>
  </si>
  <si>
    <t>9.0 x 18.0 x 4.8</t>
  </si>
  <si>
    <t>1B Kooroork Lane, Junortoun VIC 3550</t>
  </si>
  <si>
    <t>jmortoncarpentry@hotmail.com</t>
  </si>
  <si>
    <t>29.08.2025</t>
  </si>
  <si>
    <t>Danny Marrinon</t>
  </si>
  <si>
    <t>0482 035 308</t>
  </si>
  <si>
    <t>28.08.2025</t>
  </si>
  <si>
    <t>28 First Ave</t>
  </si>
  <si>
    <t>Cape Woolamai</t>
  </si>
  <si>
    <t>6.024 x 12.0 x 3.0</t>
  </si>
  <si>
    <t>28 First Ave, Cape Woolamai VIC 3925</t>
  </si>
  <si>
    <t>danny.marrinon@me.com</t>
  </si>
  <si>
    <t>Mark &amp; Tracey Evans</t>
  </si>
  <si>
    <t>0408 488 785</t>
  </si>
  <si>
    <t>10.0 x 11.0 x 4.0</t>
  </si>
  <si>
    <t>44 Janelle Drive, Maiden Gully VIC 3551</t>
  </si>
  <si>
    <t>markandtrace6@bigpond.com</t>
  </si>
  <si>
    <t>15 Urquhart St</t>
  </si>
  <si>
    <t>30.08.2025</t>
  </si>
  <si>
    <t>0425 812 994</t>
  </si>
  <si>
    <t>25.08.2025</t>
  </si>
  <si>
    <t>0419 300 864</t>
  </si>
  <si>
    <t xml:space="preserve">5 Gunyah Flat Rd </t>
  </si>
  <si>
    <t>Charlton</t>
  </si>
  <si>
    <t>5 Gunyah Flat Rd, Charlton VIC 3525</t>
  </si>
  <si>
    <t>jparrowsmith77@hotmail.com</t>
  </si>
  <si>
    <t>Bryan with Leigh Whyte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</si>
</sst>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Red]\-&quot;$&quot;#,##0"/>
    <numFmt numFmtId="8" formatCode="&quot;$&quot;#,##0.00;[Red]\-&quot;$&quot;#,##0.00"/>
    <numFmt numFmtId="44" formatCode="_-&quot;$&quot;* #,##0.00_-;\-&quot;$&quot;* #,##0.00_-;_-&quot;$&quot;* &quot;-&quot;??_-;_-@_-"/>
    <numFmt numFmtId="164" formatCode="&quot;$&quot;#,##0.00"/>
  </numFmts>
  <fonts count="31" x14ac:knownFonts="1">
    <font>
      <sz val="11"/>
      <color theme="1"/>
      <name val="Calibri"/>
      <family val="2"/>
      <scheme val="minor"/>
    </font>
    <font>
      <b/>
      <sz val="11"/>
      <name val="Arial"/>
      <family val="2"/>
    </font>
    <font>
      <sz val="11"/>
      <color rgb="FFFF0000"/>
      <name val="Arial"/>
      <family val="2"/>
    </font>
    <font>
      <sz val="8"/>
      <name val="Calibri"/>
      <family val="2"/>
      <scheme val="minor"/>
    </font>
    <font>
      <sz val="11"/>
      <name val="Arial"/>
      <family val="2"/>
    </font>
    <font>
      <sz val="11"/>
      <name val="Calibri"/>
      <family val="2"/>
      <scheme val="minor"/>
    </font>
    <font>
      <b/>
      <sz val="11"/>
      <color theme="1"/>
      <name val="Arial"/>
      <family val="2"/>
    </font>
    <font>
      <sz val="11"/>
      <color rgb="FFFF0000"/>
      <name val="Calibri"/>
      <family val="2"/>
      <scheme val="minor"/>
    </font>
    <font>
      <u/>
      <sz val="11"/>
      <color theme="10"/>
      <name val="Calibri"/>
      <family val="2"/>
      <scheme val="minor"/>
    </font>
    <font>
      <sz val="11"/>
      <color theme="1"/>
      <name val="Calibri"/>
      <family val="2"/>
      <scheme val="minor"/>
    </font>
    <font>
      <sz val="11"/>
      <color theme="0"/>
      <name val="Calibri"/>
      <family val="2"/>
      <scheme val="minor"/>
    </font>
    <font>
      <sz val="11"/>
      <color theme="1"/>
      <name val="UD Digi Kyokasho NK-R"/>
      <family val="1"/>
      <charset val="128"/>
    </font>
    <font>
      <sz val="10"/>
      <color theme="1"/>
      <name val="Calibri"/>
      <family val="2"/>
      <scheme val="minor"/>
    </font>
    <font>
      <sz val="10"/>
      <color theme="1"/>
      <name val="UD Digi Kyokasho NK-R"/>
      <family val="1"/>
      <charset val="128"/>
    </font>
    <font>
      <sz val="10"/>
      <color theme="0"/>
      <name val="UD Digi Kyokasho NK-R"/>
      <family val="1"/>
      <charset val="128"/>
    </font>
    <font>
      <sz val="16"/>
      <color theme="1"/>
      <name val="UD Digi Kyokasho NK-R"/>
      <family val="1"/>
      <charset val="128"/>
    </font>
    <font>
      <sz val="10"/>
      <color rgb="FFA0E4A3"/>
      <name val="UD Digi Kyokasho NK-R"/>
      <family val="1"/>
      <charset val="128"/>
    </font>
    <font>
      <sz val="10"/>
      <color rgb="FFFF0000"/>
      <name val="UD Digi Kyokasho NK-R"/>
      <family val="1"/>
      <charset val="128"/>
    </font>
    <font>
      <sz val="20"/>
      <color theme="0"/>
      <name val="Calibri"/>
      <family val="2"/>
      <scheme val="minor"/>
    </font>
    <font>
      <sz val="16"/>
      <color theme="1"/>
      <name val="Calibri"/>
      <family val="2"/>
      <scheme val="minor"/>
    </font>
    <font>
      <b/>
      <sz val="10"/>
      <color rgb="FFFF0000"/>
      <name val="UD Digi Kyokasho NK-R"/>
      <family val="1"/>
      <charset val="128"/>
    </font>
    <font>
      <u/>
      <sz val="11"/>
      <color theme="1"/>
      <name val="Calibri"/>
      <family val="2"/>
      <scheme val="minor"/>
    </font>
    <font>
      <sz val="9"/>
      <color theme="1"/>
      <name val="UD Digi Kyokasho NK-R"/>
      <family val="1"/>
      <charset val="128"/>
    </font>
    <font>
      <sz val="10"/>
      <name val="UD Digi Kyokasho NK-R"/>
      <family val="1"/>
      <charset val="128"/>
    </font>
    <font>
      <sz val="8"/>
      <color theme="1"/>
      <name val="UD Digi Kyokasho NK-R"/>
      <family val="1"/>
      <charset val="128"/>
    </font>
    <font>
      <sz val="8"/>
      <color theme="1"/>
      <name val="Calibri"/>
      <family val="2"/>
    </font>
    <font>
      <b/>
      <sz val="11"/>
      <name val="Aptos"/>
      <family val="2"/>
    </font>
    <font>
      <sz val="11"/>
      <name val="Aptos"/>
      <family val="2"/>
    </font>
    <font>
      <sz val="11"/>
      <color theme="1"/>
      <name val="Aptos"/>
      <family val="2"/>
    </font>
    <font>
      <sz val="11"/>
      <color rgb="FF000000"/>
      <name val="Calibri"/>
      <family val="2"/>
    </font>
    <font>
      <sz val="8"/>
      <color rgb="FF000000"/>
      <name val="Calibri"/>
      <family val="2"/>
    </font>
  </fonts>
  <fills count="13">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rgb="FFFFA7A7"/>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rgb="FFFF0000"/>
        <bgColor indexed="64"/>
      </patternFill>
    </fill>
    <fill>
      <patternFill patternType="solid">
        <fgColor theme="0"/>
        <bgColor indexed="64"/>
      </patternFill>
    </fill>
    <fill>
      <patternFill patternType="solid">
        <fgColor theme="7" tint="0.59999389629810485"/>
        <bgColor indexed="64"/>
      </patternFill>
    </fill>
    <fill>
      <patternFill patternType="solid">
        <fgColor theme="0" tint="-0.14999847407452621"/>
        <bgColor indexed="64"/>
      </patternFill>
    </fill>
  </fills>
  <borders count="4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right style="medium">
        <color indexed="64"/>
      </right>
      <top style="medium">
        <color indexed="64"/>
      </top>
      <bottom style="medium">
        <color indexed="64"/>
      </bottom>
      <diagonal/>
    </border>
    <border>
      <left style="hair">
        <color indexed="64"/>
      </left>
      <right style="hair">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style="thin">
        <color indexed="64"/>
      </right>
      <top/>
      <bottom/>
      <diagonal/>
    </border>
    <border>
      <left style="thin">
        <color indexed="64"/>
      </left>
      <right/>
      <top/>
      <bottom/>
      <diagonal/>
    </border>
    <border>
      <left/>
      <right/>
      <top/>
      <bottom style="thick">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ck">
        <color indexed="64"/>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ck">
        <color indexed="64"/>
      </right>
      <top style="thin">
        <color indexed="64"/>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s>
  <cellStyleXfs count="4">
    <xf numFmtId="0" fontId="0" fillId="0" borderId="0"/>
    <xf numFmtId="0" fontId="8" fillId="0" borderId="0" applyNumberFormat="0" applyFill="0" applyBorder="0" applyAlignment="0" applyProtection="0"/>
    <xf numFmtId="44" fontId="9" fillId="0" borderId="0" applyFont="0" applyFill="0" applyBorder="0" applyAlignment="0" applyProtection="0"/>
    <xf numFmtId="9" fontId="9" fillId="0" borderId="0" applyFont="0" applyFill="0" applyBorder="0" applyAlignment="0" applyProtection="0"/>
  </cellStyleXfs>
  <cellXfs count="265">
    <xf numFmtId="0" fontId="0" fillId="0" borderId="0" xfId="0"/>
    <xf numFmtId="0" fontId="1" fillId="0" borderId="1" xfId="0" applyFont="1" applyBorder="1" applyAlignment="1">
      <alignment horizontal="center" wrapText="1"/>
    </xf>
    <xf numFmtId="15" fontId="1" fillId="0" borderId="2" xfId="0" applyNumberFormat="1" applyFont="1" applyBorder="1" applyAlignment="1">
      <alignment wrapText="1"/>
    </xf>
    <xf numFmtId="0" fontId="1" fillId="0" borderId="2" xfId="0" applyFont="1" applyBorder="1" applyAlignment="1">
      <alignment horizontal="center" wrapText="1"/>
    </xf>
    <xf numFmtId="15" fontId="1" fillId="0" borderId="2" xfId="0" applyNumberFormat="1" applyFont="1" applyBorder="1" applyAlignment="1">
      <alignment horizontal="center" wrapText="1"/>
    </xf>
    <xf numFmtId="0" fontId="1" fillId="0" borderId="0" xfId="0" applyFont="1" applyAlignment="1">
      <alignment horizontal="center" wrapText="1"/>
    </xf>
    <xf numFmtId="0" fontId="1" fillId="0" borderId="0" xfId="0" applyFont="1" applyAlignment="1">
      <alignment horizontal="center"/>
    </xf>
    <xf numFmtId="49" fontId="1" fillId="0" borderId="0" xfId="0" applyNumberFormat="1" applyFont="1" applyAlignment="1">
      <alignment horizontal="left" wrapText="1"/>
    </xf>
    <xf numFmtId="15" fontId="1" fillId="0" borderId="0" xfId="0" applyNumberFormat="1" applyFont="1" applyAlignment="1">
      <alignment wrapText="1"/>
    </xf>
    <xf numFmtId="0" fontId="0" fillId="0" borderId="3" xfId="0" applyBorder="1"/>
    <xf numFmtId="0" fontId="0" fillId="0" borderId="5" xfId="0" applyBorder="1"/>
    <xf numFmtId="0" fontId="0" fillId="0" borderId="0" xfId="0" applyAlignment="1">
      <alignment wrapText="1"/>
    </xf>
    <xf numFmtId="14" fontId="0" fillId="0" borderId="3" xfId="0" applyNumberFormat="1" applyBorder="1" applyAlignment="1">
      <alignment horizontal="center"/>
    </xf>
    <xf numFmtId="0" fontId="0" fillId="0" borderId="0" xfId="0" applyAlignment="1">
      <alignment horizontal="center"/>
    </xf>
    <xf numFmtId="0" fontId="2" fillId="0" borderId="0" xfId="0" applyFont="1" applyAlignment="1">
      <alignment horizontal="center" wrapText="1"/>
    </xf>
    <xf numFmtId="15" fontId="2" fillId="0" borderId="0" xfId="0" applyNumberFormat="1" applyFont="1" applyAlignment="1">
      <alignment horizontal="center" wrapText="1"/>
    </xf>
    <xf numFmtId="49" fontId="1" fillId="0" borderId="2" xfId="0" applyNumberFormat="1" applyFont="1" applyBorder="1" applyAlignment="1">
      <alignment horizontal="left" wrapText="1"/>
    </xf>
    <xf numFmtId="15" fontId="1" fillId="0" borderId="4" xfId="0" applyNumberFormat="1" applyFont="1" applyBorder="1" applyAlignment="1">
      <alignment horizontal="center" wrapText="1"/>
    </xf>
    <xf numFmtId="0" fontId="1" fillId="0" borderId="6" xfId="0" applyFont="1" applyBorder="1" applyAlignment="1">
      <alignment horizontal="center" wrapText="1"/>
    </xf>
    <xf numFmtId="0" fontId="1" fillId="0" borderId="7" xfId="0" applyFont="1" applyBorder="1" applyAlignment="1">
      <alignment horizontal="center" wrapText="1"/>
    </xf>
    <xf numFmtId="49" fontId="1" fillId="0" borderId="7" xfId="0" applyNumberFormat="1" applyFont="1" applyBorder="1" applyAlignment="1">
      <alignment horizontal="left" wrapText="1"/>
    </xf>
    <xf numFmtId="15" fontId="1" fillId="0" borderId="7" xfId="0" applyNumberFormat="1" applyFont="1" applyBorder="1" applyAlignment="1">
      <alignment wrapText="1"/>
    </xf>
    <xf numFmtId="15" fontId="1" fillId="0" borderId="8" xfId="0" applyNumberFormat="1" applyFont="1" applyBorder="1" applyAlignment="1">
      <alignment horizontal="center" wrapText="1"/>
    </xf>
    <xf numFmtId="14" fontId="0" fillId="0" borderId="5" xfId="0" applyNumberFormat="1" applyBorder="1" applyAlignment="1">
      <alignment horizontal="center"/>
    </xf>
    <xf numFmtId="0" fontId="1" fillId="0" borderId="7" xfId="0" applyFont="1" applyBorder="1" applyAlignment="1">
      <alignment horizontal="center"/>
    </xf>
    <xf numFmtId="0" fontId="2" fillId="0" borderId="7" xfId="0" applyFont="1" applyBorder="1" applyAlignment="1">
      <alignment horizontal="center" wrapText="1"/>
    </xf>
    <xf numFmtId="0" fontId="1" fillId="0" borderId="9" xfId="0" applyFont="1" applyBorder="1" applyAlignment="1">
      <alignment horizontal="center" wrapText="1"/>
    </xf>
    <xf numFmtId="15" fontId="1" fillId="0" borderId="10" xfId="0" applyNumberFormat="1" applyFont="1" applyBorder="1" applyAlignment="1">
      <alignment horizontal="center" wrapText="1"/>
    </xf>
    <xf numFmtId="0" fontId="1" fillId="0" borderId="11" xfId="0" applyFont="1" applyBorder="1" applyAlignment="1">
      <alignment horizontal="center" wrapText="1"/>
    </xf>
    <xf numFmtId="0" fontId="1" fillId="0" borderId="12" xfId="0" applyFont="1" applyBorder="1" applyAlignment="1">
      <alignment horizontal="center"/>
    </xf>
    <xf numFmtId="49" fontId="1" fillId="0" borderId="12" xfId="0" applyNumberFormat="1" applyFont="1" applyBorder="1" applyAlignment="1">
      <alignment horizontal="left" wrapText="1"/>
    </xf>
    <xf numFmtId="15" fontId="1" fillId="0" borderId="12" xfId="0" applyNumberFormat="1" applyFont="1" applyBorder="1" applyAlignment="1">
      <alignment wrapText="1"/>
    </xf>
    <xf numFmtId="0" fontId="1" fillId="0" borderId="12" xfId="0" applyFont="1" applyBorder="1" applyAlignment="1">
      <alignment horizontal="center" wrapText="1"/>
    </xf>
    <xf numFmtId="0" fontId="2" fillId="0" borderId="12" xfId="0" applyFont="1" applyBorder="1" applyAlignment="1">
      <alignment horizontal="center" wrapText="1"/>
    </xf>
    <xf numFmtId="15" fontId="2" fillId="0" borderId="12" xfId="0" applyNumberFormat="1" applyFont="1" applyBorder="1" applyAlignment="1">
      <alignment horizontal="center" wrapText="1"/>
    </xf>
    <xf numFmtId="15" fontId="1" fillId="0" borderId="13" xfId="0" applyNumberFormat="1" applyFont="1" applyBorder="1" applyAlignment="1">
      <alignment horizontal="center" wrapText="1"/>
    </xf>
    <xf numFmtId="0" fontId="0" fillId="0" borderId="3" xfId="0" applyBorder="1" applyAlignment="1">
      <alignment horizontal="left"/>
    </xf>
    <xf numFmtId="0" fontId="0" fillId="0" borderId="12" xfId="0" applyBorder="1"/>
    <xf numFmtId="14" fontId="0" fillId="0" borderId="0" xfId="0" applyNumberFormat="1"/>
    <xf numFmtId="0" fontId="1" fillId="0" borderId="9" xfId="0" applyFont="1" applyBorder="1" applyAlignment="1">
      <alignment horizontal="left" wrapText="1"/>
    </xf>
    <xf numFmtId="0" fontId="1" fillId="0" borderId="11" xfId="0" applyFont="1" applyBorder="1" applyAlignment="1">
      <alignment horizontal="left" wrapText="1"/>
    </xf>
    <xf numFmtId="0" fontId="0" fillId="0" borderId="0" xfId="0" applyAlignment="1">
      <alignment horizontal="left"/>
    </xf>
    <xf numFmtId="0" fontId="0" fillId="0" borderId="1" xfId="0" applyBorder="1" applyAlignment="1">
      <alignment wrapText="1"/>
    </xf>
    <xf numFmtId="0" fontId="0" fillId="0" borderId="2" xfId="0" applyBorder="1" applyAlignment="1">
      <alignment wrapText="1"/>
    </xf>
    <xf numFmtId="14" fontId="1" fillId="0" borderId="2" xfId="0" applyNumberFormat="1" applyFont="1" applyBorder="1" applyAlignment="1">
      <alignment horizontal="center" wrapText="1"/>
    </xf>
    <xf numFmtId="14" fontId="2" fillId="0" borderId="0" xfId="0" applyNumberFormat="1" applyFont="1" applyAlignment="1">
      <alignment horizontal="center" wrapText="1"/>
    </xf>
    <xf numFmtId="14" fontId="2" fillId="0" borderId="12" xfId="0" applyNumberFormat="1" applyFont="1" applyBorder="1" applyAlignment="1">
      <alignment horizontal="center" wrapText="1"/>
    </xf>
    <xf numFmtId="22" fontId="0" fillId="0" borderId="0" xfId="0" applyNumberFormat="1"/>
    <xf numFmtId="0" fontId="0" fillId="0" borderId="12" xfId="0" applyBorder="1" applyAlignment="1">
      <alignment horizontal="center"/>
    </xf>
    <xf numFmtId="49" fontId="1" fillId="0" borderId="2" xfId="0" applyNumberFormat="1" applyFont="1" applyBorder="1" applyAlignment="1">
      <alignment horizontal="center" wrapText="1"/>
    </xf>
    <xf numFmtId="15" fontId="1" fillId="0" borderId="0" xfId="0" applyNumberFormat="1" applyFont="1" applyAlignment="1">
      <alignment horizontal="center" wrapText="1"/>
    </xf>
    <xf numFmtId="15" fontId="1" fillId="0" borderId="12" xfId="0" applyNumberFormat="1" applyFont="1" applyBorder="1" applyAlignment="1">
      <alignment horizontal="center" wrapText="1"/>
    </xf>
    <xf numFmtId="14" fontId="0" fillId="0" borderId="0" xfId="0" applyNumberFormat="1" applyAlignment="1">
      <alignment horizontal="center"/>
    </xf>
    <xf numFmtId="4" fontId="0" fillId="0" borderId="0" xfId="0" applyNumberFormat="1"/>
    <xf numFmtId="164" fontId="0" fillId="0" borderId="0" xfId="0" applyNumberFormat="1"/>
    <xf numFmtId="0" fontId="4" fillId="0" borderId="7" xfId="0" applyFont="1" applyBorder="1" applyAlignment="1">
      <alignment horizontal="center" wrapText="1"/>
    </xf>
    <xf numFmtId="15" fontId="4" fillId="0" borderId="7" xfId="0" applyNumberFormat="1" applyFont="1" applyBorder="1" applyAlignment="1">
      <alignment horizontal="center" wrapText="1"/>
    </xf>
    <xf numFmtId="0" fontId="4" fillId="0" borderId="0" xfId="0" applyFont="1" applyAlignment="1">
      <alignment horizontal="center" wrapText="1"/>
    </xf>
    <xf numFmtId="15" fontId="4" fillId="0" borderId="0" xfId="0" applyNumberFormat="1" applyFont="1" applyAlignment="1">
      <alignment horizontal="center" wrapText="1"/>
    </xf>
    <xf numFmtId="0" fontId="4" fillId="0" borderId="12" xfId="0" applyFont="1" applyBorder="1" applyAlignment="1">
      <alignment horizontal="center" wrapText="1"/>
    </xf>
    <xf numFmtId="0" fontId="5" fillId="0" borderId="12" xfId="0" applyFont="1" applyBorder="1"/>
    <xf numFmtId="15" fontId="4" fillId="0" borderId="12" xfId="0" applyNumberFormat="1" applyFont="1" applyBorder="1" applyAlignment="1">
      <alignment horizontal="center" wrapText="1"/>
    </xf>
    <xf numFmtId="0" fontId="0" fillId="2" borderId="0" xfId="0" applyFill="1"/>
    <xf numFmtId="0" fontId="0" fillId="2" borderId="0" xfId="0" applyFill="1" applyAlignment="1">
      <alignment horizontal="left"/>
    </xf>
    <xf numFmtId="14" fontId="0" fillId="2" borderId="0" xfId="0" applyNumberFormat="1" applyFill="1" applyAlignment="1">
      <alignment horizontal="center"/>
    </xf>
    <xf numFmtId="0" fontId="0" fillId="2" borderId="0" xfId="0" applyFill="1" applyAlignment="1">
      <alignment horizontal="center"/>
    </xf>
    <xf numFmtId="14" fontId="0" fillId="2" borderId="0" xfId="0" applyNumberFormat="1" applyFill="1"/>
    <xf numFmtId="4" fontId="0" fillId="2" borderId="0" xfId="0" applyNumberFormat="1" applyFill="1"/>
    <xf numFmtId="164" fontId="0" fillId="2" borderId="0" xfId="0" applyNumberFormat="1" applyFill="1"/>
    <xf numFmtId="16" fontId="0" fillId="2" borderId="0" xfId="0" applyNumberFormat="1" applyFill="1"/>
    <xf numFmtId="0" fontId="6" fillId="0" borderId="2" xfId="0" applyFont="1" applyBorder="1" applyAlignment="1">
      <alignment horizontal="center" wrapText="1"/>
    </xf>
    <xf numFmtId="164" fontId="1" fillId="0" borderId="2" xfId="0" applyNumberFormat="1" applyFont="1" applyBorder="1" applyAlignment="1">
      <alignment horizontal="center" wrapText="1"/>
    </xf>
    <xf numFmtId="0" fontId="0" fillId="3" borderId="0" xfId="0" applyFill="1"/>
    <xf numFmtId="0" fontId="0" fillId="3" borderId="0" xfId="0" applyFill="1" applyAlignment="1">
      <alignment horizontal="left"/>
    </xf>
    <xf numFmtId="14" fontId="0" fillId="3" borderId="0" xfId="0" applyNumberFormat="1" applyFill="1" applyAlignment="1">
      <alignment horizontal="center"/>
    </xf>
    <xf numFmtId="0" fontId="0" fillId="3" borderId="0" xfId="0" applyFill="1" applyAlignment="1">
      <alignment horizontal="center"/>
    </xf>
    <xf numFmtId="14" fontId="0" fillId="3" borderId="0" xfId="0" applyNumberFormat="1" applyFill="1"/>
    <xf numFmtId="16" fontId="0" fillId="2" borderId="0" xfId="0" applyNumberFormat="1" applyFill="1" applyAlignment="1">
      <alignment horizontal="right"/>
    </xf>
    <xf numFmtId="4" fontId="0" fillId="2" borderId="0" xfId="0" applyNumberFormat="1" applyFill="1" applyAlignment="1">
      <alignment horizontal="right"/>
    </xf>
    <xf numFmtId="164" fontId="0" fillId="2" borderId="0" xfId="0" applyNumberFormat="1" applyFill="1" applyAlignment="1">
      <alignment horizontal="right"/>
    </xf>
    <xf numFmtId="4" fontId="0" fillId="3" borderId="0" xfId="0" applyNumberFormat="1" applyFill="1"/>
    <xf numFmtId="164" fontId="0" fillId="3" borderId="0" xfId="0" applyNumberFormat="1" applyFill="1"/>
    <xf numFmtId="16" fontId="0" fillId="3" borderId="0" xfId="0" applyNumberFormat="1" applyFill="1"/>
    <xf numFmtId="0" fontId="5" fillId="2" borderId="0" xfId="0" applyFont="1" applyFill="1" applyAlignment="1">
      <alignment horizontal="left" wrapText="1"/>
    </xf>
    <xf numFmtId="0" fontId="5" fillId="2" borderId="0" xfId="0" applyFont="1" applyFill="1" applyAlignment="1">
      <alignment horizontal="left"/>
    </xf>
    <xf numFmtId="49" fontId="5" fillId="2" borderId="0" xfId="0" applyNumberFormat="1" applyFont="1" applyFill="1" applyAlignment="1">
      <alignment horizontal="left" wrapText="1"/>
    </xf>
    <xf numFmtId="15" fontId="5" fillId="2" borderId="0" xfId="0" applyNumberFormat="1" applyFont="1" applyFill="1" applyAlignment="1">
      <alignment horizontal="left" wrapText="1"/>
    </xf>
    <xf numFmtId="14" fontId="7" fillId="2" borderId="0" xfId="0" applyNumberFormat="1" applyFont="1" applyFill="1" applyAlignment="1">
      <alignment horizontal="left" wrapText="1"/>
    </xf>
    <xf numFmtId="0" fontId="0" fillId="2" borderId="0" xfId="0" applyFill="1" applyAlignment="1">
      <alignment horizontal="right"/>
    </xf>
    <xf numFmtId="164" fontId="5" fillId="2" borderId="0" xfId="0" applyNumberFormat="1" applyFont="1" applyFill="1" applyAlignment="1">
      <alignment horizontal="right"/>
    </xf>
    <xf numFmtId="0" fontId="0" fillId="4" borderId="0" xfId="0" applyFill="1"/>
    <xf numFmtId="0" fontId="0" fillId="5" borderId="0" xfId="0" applyFill="1"/>
    <xf numFmtId="0" fontId="0" fillId="5" borderId="0" xfId="0" applyFill="1" applyAlignment="1">
      <alignment horizontal="left"/>
    </xf>
    <xf numFmtId="14" fontId="0" fillId="5" borderId="0" xfId="0" applyNumberFormat="1" applyFill="1" applyAlignment="1">
      <alignment horizontal="center"/>
    </xf>
    <xf numFmtId="0" fontId="0" fillId="5" borderId="0" xfId="0" applyFill="1" applyAlignment="1">
      <alignment horizontal="center"/>
    </xf>
    <xf numFmtId="14" fontId="0" fillId="5" borderId="0" xfId="0" applyNumberFormat="1" applyFill="1"/>
    <xf numFmtId="4" fontId="0" fillId="5" borderId="0" xfId="0" applyNumberFormat="1" applyFill="1"/>
    <xf numFmtId="164" fontId="0" fillId="5" borderId="0" xfId="0" applyNumberFormat="1" applyFill="1"/>
    <xf numFmtId="16" fontId="0" fillId="5" borderId="0" xfId="0" applyNumberFormat="1" applyFill="1"/>
    <xf numFmtId="8" fontId="0" fillId="5" borderId="0" xfId="0" applyNumberFormat="1" applyFill="1"/>
    <xf numFmtId="0" fontId="0" fillId="5" borderId="0" xfId="0" applyFill="1" applyAlignment="1">
      <alignment horizontal="right"/>
    </xf>
    <xf numFmtId="14" fontId="0" fillId="2" borderId="0" xfId="0" applyNumberFormat="1" applyFill="1" applyAlignment="1">
      <alignment horizontal="left"/>
    </xf>
    <xf numFmtId="164" fontId="5" fillId="2" borderId="0" xfId="1" applyNumberFormat="1" applyFont="1" applyFill="1"/>
    <xf numFmtId="0" fontId="5" fillId="2" borderId="0" xfId="0" applyFont="1" applyFill="1"/>
    <xf numFmtId="49" fontId="0" fillId="2" borderId="0" xfId="0" applyNumberFormat="1" applyFill="1" applyAlignment="1">
      <alignment horizontal="right"/>
    </xf>
    <xf numFmtId="16" fontId="0" fillId="2" borderId="0" xfId="2" applyNumberFormat="1" applyFont="1" applyFill="1"/>
    <xf numFmtId="0" fontId="10" fillId="0" borderId="0" xfId="0" applyFont="1"/>
    <xf numFmtId="0" fontId="0" fillId="0" borderId="10" xfId="0" applyBorder="1"/>
    <xf numFmtId="0" fontId="10" fillId="0" borderId="10" xfId="0" applyFont="1" applyBorder="1"/>
    <xf numFmtId="2" fontId="10" fillId="0" borderId="0" xfId="0" applyNumberFormat="1" applyFont="1"/>
    <xf numFmtId="0" fontId="0" fillId="0" borderId="13" xfId="0" applyBorder="1"/>
    <xf numFmtId="0" fontId="10" fillId="0" borderId="0" xfId="0" applyFont="1" applyAlignment="1">
      <alignment horizontal="center"/>
    </xf>
    <xf numFmtId="2" fontId="10" fillId="0" borderId="0" xfId="0" applyNumberFormat="1" applyFont="1" applyAlignment="1">
      <alignment horizontal="center"/>
    </xf>
    <xf numFmtId="164" fontId="5" fillId="0" borderId="0" xfId="0" applyNumberFormat="1" applyFont="1"/>
    <xf numFmtId="164" fontId="10" fillId="0" borderId="0" xfId="0" applyNumberFormat="1" applyFont="1"/>
    <xf numFmtId="0" fontId="10" fillId="6" borderId="14" xfId="0" applyFont="1" applyFill="1" applyBorder="1" applyAlignment="1">
      <alignment horizontal="center"/>
    </xf>
    <xf numFmtId="0" fontId="10" fillId="6" borderId="15" xfId="0" applyFont="1" applyFill="1" applyBorder="1" applyAlignment="1">
      <alignment horizontal="center"/>
    </xf>
    <xf numFmtId="1" fontId="0" fillId="2" borderId="0" xfId="0" applyNumberFormat="1" applyFill="1" applyAlignment="1">
      <alignment horizontal="left"/>
    </xf>
    <xf numFmtId="1" fontId="0" fillId="3" borderId="0" xfId="0" applyNumberFormat="1" applyFill="1" applyAlignment="1">
      <alignment horizontal="left"/>
    </xf>
    <xf numFmtId="0" fontId="10" fillId="6" borderId="15" xfId="0" applyFont="1" applyFill="1" applyBorder="1" applyAlignment="1">
      <alignment horizontal="center" wrapText="1"/>
    </xf>
    <xf numFmtId="0" fontId="10" fillId="6" borderId="16" xfId="0" applyFont="1" applyFill="1" applyBorder="1" applyAlignment="1">
      <alignment horizontal="center" wrapText="1"/>
    </xf>
    <xf numFmtId="164" fontId="0" fillId="2" borderId="0" xfId="2" applyNumberFormat="1" applyFont="1" applyFill="1"/>
    <xf numFmtId="0" fontId="11" fillId="0" borderId="0" xfId="0" applyFont="1"/>
    <xf numFmtId="0" fontId="13" fillId="0" borderId="0" xfId="0" applyFont="1"/>
    <xf numFmtId="0" fontId="13" fillId="0" borderId="29" xfId="0" applyFont="1" applyBorder="1"/>
    <xf numFmtId="0" fontId="13" fillId="0" borderId="21" xfId="0" applyFont="1" applyBorder="1"/>
    <xf numFmtId="0" fontId="13" fillId="0" borderId="22" xfId="0" applyFont="1" applyBorder="1"/>
    <xf numFmtId="0" fontId="13" fillId="7" borderId="18" xfId="0" applyFont="1" applyFill="1" applyBorder="1"/>
    <xf numFmtId="0" fontId="13" fillId="7" borderId="0" xfId="0" applyFont="1" applyFill="1"/>
    <xf numFmtId="0" fontId="14" fillId="0" borderId="0" xfId="0" applyFont="1"/>
    <xf numFmtId="0" fontId="14" fillId="0" borderId="31" xfId="0" applyFont="1" applyBorder="1"/>
    <xf numFmtId="0" fontId="13" fillId="0" borderId="31" xfId="0" applyFont="1" applyBorder="1"/>
    <xf numFmtId="0" fontId="15" fillId="0" borderId="0" xfId="0" applyFont="1"/>
    <xf numFmtId="0" fontId="12" fillId="0" borderId="0" xfId="0" applyFont="1"/>
    <xf numFmtId="0" fontId="13" fillId="0" borderId="18" xfId="0" applyFont="1" applyBorder="1"/>
    <xf numFmtId="0" fontId="13" fillId="0" borderId="19" xfId="0" applyFont="1" applyBorder="1"/>
    <xf numFmtId="0" fontId="16" fillId="0" borderId="0" xfId="0" applyFont="1"/>
    <xf numFmtId="0" fontId="13" fillId="0" borderId="30" xfId="0" applyFont="1" applyBorder="1" applyAlignment="1">
      <alignment horizontal="left"/>
    </xf>
    <xf numFmtId="0" fontId="13" fillId="0" borderId="0" xfId="0" applyFont="1" applyAlignment="1">
      <alignment horizontal="left"/>
    </xf>
    <xf numFmtId="0" fontId="17" fillId="0" borderId="0" xfId="0" applyFont="1"/>
    <xf numFmtId="0" fontId="8" fillId="0" borderId="0" xfId="1"/>
    <xf numFmtId="0" fontId="14" fillId="8" borderId="0" xfId="0" applyFont="1" applyFill="1"/>
    <xf numFmtId="0" fontId="13" fillId="8" borderId="0" xfId="0" applyFont="1" applyFill="1"/>
    <xf numFmtId="14" fontId="13" fillId="0" borderId="0" xfId="0" applyNumberFormat="1" applyFont="1"/>
    <xf numFmtId="14" fontId="13" fillId="0" borderId="31" xfId="0" applyNumberFormat="1" applyFont="1" applyBorder="1"/>
    <xf numFmtId="14" fontId="13" fillId="8" borderId="0" xfId="0" applyNumberFormat="1" applyFont="1" applyFill="1"/>
    <xf numFmtId="0" fontId="18" fillId="6" borderId="1" xfId="0" applyFont="1" applyFill="1" applyBorder="1" applyAlignment="1">
      <alignment horizontal="center"/>
    </xf>
    <xf numFmtId="0" fontId="10" fillId="6" borderId="2" xfId="0" applyFont="1" applyFill="1" applyBorder="1"/>
    <xf numFmtId="0" fontId="10" fillId="6" borderId="2" xfId="0" applyFont="1" applyFill="1" applyBorder="1" applyAlignment="1">
      <alignment horizontal="center"/>
    </xf>
    <xf numFmtId="14" fontId="10" fillId="6" borderId="2" xfId="0" applyNumberFormat="1" applyFont="1" applyFill="1" applyBorder="1"/>
    <xf numFmtId="14" fontId="18" fillId="6" borderId="2" xfId="0" applyNumberFormat="1" applyFont="1" applyFill="1" applyBorder="1"/>
    <xf numFmtId="0" fontId="18" fillId="6" borderId="2" xfId="0" applyFont="1" applyFill="1" applyBorder="1"/>
    <xf numFmtId="14" fontId="0" fillId="6" borderId="4" xfId="0" applyNumberFormat="1" applyFill="1" applyBorder="1"/>
    <xf numFmtId="0" fontId="18" fillId="6" borderId="4" xfId="0" applyFont="1" applyFill="1" applyBorder="1"/>
    <xf numFmtId="6" fontId="0" fillId="0" borderId="0" xfId="0" applyNumberFormat="1"/>
    <xf numFmtId="0" fontId="5" fillId="0" borderId="0" xfId="0" applyFont="1"/>
    <xf numFmtId="0" fontId="7" fillId="0" borderId="0" xfId="0" applyFont="1"/>
    <xf numFmtId="0" fontId="0" fillId="9" borderId="0" xfId="0" applyFill="1" applyAlignment="1">
      <alignment horizontal="center"/>
    </xf>
    <xf numFmtId="0" fontId="17" fillId="0" borderId="29" xfId="0" applyFont="1" applyBorder="1"/>
    <xf numFmtId="0" fontId="0" fillId="10" borderId="0" xfId="0" applyFill="1" applyAlignment="1">
      <alignment horizontal="center"/>
    </xf>
    <xf numFmtId="14" fontId="5" fillId="3" borderId="0" xfId="0" applyNumberFormat="1" applyFont="1" applyFill="1" applyAlignment="1">
      <alignment horizontal="center"/>
    </xf>
    <xf numFmtId="14" fontId="5" fillId="0" borderId="0" xfId="0" applyNumberFormat="1" applyFont="1" applyAlignment="1">
      <alignment horizontal="center"/>
    </xf>
    <xf numFmtId="14" fontId="5" fillId="2" borderId="0" xfId="0" applyNumberFormat="1" applyFont="1" applyFill="1" applyAlignment="1">
      <alignment horizontal="center"/>
    </xf>
    <xf numFmtId="0" fontId="13" fillId="0" borderId="0" xfId="0" applyFont="1" applyAlignment="1">
      <alignment horizontal="right"/>
    </xf>
    <xf numFmtId="0" fontId="20" fillId="0" borderId="21" xfId="0" applyFont="1" applyBorder="1"/>
    <xf numFmtId="0" fontId="10" fillId="0" borderId="0" xfId="0" applyFont="1" applyAlignment="1">
      <alignment horizontal="left"/>
    </xf>
    <xf numFmtId="0" fontId="0" fillId="0" borderId="9" xfId="0" applyBorder="1" applyAlignment="1">
      <alignment horizontal="center"/>
    </xf>
    <xf numFmtId="0" fontId="0" fillId="0" borderId="11" xfId="0" applyBorder="1" applyAlignment="1">
      <alignment horizontal="center"/>
    </xf>
    <xf numFmtId="9" fontId="0" fillId="0" borderId="0" xfId="3" applyFont="1"/>
    <xf numFmtId="2" fontId="0" fillId="0" borderId="0" xfId="0" applyNumberFormat="1"/>
    <xf numFmtId="0" fontId="22" fillId="0" borderId="9" xfId="0" applyFont="1" applyBorder="1" applyAlignment="1">
      <alignment horizontal="left"/>
    </xf>
    <xf numFmtId="0" fontId="22" fillId="0" borderId="10" xfId="0" applyFont="1" applyBorder="1" applyAlignment="1">
      <alignment horizontal="left"/>
    </xf>
    <xf numFmtId="0" fontId="22" fillId="0" borderId="11" xfId="0" applyFont="1" applyBorder="1" applyAlignment="1">
      <alignment horizontal="left"/>
    </xf>
    <xf numFmtId="2" fontId="22" fillId="0" borderId="13" xfId="3" applyNumberFormat="1" applyFont="1" applyBorder="1" applyAlignment="1">
      <alignment horizontal="left"/>
    </xf>
    <xf numFmtId="0" fontId="21" fillId="5" borderId="0" xfId="0" applyFont="1" applyFill="1"/>
    <xf numFmtId="0" fontId="0" fillId="10" borderId="0" xfId="0" applyFill="1"/>
    <xf numFmtId="0" fontId="0" fillId="10" borderId="2" xfId="0" applyFill="1" applyBorder="1" applyAlignment="1">
      <alignment wrapText="1"/>
    </xf>
    <xf numFmtId="164" fontId="0" fillId="10" borderId="0" xfId="0" applyNumberFormat="1" applyFill="1"/>
    <xf numFmtId="0" fontId="0" fillId="11" borderId="0" xfId="0" applyFill="1"/>
    <xf numFmtId="0" fontId="0" fillId="11" borderId="0" xfId="0" applyFill="1" applyAlignment="1">
      <alignment horizontal="left"/>
    </xf>
    <xf numFmtId="0" fontId="0" fillId="11" borderId="0" xfId="0" applyFill="1" applyAlignment="1">
      <alignment horizontal="center"/>
    </xf>
    <xf numFmtId="14" fontId="0" fillId="11" borderId="0" xfId="0" applyNumberFormat="1" applyFill="1" applyAlignment="1">
      <alignment horizontal="center"/>
    </xf>
    <xf numFmtId="14" fontId="0" fillId="11" borderId="0" xfId="0" applyNumberFormat="1" applyFill="1"/>
    <xf numFmtId="164" fontId="0" fillId="11" borderId="0" xfId="0" applyNumberFormat="1" applyFill="1"/>
    <xf numFmtId="2" fontId="10" fillId="0" borderId="0" xfId="0" applyNumberFormat="1" applyFont="1" applyAlignment="1">
      <alignment horizontal="left"/>
    </xf>
    <xf numFmtId="0" fontId="23" fillId="0" borderId="0" xfId="0" applyFont="1"/>
    <xf numFmtId="0" fontId="22" fillId="0" borderId="32" xfId="0" applyFont="1" applyBorder="1" applyAlignment="1">
      <alignment horizontal="left"/>
    </xf>
    <xf numFmtId="0" fontId="22" fillId="0" borderId="33" xfId="0" applyFont="1" applyBorder="1" applyAlignment="1">
      <alignment horizontal="left"/>
    </xf>
    <xf numFmtId="0" fontId="22" fillId="0" borderId="34" xfId="0" applyFont="1" applyBorder="1" applyAlignment="1">
      <alignment horizontal="left"/>
    </xf>
    <xf numFmtId="0" fontId="22" fillId="0" borderId="35" xfId="0" applyFont="1" applyBorder="1" applyAlignment="1">
      <alignment horizontal="left"/>
    </xf>
    <xf numFmtId="2" fontId="22" fillId="0" borderId="35" xfId="3" applyNumberFormat="1" applyFont="1" applyBorder="1" applyAlignment="1">
      <alignment horizontal="left"/>
    </xf>
    <xf numFmtId="0" fontId="22" fillId="0" borderId="36" xfId="0" applyFont="1" applyBorder="1"/>
    <xf numFmtId="10" fontId="22" fillId="0" borderId="37" xfId="0" applyNumberFormat="1" applyFont="1" applyBorder="1" applyAlignment="1">
      <alignment horizontal="left"/>
    </xf>
    <xf numFmtId="0" fontId="0" fillId="0" borderId="38" xfId="0" applyBorder="1"/>
    <xf numFmtId="0" fontId="0" fillId="8" borderId="38" xfId="0" applyFill="1" applyBorder="1"/>
    <xf numFmtId="0" fontId="0" fillId="0" borderId="39" xfId="0" applyBorder="1"/>
    <xf numFmtId="0" fontId="24" fillId="0" borderId="42" xfId="0" applyFont="1" applyBorder="1" applyAlignment="1">
      <alignment horizontal="left"/>
    </xf>
    <xf numFmtId="0" fontId="24" fillId="0" borderId="45" xfId="0" applyFont="1" applyBorder="1" applyAlignment="1">
      <alignment horizontal="left"/>
    </xf>
    <xf numFmtId="0" fontId="24" fillId="0" borderId="42" xfId="0" applyFont="1" applyBorder="1"/>
    <xf numFmtId="10" fontId="24" fillId="0" borderId="45" xfId="0" applyNumberFormat="1" applyFont="1" applyBorder="1" applyAlignment="1">
      <alignment horizontal="left"/>
    </xf>
    <xf numFmtId="0" fontId="24" fillId="0" borderId="43" xfId="0" applyFont="1" applyBorder="1"/>
    <xf numFmtId="0" fontId="24" fillId="0" borderId="44" xfId="3" applyNumberFormat="1" applyFont="1" applyBorder="1"/>
    <xf numFmtId="0" fontId="5" fillId="5" borderId="0" xfId="0" applyFont="1" applyFill="1"/>
    <xf numFmtId="0" fontId="5" fillId="5" borderId="0" xfId="0" applyFont="1" applyFill="1" applyAlignment="1">
      <alignment horizontal="left"/>
    </xf>
    <xf numFmtId="0" fontId="5" fillId="5" borderId="0" xfId="0" applyFont="1" applyFill="1" applyAlignment="1">
      <alignment horizontal="center"/>
    </xf>
    <xf numFmtId="14" fontId="5" fillId="5" borderId="0" xfId="0" applyNumberFormat="1" applyFont="1" applyFill="1" applyAlignment="1">
      <alignment horizontal="center"/>
    </xf>
    <xf numFmtId="14" fontId="5" fillId="5" borderId="0" xfId="0" applyNumberFormat="1" applyFont="1" applyFill="1"/>
    <xf numFmtId="164" fontId="5" fillId="5" borderId="0" xfId="0" applyNumberFormat="1" applyFont="1" applyFill="1"/>
    <xf numFmtId="0" fontId="7" fillId="8" borderId="0" xfId="0" applyFont="1" applyFill="1"/>
    <xf numFmtId="0" fontId="7" fillId="5" borderId="0" xfId="0" applyFont="1" applyFill="1"/>
    <xf numFmtId="14" fontId="5" fillId="2" borderId="0" xfId="0" applyNumberFormat="1" applyFont="1" applyFill="1" applyAlignment="1">
      <alignment horizontal="left" wrapText="1"/>
    </xf>
    <xf numFmtId="0" fontId="25" fillId="0" borderId="42" xfId="0" applyFont="1" applyBorder="1" applyAlignment="1">
      <alignment horizontal="left"/>
    </xf>
    <xf numFmtId="0" fontId="25" fillId="0" borderId="45" xfId="0" applyFont="1" applyBorder="1" applyAlignment="1">
      <alignment horizontal="left"/>
    </xf>
    <xf numFmtId="0" fontId="25" fillId="0" borderId="42" xfId="0" applyFont="1" applyBorder="1"/>
    <xf numFmtId="10" fontId="25" fillId="0" borderId="45" xfId="0" applyNumberFormat="1" applyFont="1" applyBorder="1" applyAlignment="1">
      <alignment horizontal="left"/>
    </xf>
    <xf numFmtId="0" fontId="25" fillId="0" borderId="43" xfId="0" applyFont="1" applyBorder="1"/>
    <xf numFmtId="0" fontId="25" fillId="0" borderId="44" xfId="3" applyNumberFormat="1" applyFont="1" applyBorder="1"/>
    <xf numFmtId="0" fontId="1" fillId="0" borderId="0" xfId="0" applyFont="1" applyAlignment="1">
      <alignment wrapText="1"/>
    </xf>
    <xf numFmtId="0" fontId="27" fillId="0" borderId="46" xfId="0" applyFont="1" applyBorder="1" applyAlignment="1">
      <alignment horizontal="left" wrapText="1"/>
    </xf>
    <xf numFmtId="0" fontId="27" fillId="0" borderId="47" xfId="0" applyFont="1" applyBorder="1" applyAlignment="1">
      <alignment horizontal="left"/>
    </xf>
    <xf numFmtId="49" fontId="27" fillId="0" borderId="47" xfId="0" applyNumberFormat="1" applyFont="1" applyBorder="1" applyAlignment="1">
      <alignment horizontal="left" wrapText="1"/>
    </xf>
    <xf numFmtId="15" fontId="27" fillId="0" borderId="47" xfId="0" applyNumberFormat="1" applyFont="1" applyBorder="1" applyAlignment="1">
      <alignment horizontal="left" wrapText="1"/>
    </xf>
    <xf numFmtId="0" fontId="27" fillId="0" borderId="47" xfId="0" applyFont="1" applyBorder="1" applyAlignment="1">
      <alignment horizontal="left" wrapText="1"/>
    </xf>
    <xf numFmtId="0" fontId="27" fillId="0" borderId="39" xfId="0" applyFont="1" applyBorder="1" applyAlignment="1">
      <alignment horizontal="left" wrapText="1"/>
    </xf>
    <xf numFmtId="0" fontId="26" fillId="0" borderId="46" xfId="0" applyFont="1" applyBorder="1" applyAlignment="1">
      <alignment horizontal="left" wrapText="1"/>
    </xf>
    <xf numFmtId="0" fontId="28" fillId="0" borderId="47" xfId="0" applyFont="1" applyBorder="1" applyAlignment="1">
      <alignment horizontal="left"/>
    </xf>
    <xf numFmtId="14" fontId="28" fillId="0" borderId="47" xfId="0" applyNumberFormat="1" applyFont="1" applyBorder="1" applyAlignment="1">
      <alignment horizontal="left"/>
    </xf>
    <xf numFmtId="0" fontId="28" fillId="0" borderId="39" xfId="0" applyFont="1" applyBorder="1" applyAlignment="1">
      <alignment horizontal="left"/>
    </xf>
    <xf numFmtId="0" fontId="0" fillId="0" borderId="46" xfId="0" applyBorder="1"/>
    <xf numFmtId="0" fontId="0" fillId="0" borderId="47" xfId="0" applyBorder="1"/>
    <xf numFmtId="14" fontId="0" fillId="0" borderId="47" xfId="0" applyNumberFormat="1" applyBorder="1" applyAlignment="1">
      <alignment horizontal="center"/>
    </xf>
    <xf numFmtId="0" fontId="0" fillId="0" borderId="47" xfId="0" applyBorder="1" applyAlignment="1">
      <alignment horizontal="left"/>
    </xf>
    <xf numFmtId="14" fontId="19" fillId="0" borderId="11" xfId="0" applyNumberFormat="1" applyFont="1" applyBorder="1" applyAlignment="1">
      <alignment horizontal="center"/>
    </xf>
    <xf numFmtId="14" fontId="19" fillId="0" borderId="12" xfId="0" applyNumberFormat="1" applyFont="1" applyBorder="1" applyAlignment="1">
      <alignment horizontal="center"/>
    </xf>
    <xf numFmtId="2" fontId="0" fillId="0" borderId="11" xfId="0" applyNumberFormat="1" applyBorder="1" applyAlignment="1">
      <alignment horizontal="left"/>
    </xf>
    <xf numFmtId="0" fontId="0" fillId="0" borderId="13" xfId="0" applyBorder="1" applyAlignment="1">
      <alignment horizontal="left"/>
    </xf>
    <xf numFmtId="2" fontId="0" fillId="0" borderId="11" xfId="0" applyNumberFormat="1" applyBorder="1" applyAlignment="1">
      <alignment horizontal="center"/>
    </xf>
    <xf numFmtId="0" fontId="0" fillId="0" borderId="13" xfId="0" applyBorder="1" applyAlignment="1">
      <alignment horizontal="center"/>
    </xf>
    <xf numFmtId="0" fontId="10" fillId="6" borderId="14" xfId="0" applyFont="1" applyFill="1" applyBorder="1" applyAlignment="1">
      <alignment horizontal="center" vertical="center"/>
    </xf>
    <xf numFmtId="0" fontId="10" fillId="6" borderId="16" xfId="0" applyFont="1" applyFill="1" applyBorder="1" applyAlignment="1">
      <alignment horizontal="center" vertical="center"/>
    </xf>
    <xf numFmtId="0" fontId="1" fillId="12" borderId="46" xfId="0" applyFont="1" applyFill="1" applyBorder="1" applyAlignment="1">
      <alignment horizontal="center" wrapText="1"/>
    </xf>
    <xf numFmtId="0" fontId="1" fillId="12" borderId="47" xfId="0" applyFont="1" applyFill="1" applyBorder="1" applyAlignment="1">
      <alignment horizontal="center" wrapText="1"/>
    </xf>
    <xf numFmtId="0" fontId="1" fillId="12" borderId="39" xfId="0" applyFont="1" applyFill="1" applyBorder="1" applyAlignment="1">
      <alignment horizontal="center" wrapText="1"/>
    </xf>
    <xf numFmtId="0" fontId="25" fillId="8" borderId="40" xfId="0" applyFont="1" applyFill="1" applyBorder="1" applyAlignment="1">
      <alignment horizontal="center"/>
    </xf>
    <xf numFmtId="0" fontId="25" fillId="8" borderId="41" xfId="0" applyFont="1" applyFill="1" applyBorder="1" applyAlignment="1">
      <alignment horizontal="center"/>
    </xf>
    <xf numFmtId="0" fontId="16" fillId="0" borderId="20" xfId="0" applyFont="1" applyBorder="1" applyAlignment="1">
      <alignment horizontal="right"/>
    </xf>
    <xf numFmtId="0" fontId="16" fillId="0" borderId="22" xfId="0" applyFont="1" applyBorder="1" applyAlignment="1">
      <alignment horizontal="right"/>
    </xf>
    <xf numFmtId="0" fontId="13" fillId="8" borderId="0" xfId="0" applyFont="1" applyFill="1" applyAlignment="1">
      <alignment horizontal="center"/>
    </xf>
    <xf numFmtId="0" fontId="13" fillId="0" borderId="23" xfId="0" applyFont="1" applyBorder="1" applyAlignment="1">
      <alignment horizontal="center" vertical="center"/>
    </xf>
    <xf numFmtId="0" fontId="13" fillId="0" borderId="24" xfId="0" applyFont="1" applyBorder="1" applyAlignment="1">
      <alignment horizontal="center" vertical="center"/>
    </xf>
    <xf numFmtId="0" fontId="13" fillId="0" borderId="25" xfId="0" applyFont="1" applyBorder="1" applyAlignment="1">
      <alignment horizontal="center" vertical="center"/>
    </xf>
    <xf numFmtId="0" fontId="13" fillId="0" borderId="26" xfId="0" applyFont="1" applyBorder="1" applyAlignment="1">
      <alignment horizontal="center" vertical="center"/>
    </xf>
    <xf numFmtId="0" fontId="13" fillId="0" borderId="27" xfId="0" applyFont="1" applyBorder="1" applyAlignment="1">
      <alignment horizontal="center" vertical="center"/>
    </xf>
    <xf numFmtId="0" fontId="13" fillId="0" borderId="28" xfId="0" applyFont="1" applyBorder="1" applyAlignment="1">
      <alignment horizontal="center" vertical="center"/>
    </xf>
    <xf numFmtId="0" fontId="16" fillId="0" borderId="30" xfId="0" applyFont="1" applyBorder="1" applyAlignment="1">
      <alignment horizontal="right"/>
    </xf>
    <xf numFmtId="0" fontId="16" fillId="0" borderId="29" xfId="0" applyFont="1" applyBorder="1" applyAlignment="1">
      <alignment horizontal="right"/>
    </xf>
    <xf numFmtId="164" fontId="13" fillId="0" borderId="30" xfId="0" applyNumberFormat="1" applyFont="1" applyBorder="1" applyAlignment="1">
      <alignment horizontal="left"/>
    </xf>
    <xf numFmtId="164" fontId="13" fillId="0" borderId="0" xfId="0" applyNumberFormat="1" applyFont="1" applyAlignment="1">
      <alignment horizontal="left"/>
    </xf>
    <xf numFmtId="0" fontId="16" fillId="0" borderId="17" xfId="0" applyFont="1" applyBorder="1" applyAlignment="1">
      <alignment horizontal="right"/>
    </xf>
    <xf numFmtId="0" fontId="16" fillId="0" borderId="19" xfId="0" applyFont="1" applyBorder="1" applyAlignment="1">
      <alignment horizontal="right"/>
    </xf>
    <xf numFmtId="0" fontId="24" fillId="8" borderId="40" xfId="0" applyFont="1" applyFill="1" applyBorder="1" applyAlignment="1">
      <alignment horizontal="center"/>
    </xf>
    <xf numFmtId="0" fontId="24" fillId="8" borderId="41" xfId="0" applyFont="1" applyFill="1" applyBorder="1" applyAlignment="1">
      <alignment horizontal="center"/>
    </xf>
    <xf numFmtId="0" fontId="22" fillId="8" borderId="1" xfId="0" applyFont="1" applyFill="1" applyBorder="1" applyAlignment="1">
      <alignment horizontal="center"/>
    </xf>
    <xf numFmtId="0" fontId="22" fillId="8" borderId="4" xfId="0" applyFont="1" applyFill="1" applyBorder="1" applyAlignment="1">
      <alignment horizontal="center"/>
    </xf>
    <xf numFmtId="164" fontId="13" fillId="0" borderId="30" xfId="0" quotePrefix="1" applyNumberFormat="1" applyFont="1" applyBorder="1" applyAlignment="1">
      <alignment horizontal="left"/>
    </xf>
  </cellXfs>
  <cellStyles count="4">
    <cellStyle name="Currency" xfId="2" builtinId="4"/>
    <cellStyle name="Hyperlink" xfId="1" builtinId="8"/>
    <cellStyle name="Normal" xfId="0" builtinId="0"/>
    <cellStyle name="Percent" xfId="3" builtinId="5"/>
  </cellStyles>
  <dxfs count="680">
    <dxf>
      <fill>
        <patternFill>
          <bgColor rgb="FF92D050"/>
        </patternFill>
      </fill>
    </dxf>
    <dxf>
      <fill>
        <patternFill>
          <bgColor theme="8" tint="0.39994506668294322"/>
        </patternFill>
      </fill>
    </dxf>
    <dxf>
      <fill>
        <patternFill>
          <bgColor theme="7" tint="0.39994506668294322"/>
        </patternFill>
      </fill>
    </dxf>
    <dxf>
      <fill>
        <patternFill>
          <bgColor rgb="FFF5BDD1"/>
        </patternFill>
      </fill>
    </dxf>
    <dxf>
      <fill>
        <patternFill>
          <bgColor rgb="FF92D050"/>
        </patternFill>
      </fill>
    </dxf>
    <dxf>
      <fill>
        <patternFill>
          <bgColor theme="8" tint="0.39994506668294322"/>
        </patternFill>
      </fill>
    </dxf>
    <dxf>
      <fill>
        <patternFill>
          <bgColor theme="7" tint="0.39994506668294322"/>
        </patternFill>
      </fill>
    </dxf>
    <dxf>
      <fill>
        <patternFill>
          <bgColor rgb="FFF5BDD1"/>
        </patternFill>
      </fill>
    </dxf>
    <dxf>
      <fill>
        <patternFill patternType="none">
          <fgColor auto="1"/>
          <bgColor auto="1"/>
        </patternFill>
      </fill>
    </dxf>
    <dxf>
      <fill>
        <patternFill>
          <bgColor theme="8" tint="0.59996337778862885"/>
        </patternFill>
      </fill>
    </dxf>
    <dxf>
      <font>
        <color rgb="FF9C0006"/>
      </font>
    </dxf>
    <dxf>
      <font>
        <color rgb="FF9C0006"/>
      </font>
    </dxf>
    <dxf>
      <font>
        <color rgb="FF9C0006"/>
      </font>
    </dxf>
    <dxf>
      <font>
        <color rgb="FF9C0006"/>
      </font>
    </dxf>
    <dxf>
      <font>
        <color theme="1"/>
      </font>
    </dxf>
    <dxf>
      <font>
        <color rgb="FFFF0000"/>
      </font>
    </dxf>
    <dxf>
      <font>
        <color rgb="FF9C0006"/>
      </font>
    </dxf>
    <dxf>
      <font>
        <color theme="1"/>
      </font>
    </dxf>
    <dxf>
      <font>
        <color rgb="FFFF000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FF0000"/>
      </font>
    </dxf>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FF0000"/>
      </font>
    </dxf>
    <dxf>
      <font>
        <color rgb="FFFF0000"/>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dxf>
    <dxf>
      <font>
        <color rgb="FFFF0000"/>
      </font>
    </dxf>
    <dxf>
      <font>
        <color rgb="FFFF0000"/>
      </font>
    </dxf>
    <dxf>
      <font>
        <color rgb="FFFF0000"/>
      </font>
    </dxf>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FF0000"/>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rgb="FF9C0006"/>
      </font>
    </dxf>
    <dxf>
      <font>
        <color theme="1"/>
      </font>
    </dxf>
    <dxf>
      <font>
        <color rgb="FFFF0000"/>
      </font>
    </dxf>
    <dxf>
      <font>
        <color rgb="FFFF0000"/>
      </font>
    </dxf>
    <dxf>
      <font>
        <color rgb="FFFF0000"/>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theme="1"/>
      </font>
    </dxf>
    <dxf>
      <font>
        <color rgb="FFFF0000"/>
      </font>
    </dxf>
    <dxf>
      <font>
        <color rgb="FFFF0000"/>
      </font>
    </dxf>
    <dxf>
      <font>
        <color rgb="FFFF0000"/>
      </font>
    </dxf>
    <dxf>
      <font>
        <color rgb="FFFF0000"/>
      </font>
    </dxf>
    <dxf>
      <font>
        <color rgb="FFFF0000"/>
      </font>
    </dxf>
    <dxf>
      <font>
        <color rgb="FFFF0000"/>
      </font>
    </dxf>
    <dxf>
      <font>
        <color rgb="FF9C0006"/>
      </font>
    </dxf>
    <dxf>
      <font>
        <color theme="1"/>
      </font>
    </dxf>
    <dxf>
      <font>
        <color rgb="FFFF0000"/>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rgb="FF9C0006"/>
      </font>
    </dxf>
    <dxf>
      <font>
        <color rgb="FF9C0006"/>
      </font>
    </dxf>
    <dxf>
      <font>
        <color rgb="FF9C0006"/>
      </font>
    </dxf>
    <dxf>
      <font>
        <color rgb="FF9C0006"/>
      </font>
    </dxf>
    <dxf>
      <font>
        <color rgb="FF9C0006"/>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theme="1"/>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1"/>
      </font>
    </dxf>
    <dxf>
      <font>
        <color rgb="FFFF0000"/>
      </font>
    </dxf>
    <dxf>
      <fill>
        <patternFill>
          <bgColor theme="9" tint="0.59996337778862885"/>
        </patternFill>
      </fill>
    </dxf>
    <dxf>
      <fill>
        <patternFill>
          <bgColor theme="8" tint="0.59996337778862885"/>
        </patternFill>
      </fill>
    </dxf>
    <dxf>
      <fill>
        <patternFill>
          <bgColor theme="7" tint="0.59996337778862885"/>
        </patternFill>
      </fill>
    </dxf>
    <dxf>
      <fill>
        <patternFill>
          <bgColor rgb="FFE0B7FF"/>
        </patternFill>
      </fill>
    </dxf>
    <dxf>
      <fill>
        <patternFill patternType="none">
          <bgColor auto="1"/>
        </patternFill>
      </fill>
    </dxf>
    <dxf>
      <font>
        <color theme="0"/>
      </font>
      <fill>
        <patternFill>
          <bgColor theme="2" tint="-0.749961851863155"/>
        </patternFill>
      </fill>
    </dxf>
  </dxfs>
  <tableStyles count="0" defaultTableStyle="TableStyleMedium2" defaultPivotStyle="PivotStyleLight16"/>
  <colors>
    <mruColors>
      <color rgb="FFFFA7A7"/>
      <color rgb="FFF5BDD1"/>
      <color rgb="FFA0E4A3"/>
      <color rgb="FFE0B7FF"/>
      <color rgb="FFCBF1F5"/>
      <color rgb="FFCDEFF7"/>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customXml" Target="../customXml/item1.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connections" Target="connections.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styles" Target="styles.xml"/><Relationship Id="rId135"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sheetMetadata" Target="metadata.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J$254" lockText="1" noThreeD="1"/>
</file>

<file path=xl/ctrlProps/ctrlProp8.xml><?xml version="1.0" encoding="utf-8"?>
<formControlPr xmlns="http://schemas.microsoft.com/office/spreadsheetml/2009/9/main" objectType="CheckBox" checked="Checked" fmlaLink="$E$254" lockText="1" noThreeD="1"/>
</file>

<file path=xl/ctrlProps/ctrlProp9.xml><?xml version="1.0" encoding="utf-8"?>
<formControlPr xmlns="http://schemas.microsoft.com/office/spreadsheetml/2009/9/main" objectType="CheckBox" checked="Checked" fmlaLink="$J$253" lockText="1" noThreeD="1"/>
</file>

<file path=xl/ctrlProps/ctrlProp10.xml><?xml version="1.0" encoding="utf-8"?>
<formControlPr xmlns="http://schemas.microsoft.com/office/spreadsheetml/2009/9/main" objectType="CheckBox" checked="Checked" fmlaLink="$E$253" lockText="1" noThreeD="1"/>
</file>

<file path=xl/ctrlProps/ctrlProp11.xml><?xml version="1.0" encoding="utf-8"?>
<formControlPr xmlns="http://schemas.microsoft.com/office/spreadsheetml/2009/9/main" objectType="CheckBox" checked="Checked" fmlaLink="$J$252" lockText="1" noThreeD="1"/>
</file>

<file path=xl/ctrlProps/ctrlProp12.xml><?xml version="1.0" encoding="utf-8"?>
<formControlPr xmlns="http://schemas.microsoft.com/office/spreadsheetml/2009/9/main" objectType="CheckBox" checked="Checked" fmlaLink="$E$252" lockText="1" noThreeD="1"/>
</file>

<file path=xl/ctrlProps/ctrlProp13.xml><?xml version="1.0" encoding="utf-8"?>
<formControlPr xmlns="http://schemas.microsoft.com/office/spreadsheetml/2009/9/main" objectType="CheckBox" fmlaLink="$J$251" lockText="1" noThreeD="1"/>
</file>

<file path=xl/ctrlProps/ctrlProp14.xml><?xml version="1.0" encoding="utf-8"?>
<formControlPr xmlns="http://schemas.microsoft.com/office/spreadsheetml/2009/9/main" objectType="CheckBox" checked="Checked" fmlaLink="$E$251" lockText="1" noThreeD="1"/>
</file>

<file path=xl/ctrlProps/ctrlProp15.xml><?xml version="1.0" encoding="utf-8"?>
<formControlPr xmlns="http://schemas.microsoft.com/office/spreadsheetml/2009/9/main" objectType="CheckBox" checked="Checked" fmlaLink="$J$250" lockText="1" noThreeD="1"/>
</file>

<file path=xl/ctrlProps/ctrlProp16.xml><?xml version="1.0" encoding="utf-8"?>
<formControlPr xmlns="http://schemas.microsoft.com/office/spreadsheetml/2009/9/main" objectType="CheckBox" checked="Checked" fmlaLink="$E$250" lockText="1" noThreeD="1"/>
</file>

<file path=xl/ctrlProps/ctrlProp17.xml><?xml version="1.0" encoding="utf-8"?>
<formControlPr xmlns="http://schemas.microsoft.com/office/spreadsheetml/2009/9/main" objectType="CheckBox" checked="Checked" fmlaLink="$J$249" lockText="1" noThreeD="1"/>
</file>

<file path=xl/ctrlProps/ctrlProp18.xml><?xml version="1.0" encoding="utf-8"?>
<formControlPr xmlns="http://schemas.microsoft.com/office/spreadsheetml/2009/9/main" objectType="CheckBox" checked="Checked" fmlaLink="$E$249" lockText="1" noThreeD="1"/>
</file>

<file path=xl/ctrlProps/ctrlProp19.xml><?xml version="1.0" encoding="utf-8"?>
<formControlPr xmlns="http://schemas.microsoft.com/office/spreadsheetml/2009/9/main" objectType="CheckBox" checked="Checked" fmlaLink="$J$248" lockText="1" noThreeD="1"/>
</file>

<file path=xl/ctrlProps/ctrlProp20.xml><?xml version="1.0" encoding="utf-8"?>
<formControlPr xmlns="http://schemas.microsoft.com/office/spreadsheetml/2009/9/main" objectType="CheckBox" checked="Checked" fmlaLink="$E$248" lockText="1" noThreeD="1"/>
</file>

<file path=xl/ctrlProps/ctrlProp21.xml><?xml version="1.0" encoding="utf-8"?>
<formControlPr xmlns="http://schemas.microsoft.com/office/spreadsheetml/2009/9/main" objectType="CheckBox" checked="Checked" fmlaLink="$J$247" lockText="1" noThreeD="1"/>
</file>

<file path=xl/ctrlProps/ctrlProp22.xml><?xml version="1.0" encoding="utf-8"?>
<formControlPr xmlns="http://schemas.microsoft.com/office/spreadsheetml/2009/9/main" objectType="CheckBox" checked="Checked" fmlaLink="$E$247" lockText="1" noThreeD="1"/>
</file>

<file path=xl/ctrlProps/ctrlProp23.xml><?xml version="1.0" encoding="utf-8"?>
<formControlPr xmlns="http://schemas.microsoft.com/office/spreadsheetml/2009/9/main" objectType="CheckBox" fmlaLink="$J$246" lockText="1" noThreeD="1"/>
</file>

<file path=xl/ctrlProps/ctrlProp24.xml><?xml version="1.0" encoding="utf-8"?>
<formControlPr xmlns="http://schemas.microsoft.com/office/spreadsheetml/2009/9/main" objectType="CheckBox" checked="Checked" fmlaLink="$E$246" lockText="1" noThreeD="1"/>
</file>

<file path=xl/ctrlProps/ctrlProp25.xml><?xml version="1.0" encoding="utf-8"?>
<formControlPr xmlns="http://schemas.microsoft.com/office/spreadsheetml/2009/9/main" objectType="CheckBox" checked="Checked" fmlaLink="$J$245" lockText="1" noThreeD="1"/>
</file>

<file path=xl/ctrlProps/ctrlProp26.xml><?xml version="1.0" encoding="utf-8"?>
<formControlPr xmlns="http://schemas.microsoft.com/office/spreadsheetml/2009/9/main" objectType="CheckBox" checked="Checked" fmlaLink="$E$245" lockText="1" noThreeD="1"/>
</file>

<file path=xl/ctrlProps/ctrlProp27.xml><?xml version="1.0" encoding="utf-8"?>
<formControlPr xmlns="http://schemas.microsoft.com/office/spreadsheetml/2009/9/main" objectType="CheckBox" checked="Checked" fmlaLink="$J$244" lockText="1" noThreeD="1"/>
</file>

<file path=xl/ctrlProps/ctrlProp28.xml><?xml version="1.0" encoding="utf-8"?>
<formControlPr xmlns="http://schemas.microsoft.com/office/spreadsheetml/2009/9/main" objectType="CheckBox" checked="Checked" fmlaLink="$E$244" lockText="1" noThreeD="1"/>
</file>

<file path=xl/ctrlProps/ctrlProp29.xml><?xml version="1.0" encoding="utf-8"?>
<formControlPr xmlns="http://schemas.microsoft.com/office/spreadsheetml/2009/9/main" objectType="CheckBox" fmlaLink="$J$243" lockText="1" noThreeD="1"/>
</file>

<file path=xl/ctrlProps/ctrlProp30.xml><?xml version="1.0" encoding="utf-8"?>
<formControlPr xmlns="http://schemas.microsoft.com/office/spreadsheetml/2009/9/main" objectType="CheckBox" fmlaLink="$E$243" lockText="1" noThreeD="1"/>
</file>

<file path=xl/ctrlProps/ctrlProp31.xml><?xml version="1.0" encoding="utf-8"?>
<formControlPr xmlns="http://schemas.microsoft.com/office/spreadsheetml/2009/9/main" objectType="CheckBox" fmlaLink="#REF!" lockText="1" noThreeD="1"/>
</file>

<file path=xl/ctrlProps/ctrlProp32.xml><?xml version="1.0" encoding="utf-8"?>
<formControlPr xmlns="http://schemas.microsoft.com/office/spreadsheetml/2009/9/main" objectType="CheckBox" checked="Checked" fmlaLink="$J$242" lockText="1" noThreeD="1"/>
</file>

<file path=xl/ctrlProps/ctrlProp33.xml><?xml version="1.0" encoding="utf-8"?>
<formControlPr xmlns="http://schemas.microsoft.com/office/spreadsheetml/2009/9/main" objectType="CheckBox" checked="Checked" fmlaLink="$E$242" lockText="1" noThreeD="1"/>
</file>

<file path=xl/ctrlProps/ctrlProp34.xml><?xml version="1.0" encoding="utf-8"?>
<formControlPr xmlns="http://schemas.microsoft.com/office/spreadsheetml/2009/9/main" objectType="CheckBox" checked="Checked" fmlaLink="$J$241" lockText="1" noThreeD="1"/>
</file>

<file path=xl/ctrlProps/ctrlProp35.xml><?xml version="1.0" encoding="utf-8"?>
<formControlPr xmlns="http://schemas.microsoft.com/office/spreadsheetml/2009/9/main" objectType="CheckBox" checked="Checked" fmlaLink="$E$241" lockText="1" noThreeD="1"/>
</file>

<file path=xl/ctrlProps/ctrlProp36.xml><?xml version="1.0" encoding="utf-8"?>
<formControlPr xmlns="http://schemas.microsoft.com/office/spreadsheetml/2009/9/main" objectType="CheckBox" checked="Checked" fmlaLink="$J$240" lockText="1" noThreeD="1"/>
</file>

<file path=xl/ctrlProps/ctrlProp37.xml><?xml version="1.0" encoding="utf-8"?>
<formControlPr xmlns="http://schemas.microsoft.com/office/spreadsheetml/2009/9/main" objectType="CheckBox" checked="Checked" fmlaLink="$E$240" lockText="1" noThreeD="1"/>
</file>

<file path=xl/ctrlProps/ctrlProp38.xml><?xml version="1.0" encoding="utf-8"?>
<formControlPr xmlns="http://schemas.microsoft.com/office/spreadsheetml/2009/9/main" objectType="CheckBox" checked="Checked" fmlaLink="$J$239" lockText="1" noThreeD="1"/>
</file>

<file path=xl/ctrlProps/ctrlProp39.xml><?xml version="1.0" encoding="utf-8"?>
<formControlPr xmlns="http://schemas.microsoft.com/office/spreadsheetml/2009/9/main" objectType="CheckBox" checked="Checked" fmlaLink="$E$239" lockText="1" noThreeD="1"/>
</file>

<file path=xl/ctrlProps/ctrlProp40.xml><?xml version="1.0" encoding="utf-8"?>
<formControlPr xmlns="http://schemas.microsoft.com/office/spreadsheetml/2009/9/main" objectType="CheckBox" checked="Checked" fmlaLink="$J$238" lockText="1" noThreeD="1"/>
</file>

<file path=xl/ctrlProps/ctrlProp41.xml><?xml version="1.0" encoding="utf-8"?>
<formControlPr xmlns="http://schemas.microsoft.com/office/spreadsheetml/2009/9/main" objectType="CheckBox" checked="Checked" fmlaLink="$E$238" lockText="1" noThreeD="1"/>
</file>

<file path=xl/ctrlProps/ctrlProp42.xml><?xml version="1.0" encoding="utf-8"?>
<formControlPr xmlns="http://schemas.microsoft.com/office/spreadsheetml/2009/9/main" objectType="CheckBox" checked="Checked" fmlaLink="$J$237" lockText="1" noThreeD="1"/>
</file>

<file path=xl/ctrlProps/ctrlProp43.xml><?xml version="1.0" encoding="utf-8"?>
<formControlPr xmlns="http://schemas.microsoft.com/office/spreadsheetml/2009/9/main" objectType="CheckBox" checked="Checked" fmlaLink="$E$237" lockText="1" noThreeD="1"/>
</file>

<file path=xl/ctrlProps/ctrlProp44.xml><?xml version="1.0" encoding="utf-8"?>
<formControlPr xmlns="http://schemas.microsoft.com/office/spreadsheetml/2009/9/main" objectType="CheckBox" checked="Checked" fmlaLink="$J$236" lockText="1" noThreeD="1"/>
</file>

<file path=xl/ctrlProps/ctrlProp45.xml><?xml version="1.0" encoding="utf-8"?>
<formControlPr xmlns="http://schemas.microsoft.com/office/spreadsheetml/2009/9/main" objectType="CheckBox" checked="Checked" fmlaLink="$E$236" lockText="1" noThreeD="1"/>
</file>

<file path=xl/ctrlProps/ctrlProp46.xml><?xml version="1.0" encoding="utf-8"?>
<formControlPr xmlns="http://schemas.microsoft.com/office/spreadsheetml/2009/9/main" objectType="CheckBox" checked="Checked" fmlaLink="$J$235" lockText="1" noThreeD="1"/>
</file>

<file path=xl/ctrlProps/ctrlProp47.xml><?xml version="1.0" encoding="utf-8"?>
<formControlPr xmlns="http://schemas.microsoft.com/office/spreadsheetml/2009/9/main" objectType="CheckBox" checked="Checked" fmlaLink="$E$235" lockText="1" noThreeD="1"/>
</file>

<file path=xl/ctrlProps/ctrlProp48.xml><?xml version="1.0" encoding="utf-8"?>
<formControlPr xmlns="http://schemas.microsoft.com/office/spreadsheetml/2009/9/main" objectType="CheckBox" checked="Checked" fmlaLink="$J$234" lockText="1" noThreeD="1"/>
</file>

<file path=xl/ctrlProps/ctrlProp49.xml><?xml version="1.0" encoding="utf-8"?>
<formControlPr xmlns="http://schemas.microsoft.com/office/spreadsheetml/2009/9/main" objectType="CheckBox" checked="Checked" fmlaLink="$E$234" lockText="1" noThreeD="1"/>
</file>

<file path=xl/ctrlProps/ctrlProp50.xml><?xml version="1.0" encoding="utf-8"?>
<formControlPr xmlns="http://schemas.microsoft.com/office/spreadsheetml/2009/9/main" objectType="CheckBox" checked="Checked" fmlaLink="$J$233" lockText="1" noThreeD="1"/>
</file>

<file path=xl/ctrlProps/ctrlProp51.xml><?xml version="1.0" encoding="utf-8"?>
<formControlPr xmlns="http://schemas.microsoft.com/office/spreadsheetml/2009/9/main" objectType="CheckBox" checked="Checked" fmlaLink="$E$233" lockText="1" noThreeD="1"/>
</file>

<file path=xl/ctrlProps/ctrlProp52.xml><?xml version="1.0" encoding="utf-8"?>
<formControlPr xmlns="http://schemas.microsoft.com/office/spreadsheetml/2009/9/main" objectType="CheckBox" checked="Checked" fmlaLink="$J$232" lockText="1" noThreeD="1"/>
</file>

<file path=xl/ctrlProps/ctrlProp53.xml><?xml version="1.0" encoding="utf-8"?>
<formControlPr xmlns="http://schemas.microsoft.com/office/spreadsheetml/2009/9/main" objectType="CheckBox" checked="Checked" fmlaLink="$E$232" lockText="1" noThreeD="1"/>
</file>

<file path=xl/ctrlProps/ctrlProp54.xml><?xml version="1.0" encoding="utf-8"?>
<formControlPr xmlns="http://schemas.microsoft.com/office/spreadsheetml/2009/9/main" objectType="CheckBox" checked="Checked" fmlaLink="$J$231" lockText="1" noThreeD="1"/>
</file>

<file path=xl/ctrlProps/ctrlProp55.xml><?xml version="1.0" encoding="utf-8"?>
<formControlPr xmlns="http://schemas.microsoft.com/office/spreadsheetml/2009/9/main" objectType="CheckBox" checked="Checked" fmlaLink="$E$231" lockText="1" noThreeD="1"/>
</file>

<file path=xl/ctrlProps/ctrlProp56.xml><?xml version="1.0" encoding="utf-8"?>
<formControlPr xmlns="http://schemas.microsoft.com/office/spreadsheetml/2009/9/main" objectType="CheckBox" checked="Checked" fmlaLink="$J$230" lockText="1" noThreeD="1"/>
</file>

<file path=xl/ctrlProps/ctrlProp57.xml><?xml version="1.0" encoding="utf-8"?>
<formControlPr xmlns="http://schemas.microsoft.com/office/spreadsheetml/2009/9/main" objectType="CheckBox" checked="Checked" fmlaLink="$E$230" lockText="1" noThreeD="1"/>
</file>

<file path=xl/ctrlProps/ctrlProp58.xml><?xml version="1.0" encoding="utf-8"?>
<formControlPr xmlns="http://schemas.microsoft.com/office/spreadsheetml/2009/9/main" objectType="CheckBox" checked="Checked" fmlaLink="$J$229" lockText="1" noThreeD="1"/>
</file>

<file path=xl/ctrlProps/ctrlProp59.xml><?xml version="1.0" encoding="utf-8"?>
<formControlPr xmlns="http://schemas.microsoft.com/office/spreadsheetml/2009/9/main" objectType="CheckBox" checked="Checked" fmlaLink="$E$229" lockText="1" noThreeD="1"/>
</file>

<file path=xl/ctrlProps/ctrlProp60.xml><?xml version="1.0" encoding="utf-8"?>
<formControlPr xmlns="http://schemas.microsoft.com/office/spreadsheetml/2009/9/main" objectType="CheckBox" fmlaLink="$J$228" lockText="1" noThreeD="1"/>
</file>

<file path=xl/ctrlProps/ctrlProp61.xml><?xml version="1.0" encoding="utf-8"?>
<formControlPr xmlns="http://schemas.microsoft.com/office/spreadsheetml/2009/9/main" objectType="CheckBox" checked="Checked" fmlaLink="$E$228" lockText="1" noThreeD="1"/>
</file>

<file path=xl/ctrlProps/ctrlProp62.xml><?xml version="1.0" encoding="utf-8"?>
<formControlPr xmlns="http://schemas.microsoft.com/office/spreadsheetml/2009/9/main" objectType="CheckBox" fmlaLink="#REF!" lockText="1" noThreeD="1"/>
</file>

<file path=xl/ctrlProps/ctrlProp63.xml><?xml version="1.0" encoding="utf-8"?>
<formControlPr xmlns="http://schemas.microsoft.com/office/spreadsheetml/2009/9/main" objectType="CheckBox" checked="Checked" fmlaLink="$J$227" lockText="1" noThreeD="1"/>
</file>

<file path=xl/ctrlProps/ctrlProp64.xml><?xml version="1.0" encoding="utf-8"?>
<formControlPr xmlns="http://schemas.microsoft.com/office/spreadsheetml/2009/9/main" objectType="CheckBox" checked="Checked" fmlaLink="$E$227" lockText="1" noThreeD="1"/>
</file>

<file path=xl/ctrlProps/ctrlProp65.xml><?xml version="1.0" encoding="utf-8"?>
<formControlPr xmlns="http://schemas.microsoft.com/office/spreadsheetml/2009/9/main" objectType="CheckBox" checked="Checked" fmlaLink="$J$226" lockText="1" noThreeD="1"/>
</file>

<file path=xl/ctrlProps/ctrlProp66.xml><?xml version="1.0" encoding="utf-8"?>
<formControlPr xmlns="http://schemas.microsoft.com/office/spreadsheetml/2009/9/main" objectType="CheckBox" checked="Checked" fmlaLink="$E$226" lockText="1" noThreeD="1"/>
</file>

<file path=xl/ctrlProps/ctrlProp67.xml><?xml version="1.0" encoding="utf-8"?>
<formControlPr xmlns="http://schemas.microsoft.com/office/spreadsheetml/2009/9/main" objectType="CheckBox" checked="Checked" fmlaLink="$J$225" lockText="1" noThreeD="1"/>
</file>

<file path=xl/ctrlProps/ctrlProp68.xml><?xml version="1.0" encoding="utf-8"?>
<formControlPr xmlns="http://schemas.microsoft.com/office/spreadsheetml/2009/9/main" objectType="CheckBox" checked="Checked" fmlaLink="$E$225" lockText="1" noThreeD="1"/>
</file>

<file path=xl/ctrlProps/ctrlProp69.xml><?xml version="1.0" encoding="utf-8"?>
<formControlPr xmlns="http://schemas.microsoft.com/office/spreadsheetml/2009/9/main" objectType="CheckBox" fmlaLink="$J$224" lockText="1" noThreeD="1"/>
</file>

<file path=xl/ctrlProps/ctrlProp70.xml><?xml version="1.0" encoding="utf-8"?>
<formControlPr xmlns="http://schemas.microsoft.com/office/spreadsheetml/2009/9/main" objectType="CheckBox" checked="Checked" fmlaLink="$E$224" lockText="1" noThreeD="1"/>
</file>

<file path=xl/ctrlProps/ctrlProp71.xml><?xml version="1.0" encoding="utf-8"?>
<formControlPr xmlns="http://schemas.microsoft.com/office/spreadsheetml/2009/9/main" objectType="CheckBox" fmlaLink="#REF!" lockText="1" noThreeD="1"/>
</file>

<file path=xl/ctrlProps/ctrlProp72.xml><?xml version="1.0" encoding="utf-8"?>
<formControlPr xmlns="http://schemas.microsoft.com/office/spreadsheetml/2009/9/main" objectType="CheckBox" checked="Checked" fmlaLink="$J$223" lockText="1" noThreeD="1"/>
</file>

<file path=xl/ctrlProps/ctrlProp73.xml><?xml version="1.0" encoding="utf-8"?>
<formControlPr xmlns="http://schemas.microsoft.com/office/spreadsheetml/2009/9/main" objectType="CheckBox" checked="Checked" fmlaLink="$E$223" lockText="1" noThreeD="1"/>
</file>

<file path=xl/ctrlProps/ctrlProp74.xml><?xml version="1.0" encoding="utf-8"?>
<formControlPr xmlns="http://schemas.microsoft.com/office/spreadsheetml/2009/9/main" objectType="CheckBox" checked="Checked" fmlaLink="$J$222" lockText="1" noThreeD="1"/>
</file>

<file path=xl/ctrlProps/ctrlProp75.xml><?xml version="1.0" encoding="utf-8"?>
<formControlPr xmlns="http://schemas.microsoft.com/office/spreadsheetml/2009/9/main" objectType="CheckBox" checked="Checked" fmlaLink="$E$222" lockText="1" noThreeD="1"/>
</file>

<file path=xl/ctrlProps/ctrlProp76.xml><?xml version="1.0" encoding="utf-8"?>
<formControlPr xmlns="http://schemas.microsoft.com/office/spreadsheetml/2009/9/main" objectType="CheckBox" fmlaLink="$J$221" lockText="1" noThreeD="1"/>
</file>

<file path=xl/ctrlProps/ctrlProp77.xml><?xml version="1.0" encoding="utf-8"?>
<formControlPr xmlns="http://schemas.microsoft.com/office/spreadsheetml/2009/9/main" objectType="CheckBox" checked="Checked" fmlaLink="$E$221" lockText="1" noThreeD="1"/>
</file>

<file path=xl/ctrlProps/ctrlProp78.xml><?xml version="1.0" encoding="utf-8"?>
<formControlPr xmlns="http://schemas.microsoft.com/office/spreadsheetml/2009/9/main" objectType="CheckBox" checked="Checked" fmlaLink="$J$220" lockText="1" noThreeD="1"/>
</file>

<file path=xl/ctrlProps/ctrlProp79.xml><?xml version="1.0" encoding="utf-8"?>
<formControlPr xmlns="http://schemas.microsoft.com/office/spreadsheetml/2009/9/main" objectType="CheckBox" checked="Checked" fmlaLink="$E$220" lockText="1" noThreeD="1"/>
</file>

<file path=xl/ctrlProps/ctrlProp80.xml><?xml version="1.0" encoding="utf-8"?>
<formControlPr xmlns="http://schemas.microsoft.com/office/spreadsheetml/2009/9/main" objectType="CheckBox" checked="Checked" fmlaLink="$J$219" lockText="1" noThreeD="1"/>
</file>

<file path=xl/ctrlProps/ctrlProp81.xml><?xml version="1.0" encoding="utf-8"?>
<formControlPr xmlns="http://schemas.microsoft.com/office/spreadsheetml/2009/9/main" objectType="CheckBox" checked="Checked" fmlaLink="$E$219" lockText="1" noThreeD="1"/>
</file>

<file path=xl/ctrlProps/ctrlProp82.xml><?xml version="1.0" encoding="utf-8"?>
<formControlPr xmlns="http://schemas.microsoft.com/office/spreadsheetml/2009/9/main" objectType="CheckBox" checked="Checked" fmlaLink="$J$218" lockText="1" noThreeD="1"/>
</file>

<file path=xl/ctrlProps/ctrlProp83.xml><?xml version="1.0" encoding="utf-8"?>
<formControlPr xmlns="http://schemas.microsoft.com/office/spreadsheetml/2009/9/main" objectType="CheckBox" checked="Checked" fmlaLink="$E$218" lockText="1" noThreeD="1"/>
</file>

<file path=xl/ctrlProps/ctrlProp84.xml><?xml version="1.0" encoding="utf-8"?>
<formControlPr xmlns="http://schemas.microsoft.com/office/spreadsheetml/2009/9/main" objectType="CheckBox" checked="Checked" fmlaLink="$J$217" lockText="1" noThreeD="1"/>
</file>

<file path=xl/ctrlProps/ctrlProp85.xml><?xml version="1.0" encoding="utf-8"?>
<formControlPr xmlns="http://schemas.microsoft.com/office/spreadsheetml/2009/9/main" objectType="CheckBox" checked="Checked" fmlaLink="$E$217" lockText="1" noThreeD="1"/>
</file>

<file path=xl/ctrlProps/ctrlProp86.xml><?xml version="1.0" encoding="utf-8"?>
<formControlPr xmlns="http://schemas.microsoft.com/office/spreadsheetml/2009/9/main" objectType="CheckBox" fmlaLink="$J$216" lockText="1" noThreeD="1"/>
</file>

<file path=xl/ctrlProps/ctrlProp87.xml><?xml version="1.0" encoding="utf-8"?>
<formControlPr xmlns="http://schemas.microsoft.com/office/spreadsheetml/2009/9/main" objectType="CheckBox" checked="Checked" fmlaLink="$E$216" lockText="1" noThreeD="1"/>
</file>

<file path=xl/ctrlProps/ctrlProp88.xml><?xml version="1.0" encoding="utf-8"?>
<formControlPr xmlns="http://schemas.microsoft.com/office/spreadsheetml/2009/9/main" objectType="CheckBox" fmlaLink="$J$215" lockText="1" noThreeD="1"/>
</file>

<file path=xl/ctrlProps/ctrlProp89.xml><?xml version="1.0" encoding="utf-8"?>
<formControlPr xmlns="http://schemas.microsoft.com/office/spreadsheetml/2009/9/main" objectType="CheckBox" checked="Checked" fmlaLink="$E$215" lockText="1" noThreeD="1"/>
</file>

<file path=xl/ctrlProps/ctrlProp90.xml><?xml version="1.0" encoding="utf-8"?>
<formControlPr xmlns="http://schemas.microsoft.com/office/spreadsheetml/2009/9/main" objectType="CheckBox" checked="Checked" fmlaLink="$J$214" lockText="1" noThreeD="1"/>
</file>

<file path=xl/ctrlProps/ctrlProp91.xml><?xml version="1.0" encoding="utf-8"?>
<formControlPr xmlns="http://schemas.microsoft.com/office/spreadsheetml/2009/9/main" objectType="CheckBox" checked="Checked" fmlaLink="$E$214" lockText="1" noThreeD="1"/>
</file>

<file path=xl/ctrlProps/ctrlProp92.xml><?xml version="1.0" encoding="utf-8"?>
<formControlPr xmlns="http://schemas.microsoft.com/office/spreadsheetml/2009/9/main" objectType="CheckBox" checked="Checked" fmlaLink="$J$213" lockText="1" noThreeD="1"/>
</file>

<file path=xl/ctrlProps/ctrlProp93.xml><?xml version="1.0" encoding="utf-8"?>
<formControlPr xmlns="http://schemas.microsoft.com/office/spreadsheetml/2009/9/main" objectType="CheckBox" checked="Checked" fmlaLink="$E$213" lockText="1" noThreeD="1"/>
</file>

<file path=xl/ctrlProps/ctrlProp94.xml><?xml version="1.0" encoding="utf-8"?>
<formControlPr xmlns="http://schemas.microsoft.com/office/spreadsheetml/2009/9/main" objectType="CheckBox" checked="Checked" fmlaLink="$J$212" lockText="1" noThreeD="1"/>
</file>

<file path=xl/ctrlProps/ctrlProp95.xml><?xml version="1.0" encoding="utf-8"?>
<formControlPr xmlns="http://schemas.microsoft.com/office/spreadsheetml/2009/9/main" objectType="CheckBox" checked="Checked" fmlaLink="$E$212" lockText="1" noThreeD="1"/>
</file>

<file path=xl/ctrlProps/ctrlProp96.xml><?xml version="1.0" encoding="utf-8"?>
<formControlPr xmlns="http://schemas.microsoft.com/office/spreadsheetml/2009/9/main" objectType="CheckBox" checked="Checked" fmlaLink="$J$211" lockText="1" noThreeD="1"/>
</file>

<file path=xl/ctrlProps/ctrlProp97.xml><?xml version="1.0" encoding="utf-8"?>
<formControlPr xmlns="http://schemas.microsoft.com/office/spreadsheetml/2009/9/main" objectType="CheckBox" checked="Checked" fmlaLink="$E$211" lockText="1" noThreeD="1"/>
</file>

<file path=xl/ctrlProps/ctrlProp98.xml><?xml version="1.0" encoding="utf-8"?>
<formControlPr xmlns="http://schemas.microsoft.com/office/spreadsheetml/2009/9/main" objectType="CheckBox" checked="Checked" fmlaLink="$J$210" lockText="1" noThreeD="1"/>
</file>

<file path=xl/ctrlProps/ctrlProp99.xml><?xml version="1.0" encoding="utf-8"?>
<formControlPr xmlns="http://schemas.microsoft.com/office/spreadsheetml/2009/9/main" objectType="CheckBox" checked="Checked" fmlaLink="$E$210" lockText="1" noThreeD="1"/>
</file>

<file path=xl/ctrlProps/ctrlProp100.xml><?xml version="1.0" encoding="utf-8"?>
<formControlPr xmlns="http://schemas.microsoft.com/office/spreadsheetml/2009/9/main" objectType="CheckBox" checked="Checked" fmlaLink="$J$209" lockText="1" noThreeD="1"/>
</file>

<file path=xl/ctrlProps/ctrlProp101.xml><?xml version="1.0" encoding="utf-8"?>
<formControlPr xmlns="http://schemas.microsoft.com/office/spreadsheetml/2009/9/main" objectType="CheckBox" checked="Checked" fmlaLink="$E$209" lockText="1" noThreeD="1"/>
</file>

<file path=xl/ctrlProps/ctrlProp102.xml><?xml version="1.0" encoding="utf-8"?>
<formControlPr xmlns="http://schemas.microsoft.com/office/spreadsheetml/2009/9/main" objectType="CheckBox" checked="Checked" fmlaLink="$J$208" lockText="1" noThreeD="1"/>
</file>

<file path=xl/ctrlProps/ctrlProp103.xml><?xml version="1.0" encoding="utf-8"?>
<formControlPr xmlns="http://schemas.microsoft.com/office/spreadsheetml/2009/9/main" objectType="CheckBox" checked="Checked" fmlaLink="$E$208" lockText="1" noThreeD="1"/>
</file>

<file path=xl/ctrlProps/ctrlProp104.xml><?xml version="1.0" encoding="utf-8"?>
<formControlPr xmlns="http://schemas.microsoft.com/office/spreadsheetml/2009/9/main" objectType="CheckBox" fmlaLink="$J$207" lockText="1" noThreeD="1"/>
</file>

<file path=xl/ctrlProps/ctrlProp105.xml><?xml version="1.0" encoding="utf-8"?>
<formControlPr xmlns="http://schemas.microsoft.com/office/spreadsheetml/2009/9/main" objectType="CheckBox" checked="Checked" fmlaLink="$E$207" lockText="1" noThreeD="1"/>
</file>

<file path=xl/ctrlProps/ctrlProp106.xml><?xml version="1.0" encoding="utf-8"?>
<formControlPr xmlns="http://schemas.microsoft.com/office/spreadsheetml/2009/9/main" objectType="CheckBox" fmlaLink="#REF!" lockText="1" noThreeD="1"/>
</file>

<file path=xl/ctrlProps/ctrlProp107.xml><?xml version="1.0" encoding="utf-8"?>
<formControlPr xmlns="http://schemas.microsoft.com/office/spreadsheetml/2009/9/main" objectType="CheckBox" fmlaLink="#REF!" lockText="1" noThreeD="1"/>
</file>

<file path=xl/ctrlProps/ctrlProp108.xml><?xml version="1.0" encoding="utf-8"?>
<formControlPr xmlns="http://schemas.microsoft.com/office/spreadsheetml/2009/9/main" objectType="CheckBox" fmlaLink="#REF!" lockText="1" noThreeD="1"/>
</file>

<file path=xl/ctrlProps/ctrlProp109.xml><?xml version="1.0" encoding="utf-8"?>
<formControlPr xmlns="http://schemas.microsoft.com/office/spreadsheetml/2009/9/main" objectType="CheckBox" checked="Checked" fmlaLink="$J$206" lockText="1" noThreeD="1"/>
</file>

<file path=xl/ctrlProps/ctrlProp110.xml><?xml version="1.0" encoding="utf-8"?>
<formControlPr xmlns="http://schemas.microsoft.com/office/spreadsheetml/2009/9/main" objectType="CheckBox" checked="Checked" fmlaLink="$E$206" lockText="1" noThreeD="1"/>
</file>

<file path=xl/ctrlProps/ctrlProp111.xml><?xml version="1.0" encoding="utf-8"?>
<formControlPr xmlns="http://schemas.microsoft.com/office/spreadsheetml/2009/9/main" objectType="CheckBox" fmlaLink="$J$205" lockText="1" noThreeD="1"/>
</file>

<file path=xl/ctrlProps/ctrlProp112.xml><?xml version="1.0" encoding="utf-8"?>
<formControlPr xmlns="http://schemas.microsoft.com/office/spreadsheetml/2009/9/main" objectType="CheckBox" checked="Checked" fmlaLink="$E$205" lockText="1" noThreeD="1"/>
</file>

<file path=xl/ctrlProps/ctrlProp113.xml><?xml version="1.0" encoding="utf-8"?>
<formControlPr xmlns="http://schemas.microsoft.com/office/spreadsheetml/2009/9/main" objectType="CheckBox" checked="Checked" fmlaLink="$J$204" lockText="1" noThreeD="1"/>
</file>

<file path=xl/ctrlProps/ctrlProp114.xml><?xml version="1.0" encoding="utf-8"?>
<formControlPr xmlns="http://schemas.microsoft.com/office/spreadsheetml/2009/9/main" objectType="CheckBox" checked="Checked" fmlaLink="$E$204" lockText="1" noThreeD="1"/>
</file>

<file path=xl/ctrlProps/ctrlProp115.xml><?xml version="1.0" encoding="utf-8"?>
<formControlPr xmlns="http://schemas.microsoft.com/office/spreadsheetml/2009/9/main" objectType="CheckBox" checked="Checked" fmlaLink="$J$203" lockText="1" noThreeD="1"/>
</file>

<file path=xl/ctrlProps/ctrlProp116.xml><?xml version="1.0" encoding="utf-8"?>
<formControlPr xmlns="http://schemas.microsoft.com/office/spreadsheetml/2009/9/main" objectType="CheckBox" checked="Checked" fmlaLink="$E$203" lockText="1" noThreeD="1"/>
</file>

<file path=xl/ctrlProps/ctrlProp117.xml><?xml version="1.0" encoding="utf-8"?>
<formControlPr xmlns="http://schemas.microsoft.com/office/spreadsheetml/2009/9/main" objectType="CheckBox" checked="Checked" fmlaLink="$J$202" lockText="1" noThreeD="1"/>
</file>

<file path=xl/ctrlProps/ctrlProp118.xml><?xml version="1.0" encoding="utf-8"?>
<formControlPr xmlns="http://schemas.microsoft.com/office/spreadsheetml/2009/9/main" objectType="CheckBox" checked="Checked" fmlaLink="$E$202" lockText="1" noThreeD="1"/>
</file>

<file path=xl/ctrlProps/ctrlProp119.xml><?xml version="1.0" encoding="utf-8"?>
<formControlPr xmlns="http://schemas.microsoft.com/office/spreadsheetml/2009/9/main" objectType="CheckBox" checked="Checked" fmlaLink="$J$201" lockText="1" noThreeD="1"/>
</file>

<file path=xl/ctrlProps/ctrlProp120.xml><?xml version="1.0" encoding="utf-8"?>
<formControlPr xmlns="http://schemas.microsoft.com/office/spreadsheetml/2009/9/main" objectType="CheckBox" checked="Checked" fmlaLink="$E$201" lockText="1" noThreeD="1"/>
</file>

<file path=xl/ctrlProps/ctrlProp121.xml><?xml version="1.0" encoding="utf-8"?>
<formControlPr xmlns="http://schemas.microsoft.com/office/spreadsheetml/2009/9/main" objectType="CheckBox" checked="Checked" fmlaLink="$J$200" lockText="1" noThreeD="1"/>
</file>

<file path=xl/ctrlProps/ctrlProp122.xml><?xml version="1.0" encoding="utf-8"?>
<formControlPr xmlns="http://schemas.microsoft.com/office/spreadsheetml/2009/9/main" objectType="CheckBox" checked="Checked" fmlaLink="$E$200" lockText="1" noThreeD="1"/>
</file>

<file path=xl/ctrlProps/ctrlProp123.xml><?xml version="1.0" encoding="utf-8"?>
<formControlPr xmlns="http://schemas.microsoft.com/office/spreadsheetml/2009/9/main" objectType="CheckBox" checked="Checked" fmlaLink="$J$199" lockText="1" noThreeD="1"/>
</file>

<file path=xl/ctrlProps/ctrlProp124.xml><?xml version="1.0" encoding="utf-8"?>
<formControlPr xmlns="http://schemas.microsoft.com/office/spreadsheetml/2009/9/main" objectType="CheckBox" checked="Checked" fmlaLink="$E$199" lockText="1" noThreeD="1"/>
</file>

<file path=xl/ctrlProps/ctrlProp125.xml><?xml version="1.0" encoding="utf-8"?>
<formControlPr xmlns="http://schemas.microsoft.com/office/spreadsheetml/2009/9/main" objectType="CheckBox" checked="Checked" fmlaLink="$J$198" lockText="1" noThreeD="1"/>
</file>

<file path=xl/ctrlProps/ctrlProp126.xml><?xml version="1.0" encoding="utf-8"?>
<formControlPr xmlns="http://schemas.microsoft.com/office/spreadsheetml/2009/9/main" objectType="CheckBox" checked="Checked" fmlaLink="$E$198" lockText="1" noThreeD="1"/>
</file>

<file path=xl/ctrlProps/ctrlProp127.xml><?xml version="1.0" encoding="utf-8"?>
<formControlPr xmlns="http://schemas.microsoft.com/office/spreadsheetml/2009/9/main" objectType="CheckBox" checked="Checked" fmlaLink="$J$197" lockText="1" noThreeD="1"/>
</file>

<file path=xl/ctrlProps/ctrlProp128.xml><?xml version="1.0" encoding="utf-8"?>
<formControlPr xmlns="http://schemas.microsoft.com/office/spreadsheetml/2009/9/main" objectType="CheckBox" checked="Checked" fmlaLink="$E$197" lockText="1" noThreeD="1"/>
</file>

<file path=xl/ctrlProps/ctrlProp129.xml><?xml version="1.0" encoding="utf-8"?>
<formControlPr xmlns="http://schemas.microsoft.com/office/spreadsheetml/2009/9/main" objectType="CheckBox" fmlaLink="#REF!" lockText="1" noThreeD="1"/>
</file>

<file path=xl/ctrlProps/ctrlProp130.xml><?xml version="1.0" encoding="utf-8"?>
<formControlPr xmlns="http://schemas.microsoft.com/office/spreadsheetml/2009/9/main" objectType="CheckBox" checked="Checked" fmlaLink="$J$196" lockText="1" noThreeD="1"/>
</file>

<file path=xl/ctrlProps/ctrlProp131.xml><?xml version="1.0" encoding="utf-8"?>
<formControlPr xmlns="http://schemas.microsoft.com/office/spreadsheetml/2009/9/main" objectType="CheckBox" checked="Checked" fmlaLink="$E$196" lockText="1" noThreeD="1"/>
</file>

<file path=xl/ctrlProps/ctrlProp132.xml><?xml version="1.0" encoding="utf-8"?>
<formControlPr xmlns="http://schemas.microsoft.com/office/spreadsheetml/2009/9/main" objectType="CheckBox" checked="Checked" fmlaLink="$J$195" lockText="1" noThreeD="1"/>
</file>

<file path=xl/ctrlProps/ctrlProp133.xml><?xml version="1.0" encoding="utf-8"?>
<formControlPr xmlns="http://schemas.microsoft.com/office/spreadsheetml/2009/9/main" objectType="CheckBox" checked="Checked" fmlaLink="$E$195" lockText="1" noThreeD="1"/>
</file>

<file path=xl/ctrlProps/ctrlProp134.xml><?xml version="1.0" encoding="utf-8"?>
<formControlPr xmlns="http://schemas.microsoft.com/office/spreadsheetml/2009/9/main" objectType="CheckBox" fmlaLink="$J$194" lockText="1" noThreeD="1"/>
</file>

<file path=xl/ctrlProps/ctrlProp135.xml><?xml version="1.0" encoding="utf-8"?>
<formControlPr xmlns="http://schemas.microsoft.com/office/spreadsheetml/2009/9/main" objectType="CheckBox" checked="Checked" fmlaLink="$E$194" lockText="1" noThreeD="1"/>
</file>

<file path=xl/ctrlProps/ctrlProp136.xml><?xml version="1.0" encoding="utf-8"?>
<formControlPr xmlns="http://schemas.microsoft.com/office/spreadsheetml/2009/9/main" objectType="CheckBox" fmlaLink="#REF!" lockText="1" noThreeD="1"/>
</file>

<file path=xl/ctrlProps/ctrlProp137.xml><?xml version="1.0" encoding="utf-8"?>
<formControlPr xmlns="http://schemas.microsoft.com/office/spreadsheetml/2009/9/main" objectType="CheckBox" checked="Checked" fmlaLink="$J$193" lockText="1" noThreeD="1"/>
</file>

<file path=xl/ctrlProps/ctrlProp138.xml><?xml version="1.0" encoding="utf-8"?>
<formControlPr xmlns="http://schemas.microsoft.com/office/spreadsheetml/2009/9/main" objectType="CheckBox" checked="Checked" fmlaLink="$E$193" lockText="1" noThreeD="1"/>
</file>

<file path=xl/ctrlProps/ctrlProp139.xml><?xml version="1.0" encoding="utf-8"?>
<formControlPr xmlns="http://schemas.microsoft.com/office/spreadsheetml/2009/9/main" objectType="CheckBox" checked="Checked" fmlaLink="$J$192" lockText="1" noThreeD="1"/>
</file>

<file path=xl/ctrlProps/ctrlProp140.xml><?xml version="1.0" encoding="utf-8"?>
<formControlPr xmlns="http://schemas.microsoft.com/office/spreadsheetml/2009/9/main" objectType="CheckBox" checked="Checked" fmlaLink="$E$192" lockText="1" noThreeD="1"/>
</file>

<file path=xl/ctrlProps/ctrlProp141.xml><?xml version="1.0" encoding="utf-8"?>
<formControlPr xmlns="http://schemas.microsoft.com/office/spreadsheetml/2009/9/main" objectType="CheckBox" checked="Checked" fmlaLink="$J$191" lockText="1" noThreeD="1"/>
</file>

<file path=xl/ctrlProps/ctrlProp142.xml><?xml version="1.0" encoding="utf-8"?>
<formControlPr xmlns="http://schemas.microsoft.com/office/spreadsheetml/2009/9/main" objectType="CheckBox" checked="Checked" fmlaLink="$E$191" lockText="1" noThreeD="1"/>
</file>

<file path=xl/ctrlProps/ctrlProp143.xml><?xml version="1.0" encoding="utf-8"?>
<formControlPr xmlns="http://schemas.microsoft.com/office/spreadsheetml/2009/9/main" objectType="CheckBox" checked="Checked" fmlaLink="$J$190" lockText="1" noThreeD="1"/>
</file>

<file path=xl/ctrlProps/ctrlProp144.xml><?xml version="1.0" encoding="utf-8"?>
<formControlPr xmlns="http://schemas.microsoft.com/office/spreadsheetml/2009/9/main" objectType="CheckBox" checked="Checked" fmlaLink="$E$190" lockText="1" noThreeD="1"/>
</file>

<file path=xl/ctrlProps/ctrlProp145.xml><?xml version="1.0" encoding="utf-8"?>
<formControlPr xmlns="http://schemas.microsoft.com/office/spreadsheetml/2009/9/main" objectType="CheckBox" fmlaLink="$J$189" lockText="1" noThreeD="1"/>
</file>

<file path=xl/ctrlProps/ctrlProp146.xml><?xml version="1.0" encoding="utf-8"?>
<formControlPr xmlns="http://schemas.microsoft.com/office/spreadsheetml/2009/9/main" objectType="CheckBox" fmlaLink="$E$189" lockText="1" noThreeD="1"/>
</file>

<file path=xl/ctrlProps/ctrlProp147.xml><?xml version="1.0" encoding="utf-8"?>
<formControlPr xmlns="http://schemas.microsoft.com/office/spreadsheetml/2009/9/main" objectType="CheckBox" checked="Checked" fmlaLink="$J$188" lockText="1" noThreeD="1"/>
</file>

<file path=xl/ctrlProps/ctrlProp148.xml><?xml version="1.0" encoding="utf-8"?>
<formControlPr xmlns="http://schemas.microsoft.com/office/spreadsheetml/2009/9/main" objectType="CheckBox" checked="Checked" fmlaLink="$E$188" lockText="1" noThreeD="1"/>
</file>

<file path=xl/ctrlProps/ctrlProp149.xml><?xml version="1.0" encoding="utf-8"?>
<formControlPr xmlns="http://schemas.microsoft.com/office/spreadsheetml/2009/9/main" objectType="CheckBox" checked="Checked" fmlaLink="$J$187" lockText="1" noThreeD="1"/>
</file>

<file path=xl/ctrlProps/ctrlProp150.xml><?xml version="1.0" encoding="utf-8"?>
<formControlPr xmlns="http://schemas.microsoft.com/office/spreadsheetml/2009/9/main" objectType="CheckBox" checked="Checked" fmlaLink="$E$187" lockText="1" noThreeD="1"/>
</file>

<file path=xl/ctrlProps/ctrlProp151.xml><?xml version="1.0" encoding="utf-8"?>
<formControlPr xmlns="http://schemas.microsoft.com/office/spreadsheetml/2009/9/main" objectType="CheckBox" checked="Checked" fmlaLink="$J$186" lockText="1" noThreeD="1"/>
</file>

<file path=xl/ctrlProps/ctrlProp152.xml><?xml version="1.0" encoding="utf-8"?>
<formControlPr xmlns="http://schemas.microsoft.com/office/spreadsheetml/2009/9/main" objectType="CheckBox" checked="Checked" fmlaLink="$E$186" lockText="1" noThreeD="1"/>
</file>

<file path=xl/ctrlProps/ctrlProp153.xml><?xml version="1.0" encoding="utf-8"?>
<formControlPr xmlns="http://schemas.microsoft.com/office/spreadsheetml/2009/9/main" objectType="CheckBox" checked="Checked" fmlaLink="$J$185" lockText="1" noThreeD="1"/>
</file>

<file path=xl/ctrlProps/ctrlProp154.xml><?xml version="1.0" encoding="utf-8"?>
<formControlPr xmlns="http://schemas.microsoft.com/office/spreadsheetml/2009/9/main" objectType="CheckBox" checked="Checked" fmlaLink="$E$185" lockText="1" noThreeD="1"/>
</file>

<file path=xl/ctrlProps/ctrlProp155.xml><?xml version="1.0" encoding="utf-8"?>
<formControlPr xmlns="http://schemas.microsoft.com/office/spreadsheetml/2009/9/main" objectType="CheckBox" checked="Checked" fmlaLink="$J$184" lockText="1" noThreeD="1"/>
</file>

<file path=xl/ctrlProps/ctrlProp156.xml><?xml version="1.0" encoding="utf-8"?>
<formControlPr xmlns="http://schemas.microsoft.com/office/spreadsheetml/2009/9/main" objectType="CheckBox" checked="Checked" fmlaLink="$E$184" lockText="1" noThreeD="1"/>
</file>

<file path=xl/ctrlProps/ctrlProp157.xml><?xml version="1.0" encoding="utf-8"?>
<formControlPr xmlns="http://schemas.microsoft.com/office/spreadsheetml/2009/9/main" objectType="CheckBox" checked="Checked" fmlaLink="$J$183" lockText="1" noThreeD="1"/>
</file>

<file path=xl/ctrlProps/ctrlProp158.xml><?xml version="1.0" encoding="utf-8"?>
<formControlPr xmlns="http://schemas.microsoft.com/office/spreadsheetml/2009/9/main" objectType="CheckBox" checked="Checked" fmlaLink="$E$183" lockText="1" noThreeD="1"/>
</file>

<file path=xl/ctrlProps/ctrlProp159.xml><?xml version="1.0" encoding="utf-8"?>
<formControlPr xmlns="http://schemas.microsoft.com/office/spreadsheetml/2009/9/main" objectType="CheckBox" checked="Checked" fmlaLink="$J$182" lockText="1" noThreeD="1"/>
</file>

<file path=xl/ctrlProps/ctrlProp160.xml><?xml version="1.0" encoding="utf-8"?>
<formControlPr xmlns="http://schemas.microsoft.com/office/spreadsheetml/2009/9/main" objectType="CheckBox" checked="Checked" fmlaLink="$E$182" lockText="1" noThreeD="1"/>
</file>

<file path=xl/ctrlProps/ctrlProp161.xml><?xml version="1.0" encoding="utf-8"?>
<formControlPr xmlns="http://schemas.microsoft.com/office/spreadsheetml/2009/9/main" objectType="CheckBox" checked="Checked" fmlaLink="$J$181" lockText="1" noThreeD="1"/>
</file>

<file path=xl/ctrlProps/ctrlProp162.xml><?xml version="1.0" encoding="utf-8"?>
<formControlPr xmlns="http://schemas.microsoft.com/office/spreadsheetml/2009/9/main" objectType="CheckBox" checked="Checked" fmlaLink="$E$181" lockText="1" noThreeD="1"/>
</file>

<file path=xl/ctrlProps/ctrlProp163.xml><?xml version="1.0" encoding="utf-8"?>
<formControlPr xmlns="http://schemas.microsoft.com/office/spreadsheetml/2009/9/main" objectType="CheckBox" checked="Checked" fmlaLink="#REF!" lockText="1" noThreeD="1"/>
</file>

<file path=xl/ctrlProps/ctrlProp164.xml><?xml version="1.0" encoding="utf-8"?>
<formControlPr xmlns="http://schemas.microsoft.com/office/spreadsheetml/2009/9/main" objectType="CheckBox" checked="Checked" fmlaLink="#REF!" lockText="1" noThreeD="1"/>
</file>

<file path=xl/ctrlProps/ctrlProp165.xml><?xml version="1.0" encoding="utf-8"?>
<formControlPr xmlns="http://schemas.microsoft.com/office/spreadsheetml/2009/9/main" objectType="CheckBox" checked="Checked" fmlaLink="$J$180" lockText="1" noThreeD="1"/>
</file>

<file path=xl/ctrlProps/ctrlProp166.xml><?xml version="1.0" encoding="utf-8"?>
<formControlPr xmlns="http://schemas.microsoft.com/office/spreadsheetml/2009/9/main" objectType="CheckBox" checked="Checked" fmlaLink="$E$180" lockText="1" noThreeD="1"/>
</file>

<file path=xl/ctrlProps/ctrlProp167.xml><?xml version="1.0" encoding="utf-8"?>
<formControlPr xmlns="http://schemas.microsoft.com/office/spreadsheetml/2009/9/main" objectType="CheckBox" checked="Checked" fmlaLink="$J$179" lockText="1" noThreeD="1"/>
</file>

<file path=xl/ctrlProps/ctrlProp168.xml><?xml version="1.0" encoding="utf-8"?>
<formControlPr xmlns="http://schemas.microsoft.com/office/spreadsheetml/2009/9/main" objectType="CheckBox" checked="Checked" fmlaLink="$E$179" lockText="1" noThreeD="1"/>
</file>

<file path=xl/ctrlProps/ctrlProp169.xml><?xml version="1.0" encoding="utf-8"?>
<formControlPr xmlns="http://schemas.microsoft.com/office/spreadsheetml/2009/9/main" objectType="CheckBox" checked="Checked" fmlaLink="$J$178" lockText="1" noThreeD="1"/>
</file>

<file path=xl/ctrlProps/ctrlProp170.xml><?xml version="1.0" encoding="utf-8"?>
<formControlPr xmlns="http://schemas.microsoft.com/office/spreadsheetml/2009/9/main" objectType="CheckBox" checked="Checked" fmlaLink="$E$178" lockText="1" noThreeD="1"/>
</file>

<file path=xl/ctrlProps/ctrlProp171.xml><?xml version="1.0" encoding="utf-8"?>
<formControlPr xmlns="http://schemas.microsoft.com/office/spreadsheetml/2009/9/main" objectType="CheckBox" checked="Checked" fmlaLink="$J$177" lockText="1" noThreeD="1"/>
</file>

<file path=xl/ctrlProps/ctrlProp172.xml><?xml version="1.0" encoding="utf-8"?>
<formControlPr xmlns="http://schemas.microsoft.com/office/spreadsheetml/2009/9/main" objectType="CheckBox" checked="Checked" fmlaLink="$E$177" lockText="1" noThreeD="1"/>
</file>

<file path=xl/ctrlProps/ctrlProp173.xml><?xml version="1.0" encoding="utf-8"?>
<formControlPr xmlns="http://schemas.microsoft.com/office/spreadsheetml/2009/9/main" objectType="CheckBox" checked="Checked" fmlaLink="$J$176" lockText="1" noThreeD="1"/>
</file>

<file path=xl/ctrlProps/ctrlProp174.xml><?xml version="1.0" encoding="utf-8"?>
<formControlPr xmlns="http://schemas.microsoft.com/office/spreadsheetml/2009/9/main" objectType="CheckBox" checked="Checked" fmlaLink="$E$176" lockText="1" noThreeD="1"/>
</file>

<file path=xl/ctrlProps/ctrlProp175.xml><?xml version="1.0" encoding="utf-8"?>
<formControlPr xmlns="http://schemas.microsoft.com/office/spreadsheetml/2009/9/main" objectType="CheckBox" checked="Checked" fmlaLink="$J$175" lockText="1" noThreeD="1"/>
</file>

<file path=xl/ctrlProps/ctrlProp176.xml><?xml version="1.0" encoding="utf-8"?>
<formControlPr xmlns="http://schemas.microsoft.com/office/spreadsheetml/2009/9/main" objectType="CheckBox" checked="Checked" fmlaLink="$E$175" lockText="1" noThreeD="1"/>
</file>

<file path=xl/ctrlProps/ctrlProp177.xml><?xml version="1.0" encoding="utf-8"?>
<formControlPr xmlns="http://schemas.microsoft.com/office/spreadsheetml/2009/9/main" objectType="CheckBox" checked="Checked" fmlaLink="$J$174" lockText="1" noThreeD="1"/>
</file>

<file path=xl/ctrlProps/ctrlProp178.xml><?xml version="1.0" encoding="utf-8"?>
<formControlPr xmlns="http://schemas.microsoft.com/office/spreadsheetml/2009/9/main" objectType="CheckBox" checked="Checked" fmlaLink="$E$174" lockText="1" noThreeD="1"/>
</file>

<file path=xl/ctrlProps/ctrlProp179.xml><?xml version="1.0" encoding="utf-8"?>
<formControlPr xmlns="http://schemas.microsoft.com/office/spreadsheetml/2009/9/main" objectType="CheckBox" checked="Checked" fmlaLink="$J$173" lockText="1" noThreeD="1"/>
</file>

<file path=xl/ctrlProps/ctrlProp180.xml><?xml version="1.0" encoding="utf-8"?>
<formControlPr xmlns="http://schemas.microsoft.com/office/spreadsheetml/2009/9/main" objectType="CheckBox" checked="Checked" fmlaLink="$E$173" lockText="1" noThreeD="1"/>
</file>

<file path=xl/ctrlProps/ctrlProp181.xml><?xml version="1.0" encoding="utf-8"?>
<formControlPr xmlns="http://schemas.microsoft.com/office/spreadsheetml/2009/9/main" objectType="CheckBox" checked="Checked" fmlaLink="#REF!" lockText="1" noThreeD="1"/>
</file>

<file path=xl/ctrlProps/ctrlProp182.xml><?xml version="1.0" encoding="utf-8"?>
<formControlPr xmlns="http://schemas.microsoft.com/office/spreadsheetml/2009/9/main" objectType="CheckBox" checked="Checked" fmlaLink="$J$172" lockText="1" noThreeD="1"/>
</file>

<file path=xl/ctrlProps/ctrlProp183.xml><?xml version="1.0" encoding="utf-8"?>
<formControlPr xmlns="http://schemas.microsoft.com/office/spreadsheetml/2009/9/main" objectType="CheckBox" checked="Checked" fmlaLink="$E$172" lockText="1" noThreeD="1"/>
</file>

<file path=xl/ctrlProps/ctrlProp184.xml><?xml version="1.0" encoding="utf-8"?>
<formControlPr xmlns="http://schemas.microsoft.com/office/spreadsheetml/2009/9/main" objectType="CheckBox" checked="Checked" fmlaLink="$J$171" lockText="1" noThreeD="1"/>
</file>

<file path=xl/ctrlProps/ctrlProp185.xml><?xml version="1.0" encoding="utf-8"?>
<formControlPr xmlns="http://schemas.microsoft.com/office/spreadsheetml/2009/9/main" objectType="CheckBox" checked="Checked" fmlaLink="$E$171" lockText="1" noThreeD="1"/>
</file>

<file path=xl/ctrlProps/ctrlProp186.xml><?xml version="1.0" encoding="utf-8"?>
<formControlPr xmlns="http://schemas.microsoft.com/office/spreadsheetml/2009/9/main" objectType="CheckBox" checked="Checked" fmlaLink="$J$170" lockText="1" noThreeD="1"/>
</file>

<file path=xl/ctrlProps/ctrlProp187.xml><?xml version="1.0" encoding="utf-8"?>
<formControlPr xmlns="http://schemas.microsoft.com/office/spreadsheetml/2009/9/main" objectType="CheckBox" checked="Checked" fmlaLink="$E$170" lockText="1" noThreeD="1"/>
</file>

<file path=xl/ctrlProps/ctrlProp188.xml><?xml version="1.0" encoding="utf-8"?>
<formControlPr xmlns="http://schemas.microsoft.com/office/spreadsheetml/2009/9/main" objectType="CheckBox" checked="Checked" fmlaLink="$J$169" lockText="1" noThreeD="1"/>
</file>

<file path=xl/ctrlProps/ctrlProp189.xml><?xml version="1.0" encoding="utf-8"?>
<formControlPr xmlns="http://schemas.microsoft.com/office/spreadsheetml/2009/9/main" objectType="CheckBox" checked="Checked" fmlaLink="$E$169" lockText="1" noThreeD="1"/>
</file>

<file path=xl/ctrlProps/ctrlProp190.xml><?xml version="1.0" encoding="utf-8"?>
<formControlPr xmlns="http://schemas.microsoft.com/office/spreadsheetml/2009/9/main" objectType="CheckBox" checked="Checked" fmlaLink="$J$168" lockText="1" noThreeD="1"/>
</file>

<file path=xl/ctrlProps/ctrlProp191.xml><?xml version="1.0" encoding="utf-8"?>
<formControlPr xmlns="http://schemas.microsoft.com/office/spreadsheetml/2009/9/main" objectType="CheckBox" checked="Checked" fmlaLink="$E$168" lockText="1" noThreeD="1"/>
</file>

<file path=xl/ctrlProps/ctrlProp192.xml><?xml version="1.0" encoding="utf-8"?>
<formControlPr xmlns="http://schemas.microsoft.com/office/spreadsheetml/2009/9/main" objectType="CheckBox" fmlaLink="$J$167" lockText="1" noThreeD="1"/>
</file>

<file path=xl/ctrlProps/ctrlProp193.xml><?xml version="1.0" encoding="utf-8"?>
<formControlPr xmlns="http://schemas.microsoft.com/office/spreadsheetml/2009/9/main" objectType="CheckBox" checked="Checked" fmlaLink="$E$167" lockText="1" noThreeD="1"/>
</file>

<file path=xl/ctrlProps/ctrlProp194.xml><?xml version="1.0" encoding="utf-8"?>
<formControlPr xmlns="http://schemas.microsoft.com/office/spreadsheetml/2009/9/main" objectType="CheckBox" fmlaLink="$J$166" lockText="1" noThreeD="1"/>
</file>

<file path=xl/ctrlProps/ctrlProp195.xml><?xml version="1.0" encoding="utf-8"?>
<formControlPr xmlns="http://schemas.microsoft.com/office/spreadsheetml/2009/9/main" objectType="CheckBox" checked="Checked" fmlaLink="$E$166" lockText="1" noThreeD="1"/>
</file>

<file path=xl/ctrlProps/ctrlProp196.xml><?xml version="1.0" encoding="utf-8"?>
<formControlPr xmlns="http://schemas.microsoft.com/office/spreadsheetml/2009/9/main" objectType="CheckBox" checked="Checked" fmlaLink="$J$165" lockText="1" noThreeD="1"/>
</file>

<file path=xl/ctrlProps/ctrlProp197.xml><?xml version="1.0" encoding="utf-8"?>
<formControlPr xmlns="http://schemas.microsoft.com/office/spreadsheetml/2009/9/main" objectType="CheckBox" checked="Checked" fmlaLink="$E$165" lockText="1" noThreeD="1"/>
</file>

<file path=xl/ctrlProps/ctrlProp198.xml><?xml version="1.0" encoding="utf-8"?>
<formControlPr xmlns="http://schemas.microsoft.com/office/spreadsheetml/2009/9/main" objectType="CheckBox" checked="Checked" fmlaLink="$J$164" lockText="1" noThreeD="1"/>
</file>

<file path=xl/ctrlProps/ctrlProp199.xml><?xml version="1.0" encoding="utf-8"?>
<formControlPr xmlns="http://schemas.microsoft.com/office/spreadsheetml/2009/9/main" objectType="CheckBox" checked="Checked" fmlaLink="$E$164" lockText="1" noThreeD="1"/>
</file>

<file path=xl/ctrlProps/ctrlProp200.xml><?xml version="1.0" encoding="utf-8"?>
<formControlPr xmlns="http://schemas.microsoft.com/office/spreadsheetml/2009/9/main" objectType="CheckBox" checked="Checked" fmlaLink="$J$163" lockText="1" noThreeD="1"/>
</file>

<file path=xl/ctrlProps/ctrlProp201.xml><?xml version="1.0" encoding="utf-8"?>
<formControlPr xmlns="http://schemas.microsoft.com/office/spreadsheetml/2009/9/main" objectType="CheckBox" checked="Checked" fmlaLink="$E$163" lockText="1" noThreeD="1"/>
</file>

<file path=xl/ctrlProps/ctrlProp202.xml><?xml version="1.0" encoding="utf-8"?>
<formControlPr xmlns="http://schemas.microsoft.com/office/spreadsheetml/2009/9/main" objectType="CheckBox" checked="Checked" fmlaLink="$J$162" lockText="1" noThreeD="1"/>
</file>

<file path=xl/ctrlProps/ctrlProp203.xml><?xml version="1.0" encoding="utf-8"?>
<formControlPr xmlns="http://schemas.microsoft.com/office/spreadsheetml/2009/9/main" objectType="CheckBox" checked="Checked" fmlaLink="$E$162" lockText="1" noThreeD="1"/>
</file>

<file path=xl/ctrlProps/ctrlProp204.xml><?xml version="1.0" encoding="utf-8"?>
<formControlPr xmlns="http://schemas.microsoft.com/office/spreadsheetml/2009/9/main" objectType="CheckBox" checked="Checked" fmlaLink="$J$161" lockText="1" noThreeD="1"/>
</file>

<file path=xl/ctrlProps/ctrlProp205.xml><?xml version="1.0" encoding="utf-8"?>
<formControlPr xmlns="http://schemas.microsoft.com/office/spreadsheetml/2009/9/main" objectType="CheckBox" checked="Checked" fmlaLink="$E$161" lockText="1" noThreeD="1"/>
</file>

<file path=xl/ctrlProps/ctrlProp206.xml><?xml version="1.0" encoding="utf-8"?>
<formControlPr xmlns="http://schemas.microsoft.com/office/spreadsheetml/2009/9/main" objectType="CheckBox" fmlaLink="$J$160" lockText="1" noThreeD="1"/>
</file>

<file path=xl/ctrlProps/ctrlProp207.xml><?xml version="1.0" encoding="utf-8"?>
<formControlPr xmlns="http://schemas.microsoft.com/office/spreadsheetml/2009/9/main" objectType="CheckBox" checked="Checked" fmlaLink="$E$160" lockText="1" noThreeD="1"/>
</file>

<file path=xl/ctrlProps/ctrlProp208.xml><?xml version="1.0" encoding="utf-8"?>
<formControlPr xmlns="http://schemas.microsoft.com/office/spreadsheetml/2009/9/main" objectType="CheckBox" checked="Checked" fmlaLink="$J$159" lockText="1" noThreeD="1"/>
</file>

<file path=xl/ctrlProps/ctrlProp209.xml><?xml version="1.0" encoding="utf-8"?>
<formControlPr xmlns="http://schemas.microsoft.com/office/spreadsheetml/2009/9/main" objectType="CheckBox" checked="Checked" fmlaLink="$E$159" lockText="1" noThreeD="1"/>
</file>

<file path=xl/ctrlProps/ctrlProp210.xml><?xml version="1.0" encoding="utf-8"?>
<formControlPr xmlns="http://schemas.microsoft.com/office/spreadsheetml/2009/9/main" objectType="CheckBox" checked="Checked" fmlaLink="$J$158" lockText="1" noThreeD="1"/>
</file>

<file path=xl/ctrlProps/ctrlProp211.xml><?xml version="1.0" encoding="utf-8"?>
<formControlPr xmlns="http://schemas.microsoft.com/office/spreadsheetml/2009/9/main" objectType="CheckBox" checked="Checked" fmlaLink="$E$158" lockText="1" noThreeD="1"/>
</file>

<file path=xl/ctrlProps/ctrlProp212.xml><?xml version="1.0" encoding="utf-8"?>
<formControlPr xmlns="http://schemas.microsoft.com/office/spreadsheetml/2009/9/main" objectType="CheckBox" checked="Checked" fmlaLink="$J$157" lockText="1" noThreeD="1"/>
</file>

<file path=xl/ctrlProps/ctrlProp213.xml><?xml version="1.0" encoding="utf-8"?>
<formControlPr xmlns="http://schemas.microsoft.com/office/spreadsheetml/2009/9/main" objectType="CheckBox" checked="Checked" fmlaLink="$E$157" lockText="1" noThreeD="1"/>
</file>

<file path=xl/ctrlProps/ctrlProp214.xml><?xml version="1.0" encoding="utf-8"?>
<formControlPr xmlns="http://schemas.microsoft.com/office/spreadsheetml/2009/9/main" objectType="CheckBox" fmlaLink="$J$156" lockText="1" noThreeD="1"/>
</file>

<file path=xl/ctrlProps/ctrlProp215.xml><?xml version="1.0" encoding="utf-8"?>
<formControlPr xmlns="http://schemas.microsoft.com/office/spreadsheetml/2009/9/main" objectType="CheckBox" checked="Checked" fmlaLink="$E$156" lockText="1" noThreeD="1"/>
</file>

<file path=xl/ctrlProps/ctrlProp216.xml><?xml version="1.0" encoding="utf-8"?>
<formControlPr xmlns="http://schemas.microsoft.com/office/spreadsheetml/2009/9/main" objectType="CheckBox" checked="Checked" fmlaLink="$J$155" lockText="1" noThreeD="1"/>
</file>

<file path=xl/ctrlProps/ctrlProp217.xml><?xml version="1.0" encoding="utf-8"?>
<formControlPr xmlns="http://schemas.microsoft.com/office/spreadsheetml/2009/9/main" objectType="CheckBox" checked="Checked" fmlaLink="$E$155" lockText="1" noThreeD="1"/>
</file>

<file path=xl/ctrlProps/ctrlProp218.xml><?xml version="1.0" encoding="utf-8"?>
<formControlPr xmlns="http://schemas.microsoft.com/office/spreadsheetml/2009/9/main" objectType="CheckBox" fmlaLink="$J$154" lockText="1" noThreeD="1"/>
</file>

<file path=xl/ctrlProps/ctrlProp219.xml><?xml version="1.0" encoding="utf-8"?>
<formControlPr xmlns="http://schemas.microsoft.com/office/spreadsheetml/2009/9/main" objectType="CheckBox" checked="Checked" fmlaLink="$E$154" lockText="1" noThreeD="1"/>
</file>

<file path=xl/ctrlProps/ctrlProp220.xml><?xml version="1.0" encoding="utf-8"?>
<formControlPr xmlns="http://schemas.microsoft.com/office/spreadsheetml/2009/9/main" objectType="CheckBox" fmlaLink="$J$153" lockText="1" noThreeD="1"/>
</file>

<file path=xl/ctrlProps/ctrlProp221.xml><?xml version="1.0" encoding="utf-8"?>
<formControlPr xmlns="http://schemas.microsoft.com/office/spreadsheetml/2009/9/main" objectType="CheckBox" fmlaLink="$E$153" lockText="1" noThreeD="1"/>
</file>

<file path=xl/ctrlProps/ctrlProp222.xml><?xml version="1.0" encoding="utf-8"?>
<formControlPr xmlns="http://schemas.microsoft.com/office/spreadsheetml/2009/9/main" objectType="CheckBox" fmlaLink="$J$152" lockText="1" noThreeD="1"/>
</file>

<file path=xl/ctrlProps/ctrlProp223.xml><?xml version="1.0" encoding="utf-8"?>
<formControlPr xmlns="http://schemas.microsoft.com/office/spreadsheetml/2009/9/main" objectType="CheckBox" checked="Checked" fmlaLink="$E$152" lockText="1" noThreeD="1"/>
</file>

<file path=xl/ctrlProps/ctrlProp224.xml><?xml version="1.0" encoding="utf-8"?>
<formControlPr xmlns="http://schemas.microsoft.com/office/spreadsheetml/2009/9/main" objectType="CheckBox" checked="Checked" fmlaLink="$J$151" lockText="1" noThreeD="1"/>
</file>

<file path=xl/ctrlProps/ctrlProp225.xml><?xml version="1.0" encoding="utf-8"?>
<formControlPr xmlns="http://schemas.microsoft.com/office/spreadsheetml/2009/9/main" objectType="CheckBox" checked="Checked" fmlaLink="$E$151" lockText="1" noThreeD="1"/>
</file>

<file path=xl/ctrlProps/ctrlProp226.xml><?xml version="1.0" encoding="utf-8"?>
<formControlPr xmlns="http://schemas.microsoft.com/office/spreadsheetml/2009/9/main" objectType="CheckBox" checked="Checked" fmlaLink="$J$150" lockText="1" noThreeD="1"/>
</file>

<file path=xl/ctrlProps/ctrlProp227.xml><?xml version="1.0" encoding="utf-8"?>
<formControlPr xmlns="http://schemas.microsoft.com/office/spreadsheetml/2009/9/main" objectType="CheckBox" checked="Checked" fmlaLink="$E$150" lockText="1" noThreeD="1"/>
</file>

<file path=xl/ctrlProps/ctrlProp228.xml><?xml version="1.0" encoding="utf-8"?>
<formControlPr xmlns="http://schemas.microsoft.com/office/spreadsheetml/2009/9/main" objectType="CheckBox" checked="Checked" fmlaLink="$J$149" lockText="1" noThreeD="1"/>
</file>

<file path=xl/ctrlProps/ctrlProp229.xml><?xml version="1.0" encoding="utf-8"?>
<formControlPr xmlns="http://schemas.microsoft.com/office/spreadsheetml/2009/9/main" objectType="CheckBox" checked="Checked" fmlaLink="$E$149" lockText="1" noThreeD="1"/>
</file>

<file path=xl/ctrlProps/ctrlProp230.xml><?xml version="1.0" encoding="utf-8"?>
<formControlPr xmlns="http://schemas.microsoft.com/office/spreadsheetml/2009/9/main" objectType="CheckBox" checked="Checked" fmlaLink="$J$148" lockText="1" noThreeD="1"/>
</file>

<file path=xl/ctrlProps/ctrlProp231.xml><?xml version="1.0" encoding="utf-8"?>
<formControlPr xmlns="http://schemas.microsoft.com/office/spreadsheetml/2009/9/main" objectType="CheckBox" checked="Checked" fmlaLink="$E$148" lockText="1" noThreeD="1"/>
</file>

<file path=xl/ctrlProps/ctrlProp232.xml><?xml version="1.0" encoding="utf-8"?>
<formControlPr xmlns="http://schemas.microsoft.com/office/spreadsheetml/2009/9/main" objectType="CheckBox" checked="Checked" fmlaLink="$J$147" lockText="1" noThreeD="1"/>
</file>

<file path=xl/ctrlProps/ctrlProp233.xml><?xml version="1.0" encoding="utf-8"?>
<formControlPr xmlns="http://schemas.microsoft.com/office/spreadsheetml/2009/9/main" objectType="CheckBox" checked="Checked" fmlaLink="$E$147" lockText="1" noThreeD="1"/>
</file>

<file path=xl/ctrlProps/ctrlProp234.xml><?xml version="1.0" encoding="utf-8"?>
<formControlPr xmlns="http://schemas.microsoft.com/office/spreadsheetml/2009/9/main" objectType="CheckBox" checked="Checked" fmlaLink="$J$146" lockText="1" noThreeD="1"/>
</file>

<file path=xl/ctrlProps/ctrlProp235.xml><?xml version="1.0" encoding="utf-8"?>
<formControlPr xmlns="http://schemas.microsoft.com/office/spreadsheetml/2009/9/main" objectType="CheckBox" checked="Checked" fmlaLink="$E$146" lockText="1" noThreeD="1"/>
</file>

<file path=xl/ctrlProps/ctrlProp236.xml><?xml version="1.0" encoding="utf-8"?>
<formControlPr xmlns="http://schemas.microsoft.com/office/spreadsheetml/2009/9/main" objectType="CheckBox" fmlaLink="$J$145" lockText="1" noThreeD="1"/>
</file>

<file path=xl/ctrlProps/ctrlProp237.xml><?xml version="1.0" encoding="utf-8"?>
<formControlPr xmlns="http://schemas.microsoft.com/office/spreadsheetml/2009/9/main" objectType="CheckBox" checked="Checked" fmlaLink="$E$145" lockText="1" noThreeD="1"/>
</file>

<file path=xl/ctrlProps/ctrlProp238.xml><?xml version="1.0" encoding="utf-8"?>
<formControlPr xmlns="http://schemas.microsoft.com/office/spreadsheetml/2009/9/main" objectType="CheckBox" checked="Checked" fmlaLink="$J$144" lockText="1" noThreeD="1"/>
</file>

<file path=xl/ctrlProps/ctrlProp239.xml><?xml version="1.0" encoding="utf-8"?>
<formControlPr xmlns="http://schemas.microsoft.com/office/spreadsheetml/2009/9/main" objectType="CheckBox" checked="Checked" fmlaLink="$E$144" lockText="1" noThreeD="1"/>
</file>

<file path=xl/ctrlProps/ctrlProp240.xml><?xml version="1.0" encoding="utf-8"?>
<formControlPr xmlns="http://schemas.microsoft.com/office/spreadsheetml/2009/9/main" objectType="CheckBox" checked="Checked" fmlaLink="$J$143" lockText="1" noThreeD="1"/>
</file>

<file path=xl/ctrlProps/ctrlProp241.xml><?xml version="1.0" encoding="utf-8"?>
<formControlPr xmlns="http://schemas.microsoft.com/office/spreadsheetml/2009/9/main" objectType="CheckBox" checked="Checked" fmlaLink="$E$143" lockText="1" noThreeD="1"/>
</file>

<file path=xl/ctrlProps/ctrlProp242.xml><?xml version="1.0" encoding="utf-8"?>
<formControlPr xmlns="http://schemas.microsoft.com/office/spreadsheetml/2009/9/main" objectType="CheckBox" checked="Checked" fmlaLink="$J$142" lockText="1" noThreeD="1"/>
</file>

<file path=xl/ctrlProps/ctrlProp243.xml><?xml version="1.0" encoding="utf-8"?>
<formControlPr xmlns="http://schemas.microsoft.com/office/spreadsheetml/2009/9/main" objectType="CheckBox" checked="Checked" fmlaLink="$E$142" lockText="1" noThreeD="1"/>
</file>

<file path=xl/ctrlProps/ctrlProp244.xml><?xml version="1.0" encoding="utf-8"?>
<formControlPr xmlns="http://schemas.microsoft.com/office/spreadsheetml/2009/9/main" objectType="CheckBox" checked="Checked" fmlaLink="$J$141" lockText="1" noThreeD="1"/>
</file>

<file path=xl/ctrlProps/ctrlProp245.xml><?xml version="1.0" encoding="utf-8"?>
<formControlPr xmlns="http://schemas.microsoft.com/office/spreadsheetml/2009/9/main" objectType="CheckBox" checked="Checked" fmlaLink="$E$141" lockText="1" noThreeD="1"/>
</file>

<file path=xl/ctrlProps/ctrlProp246.xml><?xml version="1.0" encoding="utf-8"?>
<formControlPr xmlns="http://schemas.microsoft.com/office/spreadsheetml/2009/9/main" objectType="CheckBox" checked="Checked" fmlaLink="$J$140" lockText="1" noThreeD="1"/>
</file>

<file path=xl/ctrlProps/ctrlProp247.xml><?xml version="1.0" encoding="utf-8"?>
<formControlPr xmlns="http://schemas.microsoft.com/office/spreadsheetml/2009/9/main" objectType="CheckBox" checked="Checked" fmlaLink="$E$140" lockText="1" noThreeD="1"/>
</file>

<file path=xl/ctrlProps/ctrlProp248.xml><?xml version="1.0" encoding="utf-8"?>
<formControlPr xmlns="http://schemas.microsoft.com/office/spreadsheetml/2009/9/main" objectType="CheckBox" fmlaLink="$J$139" lockText="1" noThreeD="1"/>
</file>

<file path=xl/ctrlProps/ctrlProp249.xml><?xml version="1.0" encoding="utf-8"?>
<formControlPr xmlns="http://schemas.microsoft.com/office/spreadsheetml/2009/9/main" objectType="CheckBox" checked="Checked" fmlaLink="$E$139" lockText="1" noThreeD="1"/>
</file>

<file path=xl/ctrlProps/ctrlProp250.xml><?xml version="1.0" encoding="utf-8"?>
<formControlPr xmlns="http://schemas.microsoft.com/office/spreadsheetml/2009/9/main" objectType="CheckBox" checked="Checked" fmlaLink="$J$138" lockText="1" noThreeD="1"/>
</file>

<file path=xl/ctrlProps/ctrlProp251.xml><?xml version="1.0" encoding="utf-8"?>
<formControlPr xmlns="http://schemas.microsoft.com/office/spreadsheetml/2009/9/main" objectType="CheckBox" checked="Checked" fmlaLink="$E$138" lockText="1" noThreeD="1"/>
</file>

<file path=xl/ctrlProps/ctrlProp252.xml><?xml version="1.0" encoding="utf-8"?>
<formControlPr xmlns="http://schemas.microsoft.com/office/spreadsheetml/2009/9/main" objectType="CheckBox" checked="Checked" fmlaLink="$J$137" lockText="1" noThreeD="1"/>
</file>

<file path=xl/ctrlProps/ctrlProp253.xml><?xml version="1.0" encoding="utf-8"?>
<formControlPr xmlns="http://schemas.microsoft.com/office/spreadsheetml/2009/9/main" objectType="CheckBox" checked="Checked" fmlaLink="$E$137" lockText="1" noThreeD="1"/>
</file>

<file path=xl/ctrlProps/ctrlProp254.xml><?xml version="1.0" encoding="utf-8"?>
<formControlPr xmlns="http://schemas.microsoft.com/office/spreadsheetml/2009/9/main" objectType="CheckBox" fmlaLink="$J$136" lockText="1" noThreeD="1"/>
</file>

<file path=xl/ctrlProps/ctrlProp255.xml><?xml version="1.0" encoding="utf-8"?>
<formControlPr xmlns="http://schemas.microsoft.com/office/spreadsheetml/2009/9/main" objectType="CheckBox" checked="Checked" fmlaLink="$E$136" lockText="1" noThreeD="1"/>
</file>

<file path=xl/ctrlProps/ctrlProp256.xml><?xml version="1.0" encoding="utf-8"?>
<formControlPr xmlns="http://schemas.microsoft.com/office/spreadsheetml/2009/9/main" objectType="CheckBox" checked="Checked" fmlaLink="$J$135" lockText="1" noThreeD="1"/>
</file>

<file path=xl/ctrlProps/ctrlProp257.xml><?xml version="1.0" encoding="utf-8"?>
<formControlPr xmlns="http://schemas.microsoft.com/office/spreadsheetml/2009/9/main" objectType="CheckBox" checked="Checked" fmlaLink="$E$135" lockText="1" noThreeD="1"/>
</file>

<file path=xl/ctrlProps/ctrlProp258.xml><?xml version="1.0" encoding="utf-8"?>
<formControlPr xmlns="http://schemas.microsoft.com/office/spreadsheetml/2009/9/main" objectType="CheckBox" fmlaLink="$J$134" lockText="1" noThreeD="1"/>
</file>

<file path=xl/ctrlProps/ctrlProp259.xml><?xml version="1.0" encoding="utf-8"?>
<formControlPr xmlns="http://schemas.microsoft.com/office/spreadsheetml/2009/9/main" objectType="CheckBox" checked="Checked" fmlaLink="$E$134" lockText="1" noThreeD="1"/>
</file>

<file path=xl/ctrlProps/ctrlProp260.xml><?xml version="1.0" encoding="utf-8"?>
<formControlPr xmlns="http://schemas.microsoft.com/office/spreadsheetml/2009/9/main" objectType="CheckBox" checked="Checked" fmlaLink="$J$133" lockText="1" noThreeD="1"/>
</file>

<file path=xl/ctrlProps/ctrlProp261.xml><?xml version="1.0" encoding="utf-8"?>
<formControlPr xmlns="http://schemas.microsoft.com/office/spreadsheetml/2009/9/main" objectType="CheckBox" checked="Checked" fmlaLink="$E$133" lockText="1" noThreeD="1"/>
</file>

<file path=xl/ctrlProps/ctrlProp262.xml><?xml version="1.0" encoding="utf-8"?>
<formControlPr xmlns="http://schemas.microsoft.com/office/spreadsheetml/2009/9/main" objectType="CheckBox" fmlaLink="$J$132" lockText="1" noThreeD="1"/>
</file>

<file path=xl/ctrlProps/ctrlProp263.xml><?xml version="1.0" encoding="utf-8"?>
<formControlPr xmlns="http://schemas.microsoft.com/office/spreadsheetml/2009/9/main" objectType="CheckBox" checked="Checked" fmlaLink="$E$132" lockText="1" noThreeD="1"/>
</file>

<file path=xl/ctrlProps/ctrlProp264.xml><?xml version="1.0" encoding="utf-8"?>
<formControlPr xmlns="http://schemas.microsoft.com/office/spreadsheetml/2009/9/main" objectType="CheckBox" fmlaLink="$J$131" lockText="1" noThreeD="1"/>
</file>

<file path=xl/ctrlProps/ctrlProp265.xml><?xml version="1.0" encoding="utf-8"?>
<formControlPr xmlns="http://schemas.microsoft.com/office/spreadsheetml/2009/9/main" objectType="CheckBox" checked="Checked" fmlaLink="$E$131" lockText="1" noThreeD="1"/>
</file>

<file path=xl/ctrlProps/ctrlProp266.xml><?xml version="1.0" encoding="utf-8"?>
<formControlPr xmlns="http://schemas.microsoft.com/office/spreadsheetml/2009/9/main" objectType="CheckBox" fmlaLink="$J$130" lockText="1" noThreeD="1"/>
</file>

<file path=xl/ctrlProps/ctrlProp267.xml><?xml version="1.0" encoding="utf-8"?>
<formControlPr xmlns="http://schemas.microsoft.com/office/spreadsheetml/2009/9/main" objectType="CheckBox" checked="Checked" fmlaLink="$E$130" lockText="1" noThreeD="1"/>
</file>

<file path=xl/ctrlProps/ctrlProp268.xml><?xml version="1.0" encoding="utf-8"?>
<formControlPr xmlns="http://schemas.microsoft.com/office/spreadsheetml/2009/9/main" objectType="CheckBox" fmlaLink="$J$129" lockText="1" noThreeD="1"/>
</file>

<file path=xl/ctrlProps/ctrlProp269.xml><?xml version="1.0" encoding="utf-8"?>
<formControlPr xmlns="http://schemas.microsoft.com/office/spreadsheetml/2009/9/main" objectType="CheckBox" checked="Checked" fmlaLink="$E$129" lockText="1" noThreeD="1"/>
</file>

<file path=xl/ctrlProps/ctrlProp270.xml><?xml version="1.0" encoding="utf-8"?>
<formControlPr xmlns="http://schemas.microsoft.com/office/spreadsheetml/2009/9/main" objectType="CheckBox" checked="Checked" fmlaLink="$J$128" lockText="1" noThreeD="1"/>
</file>

<file path=xl/ctrlProps/ctrlProp271.xml><?xml version="1.0" encoding="utf-8"?>
<formControlPr xmlns="http://schemas.microsoft.com/office/spreadsheetml/2009/9/main" objectType="CheckBox" checked="Checked" fmlaLink="$E$128" lockText="1" noThreeD="1"/>
</file>

<file path=xl/ctrlProps/ctrlProp272.xml><?xml version="1.0" encoding="utf-8"?>
<formControlPr xmlns="http://schemas.microsoft.com/office/spreadsheetml/2009/9/main" objectType="CheckBox" checked="Checked" fmlaLink="$J$127" lockText="1" noThreeD="1"/>
</file>

<file path=xl/ctrlProps/ctrlProp273.xml><?xml version="1.0" encoding="utf-8"?>
<formControlPr xmlns="http://schemas.microsoft.com/office/spreadsheetml/2009/9/main" objectType="CheckBox" checked="Checked" fmlaLink="$E$127" lockText="1" noThreeD="1"/>
</file>

<file path=xl/ctrlProps/ctrlProp274.xml><?xml version="1.0" encoding="utf-8"?>
<formControlPr xmlns="http://schemas.microsoft.com/office/spreadsheetml/2009/9/main" objectType="CheckBox" fmlaLink="$J$126" lockText="1" noThreeD="1"/>
</file>

<file path=xl/ctrlProps/ctrlProp275.xml><?xml version="1.0" encoding="utf-8"?>
<formControlPr xmlns="http://schemas.microsoft.com/office/spreadsheetml/2009/9/main" objectType="CheckBox" checked="Checked" fmlaLink="$E$126" lockText="1" noThreeD="1"/>
</file>

<file path=xl/ctrlProps/ctrlProp276.xml><?xml version="1.0" encoding="utf-8"?>
<formControlPr xmlns="http://schemas.microsoft.com/office/spreadsheetml/2009/9/main" objectType="CheckBox" fmlaLink="$J$125" lockText="1" noThreeD="1"/>
</file>

<file path=xl/ctrlProps/ctrlProp277.xml><?xml version="1.0" encoding="utf-8"?>
<formControlPr xmlns="http://schemas.microsoft.com/office/spreadsheetml/2009/9/main" objectType="CheckBox" checked="Checked" fmlaLink="$E$125" lockText="1" noThreeD="1"/>
</file>

<file path=xl/ctrlProps/ctrlProp278.xml><?xml version="1.0" encoding="utf-8"?>
<formControlPr xmlns="http://schemas.microsoft.com/office/spreadsheetml/2009/9/main" objectType="CheckBox" fmlaLink="$J$124" lockText="1" noThreeD="1"/>
</file>

<file path=xl/ctrlProps/ctrlProp279.xml><?xml version="1.0" encoding="utf-8"?>
<formControlPr xmlns="http://schemas.microsoft.com/office/spreadsheetml/2009/9/main" objectType="CheckBox" checked="Checked" fmlaLink="$E$124" lockText="1" noThreeD="1"/>
</file>

<file path=xl/ctrlProps/ctrlProp280.xml><?xml version="1.0" encoding="utf-8"?>
<formControlPr xmlns="http://schemas.microsoft.com/office/spreadsheetml/2009/9/main" objectType="CheckBox" checked="Checked" fmlaLink="$J$123" lockText="1" noThreeD="1"/>
</file>

<file path=xl/ctrlProps/ctrlProp281.xml><?xml version="1.0" encoding="utf-8"?>
<formControlPr xmlns="http://schemas.microsoft.com/office/spreadsheetml/2009/9/main" objectType="CheckBox" checked="Checked" fmlaLink="$E$123" lockText="1" noThreeD="1"/>
</file>

<file path=xl/ctrlProps/ctrlProp282.xml><?xml version="1.0" encoding="utf-8"?>
<formControlPr xmlns="http://schemas.microsoft.com/office/spreadsheetml/2009/9/main" objectType="CheckBox" fmlaLink="$J$122" lockText="1" noThreeD="1"/>
</file>

<file path=xl/ctrlProps/ctrlProp283.xml><?xml version="1.0" encoding="utf-8"?>
<formControlPr xmlns="http://schemas.microsoft.com/office/spreadsheetml/2009/9/main" objectType="CheckBox" checked="Checked" fmlaLink="$E$122" lockText="1" noThreeD="1"/>
</file>

<file path=xl/ctrlProps/ctrlProp284.xml><?xml version="1.0" encoding="utf-8"?>
<formControlPr xmlns="http://schemas.microsoft.com/office/spreadsheetml/2009/9/main" objectType="CheckBox" checked="Checked" fmlaLink="$J$121" lockText="1" noThreeD="1"/>
</file>

<file path=xl/ctrlProps/ctrlProp285.xml><?xml version="1.0" encoding="utf-8"?>
<formControlPr xmlns="http://schemas.microsoft.com/office/spreadsheetml/2009/9/main" objectType="CheckBox" checked="Checked" fmlaLink="$E$121" lockText="1" noThreeD="1"/>
</file>

<file path=xl/ctrlProps/ctrlProp286.xml><?xml version="1.0" encoding="utf-8"?>
<formControlPr xmlns="http://schemas.microsoft.com/office/spreadsheetml/2009/9/main" objectType="CheckBox" checked="Checked" fmlaLink="$J$120" lockText="1" noThreeD="1"/>
</file>

<file path=xl/ctrlProps/ctrlProp287.xml><?xml version="1.0" encoding="utf-8"?>
<formControlPr xmlns="http://schemas.microsoft.com/office/spreadsheetml/2009/9/main" objectType="CheckBox" checked="Checked" fmlaLink="$E$120" lockText="1" noThreeD="1"/>
</file>

<file path=xl/ctrlProps/ctrlProp288.xml><?xml version="1.0" encoding="utf-8"?>
<formControlPr xmlns="http://schemas.microsoft.com/office/spreadsheetml/2009/9/main" objectType="CheckBox" fmlaLink="$J$119" lockText="1" noThreeD="1"/>
</file>

<file path=xl/ctrlProps/ctrlProp289.xml><?xml version="1.0" encoding="utf-8"?>
<formControlPr xmlns="http://schemas.microsoft.com/office/spreadsheetml/2009/9/main" objectType="CheckBox" checked="Checked" fmlaLink="$E$119" lockText="1" noThreeD="1"/>
</file>

<file path=xl/ctrlProps/ctrlProp290.xml><?xml version="1.0" encoding="utf-8"?>
<formControlPr xmlns="http://schemas.microsoft.com/office/spreadsheetml/2009/9/main" objectType="CheckBox" checked="Checked" fmlaLink="$J$118" lockText="1" noThreeD="1"/>
</file>

<file path=xl/ctrlProps/ctrlProp291.xml><?xml version="1.0" encoding="utf-8"?>
<formControlPr xmlns="http://schemas.microsoft.com/office/spreadsheetml/2009/9/main" objectType="CheckBox" checked="Checked" fmlaLink="$E$118" lockText="1" noThreeD="1"/>
</file>

<file path=xl/ctrlProps/ctrlProp292.xml><?xml version="1.0" encoding="utf-8"?>
<formControlPr xmlns="http://schemas.microsoft.com/office/spreadsheetml/2009/9/main" objectType="CheckBox" checked="Checked" fmlaLink="$J$117" lockText="1" noThreeD="1"/>
</file>

<file path=xl/ctrlProps/ctrlProp293.xml><?xml version="1.0" encoding="utf-8"?>
<formControlPr xmlns="http://schemas.microsoft.com/office/spreadsheetml/2009/9/main" objectType="CheckBox" checked="Checked" fmlaLink="$E$117" lockText="1" noThreeD="1"/>
</file>

<file path=xl/ctrlProps/ctrlProp294.xml><?xml version="1.0" encoding="utf-8"?>
<formControlPr xmlns="http://schemas.microsoft.com/office/spreadsheetml/2009/9/main" objectType="CheckBox" checked="Checked" fmlaLink="$J$116" lockText="1" noThreeD="1"/>
</file>

<file path=xl/ctrlProps/ctrlProp295.xml><?xml version="1.0" encoding="utf-8"?>
<formControlPr xmlns="http://schemas.microsoft.com/office/spreadsheetml/2009/9/main" objectType="CheckBox" checked="Checked" fmlaLink="$E$116" lockText="1" noThreeD="1"/>
</file>

<file path=xl/ctrlProps/ctrlProp296.xml><?xml version="1.0" encoding="utf-8"?>
<formControlPr xmlns="http://schemas.microsoft.com/office/spreadsheetml/2009/9/main" objectType="CheckBox" fmlaLink="$J$115" lockText="1" noThreeD="1"/>
</file>

<file path=xl/ctrlProps/ctrlProp297.xml><?xml version="1.0" encoding="utf-8"?>
<formControlPr xmlns="http://schemas.microsoft.com/office/spreadsheetml/2009/9/main" objectType="CheckBox" checked="Checked" fmlaLink="$E$115" lockText="1" noThreeD="1"/>
</file>

<file path=xl/ctrlProps/ctrlProp298.xml><?xml version="1.0" encoding="utf-8"?>
<formControlPr xmlns="http://schemas.microsoft.com/office/spreadsheetml/2009/9/main" objectType="CheckBox" fmlaLink="$J$114" lockText="1" noThreeD="1"/>
</file>

<file path=xl/ctrlProps/ctrlProp299.xml><?xml version="1.0" encoding="utf-8"?>
<formControlPr xmlns="http://schemas.microsoft.com/office/spreadsheetml/2009/9/main" objectType="CheckBox" checked="Checked" fmlaLink="$E$114" lockText="1" noThreeD="1"/>
</file>

<file path=xl/ctrlProps/ctrlProp300.xml><?xml version="1.0" encoding="utf-8"?>
<formControlPr xmlns="http://schemas.microsoft.com/office/spreadsheetml/2009/9/main" objectType="CheckBox" checked="Checked" fmlaLink="$J$113" lockText="1" noThreeD="1"/>
</file>

<file path=xl/ctrlProps/ctrlProp301.xml><?xml version="1.0" encoding="utf-8"?>
<formControlPr xmlns="http://schemas.microsoft.com/office/spreadsheetml/2009/9/main" objectType="CheckBox" checked="Checked" fmlaLink="$E$113" lockText="1" noThreeD="1"/>
</file>

<file path=xl/ctrlProps/ctrlProp302.xml><?xml version="1.0" encoding="utf-8"?>
<formControlPr xmlns="http://schemas.microsoft.com/office/spreadsheetml/2009/9/main" objectType="CheckBox" fmlaLink="$J$112" lockText="1" noThreeD="1"/>
</file>

<file path=xl/ctrlProps/ctrlProp303.xml><?xml version="1.0" encoding="utf-8"?>
<formControlPr xmlns="http://schemas.microsoft.com/office/spreadsheetml/2009/9/main" objectType="CheckBox" checked="Checked" fmlaLink="$E$112" lockText="1" noThreeD="1"/>
</file>

<file path=xl/ctrlProps/ctrlProp304.xml><?xml version="1.0" encoding="utf-8"?>
<formControlPr xmlns="http://schemas.microsoft.com/office/spreadsheetml/2009/9/main" objectType="CheckBox" checked="Checked" fmlaLink="$J$111" lockText="1" noThreeD="1"/>
</file>

<file path=xl/ctrlProps/ctrlProp305.xml><?xml version="1.0" encoding="utf-8"?>
<formControlPr xmlns="http://schemas.microsoft.com/office/spreadsheetml/2009/9/main" objectType="CheckBox" checked="Checked" fmlaLink="$E$111" lockText="1" noThreeD="1"/>
</file>

<file path=xl/ctrlProps/ctrlProp306.xml><?xml version="1.0" encoding="utf-8"?>
<formControlPr xmlns="http://schemas.microsoft.com/office/spreadsheetml/2009/9/main" objectType="CheckBox" checked="Checked" fmlaLink="$J$110" lockText="1" noThreeD="1"/>
</file>

<file path=xl/ctrlProps/ctrlProp307.xml><?xml version="1.0" encoding="utf-8"?>
<formControlPr xmlns="http://schemas.microsoft.com/office/spreadsheetml/2009/9/main" objectType="CheckBox" checked="Checked" fmlaLink="$E$110" lockText="1" noThreeD="1"/>
</file>

<file path=xl/ctrlProps/ctrlProp308.xml><?xml version="1.0" encoding="utf-8"?>
<formControlPr xmlns="http://schemas.microsoft.com/office/spreadsheetml/2009/9/main" objectType="CheckBox" checked="Checked" fmlaLink="$J$109" lockText="1" noThreeD="1"/>
</file>

<file path=xl/ctrlProps/ctrlProp309.xml><?xml version="1.0" encoding="utf-8"?>
<formControlPr xmlns="http://schemas.microsoft.com/office/spreadsheetml/2009/9/main" objectType="CheckBox" checked="Checked" fmlaLink="$E$109" lockText="1" noThreeD="1"/>
</file>

<file path=xl/ctrlProps/ctrlProp310.xml><?xml version="1.0" encoding="utf-8"?>
<formControlPr xmlns="http://schemas.microsoft.com/office/spreadsheetml/2009/9/main" objectType="CheckBox" checked="Checked" fmlaLink="$J$108" lockText="1" noThreeD="1"/>
</file>

<file path=xl/ctrlProps/ctrlProp311.xml><?xml version="1.0" encoding="utf-8"?>
<formControlPr xmlns="http://schemas.microsoft.com/office/spreadsheetml/2009/9/main" objectType="CheckBox" checked="Checked" fmlaLink="$E$108" lockText="1" noThreeD="1"/>
</file>

<file path=xl/ctrlProps/ctrlProp312.xml><?xml version="1.0" encoding="utf-8"?>
<formControlPr xmlns="http://schemas.microsoft.com/office/spreadsheetml/2009/9/main" objectType="CheckBox" checked="Checked" fmlaLink="$J$107" lockText="1" noThreeD="1"/>
</file>

<file path=xl/ctrlProps/ctrlProp313.xml><?xml version="1.0" encoding="utf-8"?>
<formControlPr xmlns="http://schemas.microsoft.com/office/spreadsheetml/2009/9/main" objectType="CheckBox" checked="Checked" fmlaLink="$E$107" lockText="1" noThreeD="1"/>
</file>

<file path=xl/ctrlProps/ctrlProp314.xml><?xml version="1.0" encoding="utf-8"?>
<formControlPr xmlns="http://schemas.microsoft.com/office/spreadsheetml/2009/9/main" objectType="CheckBox" checked="Checked" fmlaLink="$J$106" lockText="1" noThreeD="1"/>
</file>

<file path=xl/ctrlProps/ctrlProp315.xml><?xml version="1.0" encoding="utf-8"?>
<formControlPr xmlns="http://schemas.microsoft.com/office/spreadsheetml/2009/9/main" objectType="CheckBox" checked="Checked" fmlaLink="$E$106" lockText="1" noThreeD="1"/>
</file>

<file path=xl/ctrlProps/ctrlProp316.xml><?xml version="1.0" encoding="utf-8"?>
<formControlPr xmlns="http://schemas.microsoft.com/office/spreadsheetml/2009/9/main" objectType="CheckBox" checked="Checked" fmlaLink="$J$105" lockText="1" noThreeD="1"/>
</file>

<file path=xl/ctrlProps/ctrlProp317.xml><?xml version="1.0" encoding="utf-8"?>
<formControlPr xmlns="http://schemas.microsoft.com/office/spreadsheetml/2009/9/main" objectType="CheckBox" checked="Checked" fmlaLink="$E$105" lockText="1" noThreeD="1"/>
</file>

<file path=xl/ctrlProps/ctrlProp318.xml><?xml version="1.0" encoding="utf-8"?>
<formControlPr xmlns="http://schemas.microsoft.com/office/spreadsheetml/2009/9/main" objectType="CheckBox" fmlaLink="$J$104" lockText="1" noThreeD="1"/>
</file>

<file path=xl/ctrlProps/ctrlProp319.xml><?xml version="1.0" encoding="utf-8"?>
<formControlPr xmlns="http://schemas.microsoft.com/office/spreadsheetml/2009/9/main" objectType="CheckBox" checked="Checked" fmlaLink="$E$104" lockText="1" noThreeD="1"/>
</file>

<file path=xl/ctrlProps/ctrlProp320.xml><?xml version="1.0" encoding="utf-8"?>
<formControlPr xmlns="http://schemas.microsoft.com/office/spreadsheetml/2009/9/main" objectType="CheckBox" checked="Checked" fmlaLink="$J$103" lockText="1" noThreeD="1"/>
</file>

<file path=xl/ctrlProps/ctrlProp321.xml><?xml version="1.0" encoding="utf-8"?>
<formControlPr xmlns="http://schemas.microsoft.com/office/spreadsheetml/2009/9/main" objectType="CheckBox" checked="Checked" fmlaLink="$E$103" lockText="1" noThreeD="1"/>
</file>

<file path=xl/ctrlProps/ctrlProp322.xml><?xml version="1.0" encoding="utf-8"?>
<formControlPr xmlns="http://schemas.microsoft.com/office/spreadsheetml/2009/9/main" objectType="CheckBox" checked="Checked" fmlaLink="$J$102" lockText="1" noThreeD="1"/>
</file>

<file path=xl/ctrlProps/ctrlProp323.xml><?xml version="1.0" encoding="utf-8"?>
<formControlPr xmlns="http://schemas.microsoft.com/office/spreadsheetml/2009/9/main" objectType="CheckBox" checked="Checked" fmlaLink="$E$102" lockText="1" noThreeD="1"/>
</file>

<file path=xl/ctrlProps/ctrlProp324.xml><?xml version="1.0" encoding="utf-8"?>
<formControlPr xmlns="http://schemas.microsoft.com/office/spreadsheetml/2009/9/main" objectType="CheckBox" fmlaLink="$J$101" lockText="1" noThreeD="1"/>
</file>

<file path=xl/ctrlProps/ctrlProp325.xml><?xml version="1.0" encoding="utf-8"?>
<formControlPr xmlns="http://schemas.microsoft.com/office/spreadsheetml/2009/9/main" objectType="CheckBox" fmlaLink="$E$101" lockText="1" noThreeD="1"/>
</file>

<file path=xl/ctrlProps/ctrlProp326.xml><?xml version="1.0" encoding="utf-8"?>
<formControlPr xmlns="http://schemas.microsoft.com/office/spreadsheetml/2009/9/main" objectType="CheckBox" fmlaLink="$J$100" lockText="1" noThreeD="1"/>
</file>

<file path=xl/ctrlProps/ctrlProp327.xml><?xml version="1.0" encoding="utf-8"?>
<formControlPr xmlns="http://schemas.microsoft.com/office/spreadsheetml/2009/9/main" objectType="CheckBox" fmlaLink="$E$100" lockText="1" noThreeD="1"/>
</file>

<file path=xl/ctrlProps/ctrlProp328.xml><?xml version="1.0" encoding="utf-8"?>
<formControlPr xmlns="http://schemas.microsoft.com/office/spreadsheetml/2009/9/main" objectType="CheckBox" fmlaLink="$J$99" lockText="1" noThreeD="1"/>
</file>

<file path=xl/ctrlProps/ctrlProp329.xml><?xml version="1.0" encoding="utf-8"?>
<formControlPr xmlns="http://schemas.microsoft.com/office/spreadsheetml/2009/9/main" objectType="CheckBox" checked="Checked" fmlaLink="$E$99" lockText="1" noThreeD="1"/>
</file>

<file path=xl/ctrlProps/ctrlProp330.xml><?xml version="1.0" encoding="utf-8"?>
<formControlPr xmlns="http://schemas.microsoft.com/office/spreadsheetml/2009/9/main" objectType="CheckBox" fmlaLink="$J$98" lockText="1" noThreeD="1"/>
</file>

<file path=xl/ctrlProps/ctrlProp331.xml><?xml version="1.0" encoding="utf-8"?>
<formControlPr xmlns="http://schemas.microsoft.com/office/spreadsheetml/2009/9/main" objectType="CheckBox" checked="Checked" fmlaLink="$E$98" lockText="1" noThreeD="1"/>
</file>

<file path=xl/ctrlProps/ctrlProp332.xml><?xml version="1.0" encoding="utf-8"?>
<formControlPr xmlns="http://schemas.microsoft.com/office/spreadsheetml/2009/9/main" objectType="CheckBox" fmlaLink="$J$97" lockText="1" noThreeD="1"/>
</file>

<file path=xl/ctrlProps/ctrlProp333.xml><?xml version="1.0" encoding="utf-8"?>
<formControlPr xmlns="http://schemas.microsoft.com/office/spreadsheetml/2009/9/main" objectType="CheckBox" checked="Checked" fmlaLink="$E$97" lockText="1" noThreeD="1"/>
</file>

<file path=xl/ctrlProps/ctrlProp334.xml><?xml version="1.0" encoding="utf-8"?>
<formControlPr xmlns="http://schemas.microsoft.com/office/spreadsheetml/2009/9/main" objectType="CheckBox" fmlaLink="$J$96" lockText="1" noThreeD="1"/>
</file>

<file path=xl/ctrlProps/ctrlProp335.xml><?xml version="1.0" encoding="utf-8"?>
<formControlPr xmlns="http://schemas.microsoft.com/office/spreadsheetml/2009/9/main" objectType="CheckBox" checked="Checked" fmlaLink="$E$96" lockText="1" noThreeD="1"/>
</file>

<file path=xl/ctrlProps/ctrlProp336.xml><?xml version="1.0" encoding="utf-8"?>
<formControlPr xmlns="http://schemas.microsoft.com/office/spreadsheetml/2009/9/main" objectType="CheckBox" checked="Checked" fmlaLink="$J$95" lockText="1" noThreeD="1"/>
</file>

<file path=xl/ctrlProps/ctrlProp337.xml><?xml version="1.0" encoding="utf-8"?>
<formControlPr xmlns="http://schemas.microsoft.com/office/spreadsheetml/2009/9/main" objectType="CheckBox" checked="Checked" fmlaLink="$E$95" lockText="1" noThreeD="1"/>
</file>

<file path=xl/ctrlProps/ctrlProp338.xml><?xml version="1.0" encoding="utf-8"?>
<formControlPr xmlns="http://schemas.microsoft.com/office/spreadsheetml/2009/9/main" objectType="CheckBox" checked="Checked" fmlaLink="$J$94" lockText="1" noThreeD="1"/>
</file>

<file path=xl/ctrlProps/ctrlProp339.xml><?xml version="1.0" encoding="utf-8"?>
<formControlPr xmlns="http://schemas.microsoft.com/office/spreadsheetml/2009/9/main" objectType="CheckBox" checked="Checked" fmlaLink="$E$94" lockText="1" noThreeD="1"/>
</file>

<file path=xl/ctrlProps/ctrlProp340.xml><?xml version="1.0" encoding="utf-8"?>
<formControlPr xmlns="http://schemas.microsoft.com/office/spreadsheetml/2009/9/main" objectType="CheckBox" fmlaLink="$J$93" lockText="1" noThreeD="1"/>
</file>

<file path=xl/ctrlProps/ctrlProp341.xml><?xml version="1.0" encoding="utf-8"?>
<formControlPr xmlns="http://schemas.microsoft.com/office/spreadsheetml/2009/9/main" objectType="CheckBox" checked="Checked" fmlaLink="$E$93" lockText="1" noThreeD="1"/>
</file>

<file path=xl/ctrlProps/ctrlProp342.xml><?xml version="1.0" encoding="utf-8"?>
<formControlPr xmlns="http://schemas.microsoft.com/office/spreadsheetml/2009/9/main" objectType="CheckBox" checked="Checked" fmlaLink="$J$92" lockText="1" noThreeD="1"/>
</file>

<file path=xl/ctrlProps/ctrlProp343.xml><?xml version="1.0" encoding="utf-8"?>
<formControlPr xmlns="http://schemas.microsoft.com/office/spreadsheetml/2009/9/main" objectType="CheckBox" checked="Checked" fmlaLink="$E$92" lockText="1" noThreeD="1"/>
</file>

<file path=xl/ctrlProps/ctrlProp344.xml><?xml version="1.0" encoding="utf-8"?>
<formControlPr xmlns="http://schemas.microsoft.com/office/spreadsheetml/2009/9/main" objectType="CheckBox" fmlaLink="$J$91" lockText="1" noThreeD="1"/>
</file>

<file path=xl/ctrlProps/ctrlProp345.xml><?xml version="1.0" encoding="utf-8"?>
<formControlPr xmlns="http://schemas.microsoft.com/office/spreadsheetml/2009/9/main" objectType="CheckBox" checked="Checked" fmlaLink="$E$91" lockText="1" noThreeD="1"/>
</file>

<file path=xl/ctrlProps/ctrlProp346.xml><?xml version="1.0" encoding="utf-8"?>
<formControlPr xmlns="http://schemas.microsoft.com/office/spreadsheetml/2009/9/main" objectType="CheckBox" fmlaLink="$J$90" lockText="1" noThreeD="1"/>
</file>

<file path=xl/ctrlProps/ctrlProp347.xml><?xml version="1.0" encoding="utf-8"?>
<formControlPr xmlns="http://schemas.microsoft.com/office/spreadsheetml/2009/9/main" objectType="CheckBox" checked="Checked" fmlaLink="$E$90" lockText="1" noThreeD="1"/>
</file>

<file path=xl/ctrlProps/ctrlProp348.xml><?xml version="1.0" encoding="utf-8"?>
<formControlPr xmlns="http://schemas.microsoft.com/office/spreadsheetml/2009/9/main" objectType="CheckBox" fmlaLink="$J$89" lockText="1" noThreeD="1"/>
</file>

<file path=xl/ctrlProps/ctrlProp349.xml><?xml version="1.0" encoding="utf-8"?>
<formControlPr xmlns="http://schemas.microsoft.com/office/spreadsheetml/2009/9/main" objectType="CheckBox" checked="Checked" fmlaLink="$E$89" lockText="1" noThreeD="1"/>
</file>

<file path=xl/ctrlProps/ctrlProp350.xml><?xml version="1.0" encoding="utf-8"?>
<formControlPr xmlns="http://schemas.microsoft.com/office/spreadsheetml/2009/9/main" objectType="CheckBox" fmlaLink="$J$88" lockText="1" noThreeD="1"/>
</file>

<file path=xl/ctrlProps/ctrlProp351.xml><?xml version="1.0" encoding="utf-8"?>
<formControlPr xmlns="http://schemas.microsoft.com/office/spreadsheetml/2009/9/main" objectType="CheckBox" fmlaLink="$E$88" lockText="1" noThreeD="1"/>
</file>

<file path=xl/ctrlProps/ctrlProp352.xml><?xml version="1.0" encoding="utf-8"?>
<formControlPr xmlns="http://schemas.microsoft.com/office/spreadsheetml/2009/9/main" objectType="CheckBox" checked="Checked" fmlaLink="$J$87" lockText="1" noThreeD="1"/>
</file>

<file path=xl/ctrlProps/ctrlProp353.xml><?xml version="1.0" encoding="utf-8"?>
<formControlPr xmlns="http://schemas.microsoft.com/office/spreadsheetml/2009/9/main" objectType="CheckBox" checked="Checked" fmlaLink="$E$87" lockText="1" noThreeD="1"/>
</file>

<file path=xl/ctrlProps/ctrlProp354.xml><?xml version="1.0" encoding="utf-8"?>
<formControlPr xmlns="http://schemas.microsoft.com/office/spreadsheetml/2009/9/main" objectType="CheckBox" checked="Checked" fmlaLink="$J$86" lockText="1" noThreeD="1"/>
</file>

<file path=xl/ctrlProps/ctrlProp355.xml><?xml version="1.0" encoding="utf-8"?>
<formControlPr xmlns="http://schemas.microsoft.com/office/spreadsheetml/2009/9/main" objectType="CheckBox" checked="Checked" fmlaLink="$E$86" lockText="1" noThreeD="1"/>
</file>

<file path=xl/ctrlProps/ctrlProp356.xml><?xml version="1.0" encoding="utf-8"?>
<formControlPr xmlns="http://schemas.microsoft.com/office/spreadsheetml/2009/9/main" objectType="CheckBox" checked="Checked" fmlaLink="$J$85" lockText="1" noThreeD="1"/>
</file>

<file path=xl/ctrlProps/ctrlProp357.xml><?xml version="1.0" encoding="utf-8"?>
<formControlPr xmlns="http://schemas.microsoft.com/office/spreadsheetml/2009/9/main" objectType="CheckBox" checked="Checked" fmlaLink="$E$85" lockText="1" noThreeD="1"/>
</file>

<file path=xl/ctrlProps/ctrlProp358.xml><?xml version="1.0" encoding="utf-8"?>
<formControlPr xmlns="http://schemas.microsoft.com/office/spreadsheetml/2009/9/main" objectType="CheckBox" checked="Checked" fmlaLink="$J$84" lockText="1" noThreeD="1"/>
</file>

<file path=xl/ctrlProps/ctrlProp359.xml><?xml version="1.0" encoding="utf-8"?>
<formControlPr xmlns="http://schemas.microsoft.com/office/spreadsheetml/2009/9/main" objectType="CheckBox" checked="Checked" fmlaLink="$E$84" lockText="1" noThreeD="1"/>
</file>

<file path=xl/ctrlProps/ctrlProp360.xml><?xml version="1.0" encoding="utf-8"?>
<formControlPr xmlns="http://schemas.microsoft.com/office/spreadsheetml/2009/9/main" objectType="CheckBox" checked="Checked" fmlaLink="$J$83" lockText="1" noThreeD="1"/>
</file>

<file path=xl/ctrlProps/ctrlProp361.xml><?xml version="1.0" encoding="utf-8"?>
<formControlPr xmlns="http://schemas.microsoft.com/office/spreadsheetml/2009/9/main" objectType="CheckBox" checked="Checked" fmlaLink="$E$83" lockText="1" noThreeD="1"/>
</file>

<file path=xl/ctrlProps/ctrlProp362.xml><?xml version="1.0" encoding="utf-8"?>
<formControlPr xmlns="http://schemas.microsoft.com/office/spreadsheetml/2009/9/main" objectType="CheckBox" fmlaLink="$J$82" lockText="1" noThreeD="1"/>
</file>

<file path=xl/ctrlProps/ctrlProp363.xml><?xml version="1.0" encoding="utf-8"?>
<formControlPr xmlns="http://schemas.microsoft.com/office/spreadsheetml/2009/9/main" objectType="CheckBox" checked="Checked" fmlaLink="$E$82" lockText="1" noThreeD="1"/>
</file>

<file path=xl/ctrlProps/ctrlProp364.xml><?xml version="1.0" encoding="utf-8"?>
<formControlPr xmlns="http://schemas.microsoft.com/office/spreadsheetml/2009/9/main" objectType="CheckBox" checked="Checked" fmlaLink="$J$81" lockText="1" noThreeD="1"/>
</file>

<file path=xl/ctrlProps/ctrlProp365.xml><?xml version="1.0" encoding="utf-8"?>
<formControlPr xmlns="http://schemas.microsoft.com/office/spreadsheetml/2009/9/main" objectType="CheckBox" checked="Checked" fmlaLink="$E$81" lockText="1" noThreeD="1"/>
</file>

<file path=xl/ctrlProps/ctrlProp366.xml><?xml version="1.0" encoding="utf-8"?>
<formControlPr xmlns="http://schemas.microsoft.com/office/spreadsheetml/2009/9/main" objectType="CheckBox" checked="Checked" fmlaLink="$J$80" lockText="1" noThreeD="1"/>
</file>

<file path=xl/ctrlProps/ctrlProp367.xml><?xml version="1.0" encoding="utf-8"?>
<formControlPr xmlns="http://schemas.microsoft.com/office/spreadsheetml/2009/9/main" objectType="CheckBox" checked="Checked" fmlaLink="$E$80" lockText="1" noThreeD="1"/>
</file>

<file path=xl/ctrlProps/ctrlProp368.xml><?xml version="1.0" encoding="utf-8"?>
<formControlPr xmlns="http://schemas.microsoft.com/office/spreadsheetml/2009/9/main" objectType="CheckBox" checked="Checked" fmlaLink="$J$79" lockText="1" noThreeD="1"/>
</file>

<file path=xl/ctrlProps/ctrlProp369.xml><?xml version="1.0" encoding="utf-8"?>
<formControlPr xmlns="http://schemas.microsoft.com/office/spreadsheetml/2009/9/main" objectType="CheckBox" checked="Checked" fmlaLink="$E$79" lockText="1" noThreeD="1"/>
</file>

<file path=xl/ctrlProps/ctrlProp370.xml><?xml version="1.0" encoding="utf-8"?>
<formControlPr xmlns="http://schemas.microsoft.com/office/spreadsheetml/2009/9/main" objectType="CheckBox" fmlaLink="$J$78" lockText="1" noThreeD="1"/>
</file>

<file path=xl/ctrlProps/ctrlProp371.xml><?xml version="1.0" encoding="utf-8"?>
<formControlPr xmlns="http://schemas.microsoft.com/office/spreadsheetml/2009/9/main" objectType="CheckBox" checked="Checked" fmlaLink="$E$78" lockText="1" noThreeD="1"/>
</file>

<file path=xl/ctrlProps/ctrlProp372.xml><?xml version="1.0" encoding="utf-8"?>
<formControlPr xmlns="http://schemas.microsoft.com/office/spreadsheetml/2009/9/main" objectType="CheckBox" fmlaLink="$J$77" lockText="1" noThreeD="1"/>
</file>

<file path=xl/ctrlProps/ctrlProp373.xml><?xml version="1.0" encoding="utf-8"?>
<formControlPr xmlns="http://schemas.microsoft.com/office/spreadsheetml/2009/9/main" objectType="CheckBox" checked="Checked" fmlaLink="$E$77" lockText="1" noThreeD="1"/>
</file>

<file path=xl/ctrlProps/ctrlProp374.xml><?xml version="1.0" encoding="utf-8"?>
<formControlPr xmlns="http://schemas.microsoft.com/office/spreadsheetml/2009/9/main" objectType="CheckBox" checked="Checked" fmlaLink="$J$76" lockText="1" noThreeD="1"/>
</file>

<file path=xl/ctrlProps/ctrlProp375.xml><?xml version="1.0" encoding="utf-8"?>
<formControlPr xmlns="http://schemas.microsoft.com/office/spreadsheetml/2009/9/main" objectType="CheckBox" checked="Checked" fmlaLink="$E$76" lockText="1" noThreeD="1"/>
</file>

<file path=xl/ctrlProps/ctrlProp376.xml><?xml version="1.0" encoding="utf-8"?>
<formControlPr xmlns="http://schemas.microsoft.com/office/spreadsheetml/2009/9/main" objectType="CheckBox" checked="Checked" fmlaLink="$J$75" lockText="1" noThreeD="1"/>
</file>

<file path=xl/ctrlProps/ctrlProp377.xml><?xml version="1.0" encoding="utf-8"?>
<formControlPr xmlns="http://schemas.microsoft.com/office/spreadsheetml/2009/9/main" objectType="CheckBox" checked="Checked" fmlaLink="$E$75" lockText="1" noThreeD="1"/>
</file>

<file path=xl/ctrlProps/ctrlProp378.xml><?xml version="1.0" encoding="utf-8"?>
<formControlPr xmlns="http://schemas.microsoft.com/office/spreadsheetml/2009/9/main" objectType="CheckBox" checked="Checked" fmlaLink="$J$74" lockText="1" noThreeD="1"/>
</file>

<file path=xl/ctrlProps/ctrlProp379.xml><?xml version="1.0" encoding="utf-8"?>
<formControlPr xmlns="http://schemas.microsoft.com/office/spreadsheetml/2009/9/main" objectType="CheckBox" checked="Checked" fmlaLink="$E$74" lockText="1" noThreeD="1"/>
</file>

<file path=xl/ctrlProps/ctrlProp380.xml><?xml version="1.0" encoding="utf-8"?>
<formControlPr xmlns="http://schemas.microsoft.com/office/spreadsheetml/2009/9/main" objectType="CheckBox" checked="Checked" fmlaLink="$J$73" lockText="1" noThreeD="1"/>
</file>

<file path=xl/ctrlProps/ctrlProp381.xml><?xml version="1.0" encoding="utf-8"?>
<formControlPr xmlns="http://schemas.microsoft.com/office/spreadsheetml/2009/9/main" objectType="CheckBox" checked="Checked" fmlaLink="$E$73" lockText="1" noThreeD="1"/>
</file>

<file path=xl/ctrlProps/ctrlProp382.xml><?xml version="1.0" encoding="utf-8"?>
<formControlPr xmlns="http://schemas.microsoft.com/office/spreadsheetml/2009/9/main" objectType="CheckBox" checked="Checked" fmlaLink="$J$72" lockText="1" noThreeD="1"/>
</file>

<file path=xl/ctrlProps/ctrlProp383.xml><?xml version="1.0" encoding="utf-8"?>
<formControlPr xmlns="http://schemas.microsoft.com/office/spreadsheetml/2009/9/main" objectType="CheckBox" checked="Checked" fmlaLink="$E$72" lockText="1" noThreeD="1"/>
</file>

<file path=xl/ctrlProps/ctrlProp384.xml><?xml version="1.0" encoding="utf-8"?>
<formControlPr xmlns="http://schemas.microsoft.com/office/spreadsheetml/2009/9/main" objectType="CheckBox" checked="Checked" fmlaLink="$J$71" lockText="1" noThreeD="1"/>
</file>

<file path=xl/ctrlProps/ctrlProp385.xml><?xml version="1.0" encoding="utf-8"?>
<formControlPr xmlns="http://schemas.microsoft.com/office/spreadsheetml/2009/9/main" objectType="CheckBox" checked="Checked" fmlaLink="$E$71" lockText="1" noThreeD="1"/>
</file>

<file path=xl/ctrlProps/ctrlProp386.xml><?xml version="1.0" encoding="utf-8"?>
<formControlPr xmlns="http://schemas.microsoft.com/office/spreadsheetml/2009/9/main" objectType="CheckBox" checked="Checked" fmlaLink="$J$70" lockText="1" noThreeD="1"/>
</file>

<file path=xl/ctrlProps/ctrlProp387.xml><?xml version="1.0" encoding="utf-8"?>
<formControlPr xmlns="http://schemas.microsoft.com/office/spreadsheetml/2009/9/main" objectType="CheckBox" checked="Checked" fmlaLink="$E$70" lockText="1" noThreeD="1"/>
</file>

<file path=xl/ctrlProps/ctrlProp388.xml><?xml version="1.0" encoding="utf-8"?>
<formControlPr xmlns="http://schemas.microsoft.com/office/spreadsheetml/2009/9/main" objectType="CheckBox" fmlaLink="$J$69" lockText="1" noThreeD="1"/>
</file>

<file path=xl/ctrlProps/ctrlProp389.xml><?xml version="1.0" encoding="utf-8"?>
<formControlPr xmlns="http://schemas.microsoft.com/office/spreadsheetml/2009/9/main" objectType="CheckBox" checked="Checked" fmlaLink="$E$69" lockText="1" noThreeD="1"/>
</file>

<file path=xl/ctrlProps/ctrlProp390.xml><?xml version="1.0" encoding="utf-8"?>
<formControlPr xmlns="http://schemas.microsoft.com/office/spreadsheetml/2009/9/main" objectType="CheckBox" checked="Checked" fmlaLink="$J$68" lockText="1" noThreeD="1"/>
</file>

<file path=xl/ctrlProps/ctrlProp391.xml><?xml version="1.0" encoding="utf-8"?>
<formControlPr xmlns="http://schemas.microsoft.com/office/spreadsheetml/2009/9/main" objectType="CheckBox" checked="Checked" fmlaLink="$E$68" lockText="1" noThreeD="1"/>
</file>

<file path=xl/ctrlProps/ctrlProp392.xml><?xml version="1.0" encoding="utf-8"?>
<formControlPr xmlns="http://schemas.microsoft.com/office/spreadsheetml/2009/9/main" objectType="CheckBox" checked="Checked" fmlaLink="$J$67" lockText="1" noThreeD="1"/>
</file>

<file path=xl/ctrlProps/ctrlProp393.xml><?xml version="1.0" encoding="utf-8"?>
<formControlPr xmlns="http://schemas.microsoft.com/office/spreadsheetml/2009/9/main" objectType="CheckBox" checked="Checked" fmlaLink="$E$67" lockText="1" noThreeD="1"/>
</file>

<file path=xl/ctrlProps/ctrlProp394.xml><?xml version="1.0" encoding="utf-8"?>
<formControlPr xmlns="http://schemas.microsoft.com/office/spreadsheetml/2009/9/main" objectType="CheckBox" fmlaLink="$J$66" lockText="1" noThreeD="1"/>
</file>

<file path=xl/ctrlProps/ctrlProp395.xml><?xml version="1.0" encoding="utf-8"?>
<formControlPr xmlns="http://schemas.microsoft.com/office/spreadsheetml/2009/9/main" objectType="CheckBox" checked="Checked" fmlaLink="$E$66" lockText="1" noThreeD="1"/>
</file>

<file path=xl/ctrlProps/ctrlProp396.xml><?xml version="1.0" encoding="utf-8"?>
<formControlPr xmlns="http://schemas.microsoft.com/office/spreadsheetml/2009/9/main" objectType="CheckBox" checked="Checked" fmlaLink="$J$65" lockText="1" noThreeD="1"/>
</file>

<file path=xl/ctrlProps/ctrlProp397.xml><?xml version="1.0" encoding="utf-8"?>
<formControlPr xmlns="http://schemas.microsoft.com/office/spreadsheetml/2009/9/main" objectType="CheckBox" checked="Checked" fmlaLink="$E$65" lockText="1" noThreeD="1"/>
</file>

<file path=xl/ctrlProps/ctrlProp398.xml><?xml version="1.0" encoding="utf-8"?>
<formControlPr xmlns="http://schemas.microsoft.com/office/spreadsheetml/2009/9/main" objectType="CheckBox" fmlaLink="$J$64" lockText="1" noThreeD="1"/>
</file>

<file path=xl/ctrlProps/ctrlProp399.xml><?xml version="1.0" encoding="utf-8"?>
<formControlPr xmlns="http://schemas.microsoft.com/office/spreadsheetml/2009/9/main" objectType="CheckBox" checked="Checked" fmlaLink="$E$64" lockText="1" noThreeD="1"/>
</file>

<file path=xl/ctrlProps/ctrlProp400.xml><?xml version="1.0" encoding="utf-8"?>
<formControlPr xmlns="http://schemas.microsoft.com/office/spreadsheetml/2009/9/main" objectType="CheckBox" fmlaLink="$J$63" lockText="1" noThreeD="1"/>
</file>

<file path=xl/ctrlProps/ctrlProp401.xml><?xml version="1.0" encoding="utf-8"?>
<formControlPr xmlns="http://schemas.microsoft.com/office/spreadsheetml/2009/9/main" objectType="CheckBox" checked="Checked" fmlaLink="$E$63" lockText="1" noThreeD="1"/>
</file>

<file path=xl/ctrlProps/ctrlProp402.xml><?xml version="1.0" encoding="utf-8"?>
<formControlPr xmlns="http://schemas.microsoft.com/office/spreadsheetml/2009/9/main" objectType="CheckBox" fmlaLink="$J$62" lockText="1" noThreeD="1"/>
</file>

<file path=xl/ctrlProps/ctrlProp403.xml><?xml version="1.0" encoding="utf-8"?>
<formControlPr xmlns="http://schemas.microsoft.com/office/spreadsheetml/2009/9/main" objectType="CheckBox" checked="Checked" fmlaLink="$E$62" lockText="1" noThreeD="1"/>
</file>

<file path=xl/ctrlProps/ctrlProp404.xml><?xml version="1.0" encoding="utf-8"?>
<formControlPr xmlns="http://schemas.microsoft.com/office/spreadsheetml/2009/9/main" objectType="CheckBox" checked="Checked" fmlaLink="$J$61" lockText="1" noThreeD="1"/>
</file>

<file path=xl/ctrlProps/ctrlProp405.xml><?xml version="1.0" encoding="utf-8"?>
<formControlPr xmlns="http://schemas.microsoft.com/office/spreadsheetml/2009/9/main" objectType="CheckBox" checked="Checked" fmlaLink="$E$61" lockText="1" noThreeD="1"/>
</file>

<file path=xl/ctrlProps/ctrlProp406.xml><?xml version="1.0" encoding="utf-8"?>
<formControlPr xmlns="http://schemas.microsoft.com/office/spreadsheetml/2009/9/main" objectType="CheckBox" fmlaLink="$J$60" lockText="1" noThreeD="1"/>
</file>

<file path=xl/ctrlProps/ctrlProp407.xml><?xml version="1.0" encoding="utf-8"?>
<formControlPr xmlns="http://schemas.microsoft.com/office/spreadsheetml/2009/9/main" objectType="CheckBox" checked="Checked" fmlaLink="$E$60" lockText="1" noThreeD="1"/>
</file>

<file path=xl/ctrlProps/ctrlProp408.xml><?xml version="1.0" encoding="utf-8"?>
<formControlPr xmlns="http://schemas.microsoft.com/office/spreadsheetml/2009/9/main" objectType="CheckBox" checked="Checked" fmlaLink="$J$59" lockText="1" noThreeD="1"/>
</file>

<file path=xl/ctrlProps/ctrlProp409.xml><?xml version="1.0" encoding="utf-8"?>
<formControlPr xmlns="http://schemas.microsoft.com/office/spreadsheetml/2009/9/main" objectType="CheckBox" checked="Checked" fmlaLink="$E$59" lockText="1" noThreeD="1"/>
</file>

<file path=xl/ctrlProps/ctrlProp410.xml><?xml version="1.0" encoding="utf-8"?>
<formControlPr xmlns="http://schemas.microsoft.com/office/spreadsheetml/2009/9/main" objectType="CheckBox" fmlaLink="$J$58" lockText="1" noThreeD="1"/>
</file>

<file path=xl/ctrlProps/ctrlProp411.xml><?xml version="1.0" encoding="utf-8"?>
<formControlPr xmlns="http://schemas.microsoft.com/office/spreadsheetml/2009/9/main" objectType="CheckBox" checked="Checked" fmlaLink="$E$58" lockText="1" noThreeD="1"/>
</file>

<file path=xl/ctrlProps/ctrlProp412.xml><?xml version="1.0" encoding="utf-8"?>
<formControlPr xmlns="http://schemas.microsoft.com/office/spreadsheetml/2009/9/main" objectType="CheckBox" checked="Checked" fmlaLink="$J$57" lockText="1" noThreeD="1"/>
</file>

<file path=xl/ctrlProps/ctrlProp413.xml><?xml version="1.0" encoding="utf-8"?>
<formControlPr xmlns="http://schemas.microsoft.com/office/spreadsheetml/2009/9/main" objectType="CheckBox" checked="Checked" fmlaLink="$E$57" lockText="1" noThreeD="1"/>
</file>

<file path=xl/ctrlProps/ctrlProp414.xml><?xml version="1.0" encoding="utf-8"?>
<formControlPr xmlns="http://schemas.microsoft.com/office/spreadsheetml/2009/9/main" objectType="CheckBox" checked="Checked" fmlaLink="$J$56" lockText="1" noThreeD="1"/>
</file>

<file path=xl/ctrlProps/ctrlProp415.xml><?xml version="1.0" encoding="utf-8"?>
<formControlPr xmlns="http://schemas.microsoft.com/office/spreadsheetml/2009/9/main" objectType="CheckBox" checked="Checked" fmlaLink="$E$56" lockText="1" noThreeD="1"/>
</file>

<file path=xl/ctrlProps/ctrlProp416.xml><?xml version="1.0" encoding="utf-8"?>
<formControlPr xmlns="http://schemas.microsoft.com/office/spreadsheetml/2009/9/main" objectType="CheckBox" checked="Checked" fmlaLink="$J$55" lockText="1" noThreeD="1"/>
</file>

<file path=xl/ctrlProps/ctrlProp417.xml><?xml version="1.0" encoding="utf-8"?>
<formControlPr xmlns="http://schemas.microsoft.com/office/spreadsheetml/2009/9/main" objectType="CheckBox" checked="Checked" fmlaLink="$E$55" lockText="1" noThreeD="1"/>
</file>

<file path=xl/ctrlProps/ctrlProp418.xml><?xml version="1.0" encoding="utf-8"?>
<formControlPr xmlns="http://schemas.microsoft.com/office/spreadsheetml/2009/9/main" objectType="CheckBox" checked="Checked" fmlaLink="$J$54" lockText="1" noThreeD="1"/>
</file>

<file path=xl/ctrlProps/ctrlProp419.xml><?xml version="1.0" encoding="utf-8"?>
<formControlPr xmlns="http://schemas.microsoft.com/office/spreadsheetml/2009/9/main" objectType="CheckBox" checked="Checked" fmlaLink="$E$54" lockText="1" noThreeD="1"/>
</file>

<file path=xl/ctrlProps/ctrlProp420.xml><?xml version="1.0" encoding="utf-8"?>
<formControlPr xmlns="http://schemas.microsoft.com/office/spreadsheetml/2009/9/main" objectType="CheckBox" fmlaLink="$J$53" lockText="1" noThreeD="1"/>
</file>

<file path=xl/ctrlProps/ctrlProp421.xml><?xml version="1.0" encoding="utf-8"?>
<formControlPr xmlns="http://schemas.microsoft.com/office/spreadsheetml/2009/9/main" objectType="CheckBox" checked="Checked" fmlaLink="$E$53" lockText="1" noThreeD="1"/>
</file>

<file path=xl/ctrlProps/ctrlProp422.xml><?xml version="1.0" encoding="utf-8"?>
<formControlPr xmlns="http://schemas.microsoft.com/office/spreadsheetml/2009/9/main" objectType="CheckBox" checked="Checked" fmlaLink="$J$52" lockText="1" noThreeD="1"/>
</file>

<file path=xl/ctrlProps/ctrlProp423.xml><?xml version="1.0" encoding="utf-8"?>
<formControlPr xmlns="http://schemas.microsoft.com/office/spreadsheetml/2009/9/main" objectType="CheckBox" checked="Checked" fmlaLink="$E$52" lockText="1" noThreeD="1"/>
</file>

<file path=xl/ctrlProps/ctrlProp424.xml><?xml version="1.0" encoding="utf-8"?>
<formControlPr xmlns="http://schemas.microsoft.com/office/spreadsheetml/2009/9/main" objectType="CheckBox" checked="Checked" fmlaLink="$J$50" lockText="1" noThreeD="1"/>
</file>

<file path=xl/ctrlProps/ctrlProp425.xml><?xml version="1.0" encoding="utf-8"?>
<formControlPr xmlns="http://schemas.microsoft.com/office/spreadsheetml/2009/9/main" objectType="CheckBox" checked="Checked" fmlaLink="$E$50" lockText="1" noThreeD="1"/>
</file>

<file path=xl/ctrlProps/ctrlProp426.xml><?xml version="1.0" encoding="utf-8"?>
<formControlPr xmlns="http://schemas.microsoft.com/office/spreadsheetml/2009/9/main" objectType="CheckBox" fmlaLink="$J$49" lockText="1" noThreeD="1"/>
</file>

<file path=xl/ctrlProps/ctrlProp427.xml><?xml version="1.0" encoding="utf-8"?>
<formControlPr xmlns="http://schemas.microsoft.com/office/spreadsheetml/2009/9/main" objectType="CheckBox" checked="Checked" fmlaLink="$E$49" lockText="1" noThreeD="1"/>
</file>

<file path=xl/ctrlProps/ctrlProp428.xml><?xml version="1.0" encoding="utf-8"?>
<formControlPr xmlns="http://schemas.microsoft.com/office/spreadsheetml/2009/9/main" objectType="CheckBox" checked="Checked" fmlaLink="$J$48" lockText="1" noThreeD="1"/>
</file>

<file path=xl/ctrlProps/ctrlProp429.xml><?xml version="1.0" encoding="utf-8"?>
<formControlPr xmlns="http://schemas.microsoft.com/office/spreadsheetml/2009/9/main" objectType="CheckBox" checked="Checked" fmlaLink="$E$48" lockText="1" noThreeD="1"/>
</file>

<file path=xl/ctrlProps/ctrlProp430.xml><?xml version="1.0" encoding="utf-8"?>
<formControlPr xmlns="http://schemas.microsoft.com/office/spreadsheetml/2009/9/main" objectType="CheckBox" checked="Checked" fmlaLink="$J$47" lockText="1" noThreeD="1"/>
</file>

<file path=xl/ctrlProps/ctrlProp431.xml><?xml version="1.0" encoding="utf-8"?>
<formControlPr xmlns="http://schemas.microsoft.com/office/spreadsheetml/2009/9/main" objectType="CheckBox" checked="Checked" fmlaLink="$E$47" lockText="1" noThreeD="1"/>
</file>

<file path=xl/ctrlProps/ctrlProp432.xml><?xml version="1.0" encoding="utf-8"?>
<formControlPr xmlns="http://schemas.microsoft.com/office/spreadsheetml/2009/9/main" objectType="CheckBox" fmlaLink="$J$46" lockText="1" noThreeD="1"/>
</file>

<file path=xl/ctrlProps/ctrlProp433.xml><?xml version="1.0" encoding="utf-8"?>
<formControlPr xmlns="http://schemas.microsoft.com/office/spreadsheetml/2009/9/main" objectType="CheckBox" checked="Checked" fmlaLink="$E$46" lockText="1" noThreeD="1"/>
</file>

<file path=xl/ctrlProps/ctrlProp434.xml><?xml version="1.0" encoding="utf-8"?>
<formControlPr xmlns="http://schemas.microsoft.com/office/spreadsheetml/2009/9/main" objectType="CheckBox" checked="Checked" fmlaLink="$J$45" lockText="1" noThreeD="1"/>
</file>

<file path=xl/ctrlProps/ctrlProp435.xml><?xml version="1.0" encoding="utf-8"?>
<formControlPr xmlns="http://schemas.microsoft.com/office/spreadsheetml/2009/9/main" objectType="CheckBox" checked="Checked" fmlaLink="$E$45" lockText="1" noThreeD="1"/>
</file>

<file path=xl/ctrlProps/ctrlProp436.xml><?xml version="1.0" encoding="utf-8"?>
<formControlPr xmlns="http://schemas.microsoft.com/office/spreadsheetml/2009/9/main" objectType="CheckBox" fmlaLink="$J$44" lockText="1" noThreeD="1"/>
</file>

<file path=xl/ctrlProps/ctrlProp437.xml><?xml version="1.0" encoding="utf-8"?>
<formControlPr xmlns="http://schemas.microsoft.com/office/spreadsheetml/2009/9/main" objectType="CheckBox" checked="Checked" fmlaLink="$E$44" lockText="1" noThreeD="1"/>
</file>

<file path=xl/ctrlProps/ctrlProp438.xml><?xml version="1.0" encoding="utf-8"?>
<formControlPr xmlns="http://schemas.microsoft.com/office/spreadsheetml/2009/9/main" objectType="CheckBox" checked="Checked" fmlaLink="$J$43" lockText="1" noThreeD="1"/>
</file>

<file path=xl/ctrlProps/ctrlProp439.xml><?xml version="1.0" encoding="utf-8"?>
<formControlPr xmlns="http://schemas.microsoft.com/office/spreadsheetml/2009/9/main" objectType="CheckBox" checked="Checked" fmlaLink="$E$43" lockText="1" noThreeD="1"/>
</file>

<file path=xl/ctrlProps/ctrlProp440.xml><?xml version="1.0" encoding="utf-8"?>
<formControlPr xmlns="http://schemas.microsoft.com/office/spreadsheetml/2009/9/main" objectType="CheckBox" fmlaLink="$J$51" lockText="1" noThreeD="1"/>
</file>

<file path=xl/ctrlProps/ctrlProp441.xml><?xml version="1.0" encoding="utf-8"?>
<formControlPr xmlns="http://schemas.microsoft.com/office/spreadsheetml/2009/9/main" objectType="CheckBox" fmlaLink="$E$51" lockText="1" noThreeD="1"/>
</file>

<file path=xl/ctrlProps/ctrlProp442.xml><?xml version="1.0" encoding="utf-8"?>
<formControlPr xmlns="http://schemas.microsoft.com/office/spreadsheetml/2009/9/main" objectType="CheckBox" checked="Checked" fmlaLink="$J$42" lockText="1" noThreeD="1"/>
</file>

<file path=xl/ctrlProps/ctrlProp443.xml><?xml version="1.0" encoding="utf-8"?>
<formControlPr xmlns="http://schemas.microsoft.com/office/spreadsheetml/2009/9/main" objectType="CheckBox" checked="Checked" fmlaLink="$E$42" lockText="1" noThreeD="1"/>
</file>

<file path=xl/ctrlProps/ctrlProp444.xml><?xml version="1.0" encoding="utf-8"?>
<formControlPr xmlns="http://schemas.microsoft.com/office/spreadsheetml/2009/9/main" objectType="CheckBox" fmlaLink="$J$41" lockText="1" noThreeD="1"/>
</file>

<file path=xl/ctrlProps/ctrlProp445.xml><?xml version="1.0" encoding="utf-8"?>
<formControlPr xmlns="http://schemas.microsoft.com/office/spreadsheetml/2009/9/main" objectType="CheckBox" fmlaLink="$E$41" lockText="1" noThreeD="1"/>
</file>

<file path=xl/ctrlProps/ctrlProp446.xml><?xml version="1.0" encoding="utf-8"?>
<formControlPr xmlns="http://schemas.microsoft.com/office/spreadsheetml/2009/9/main" objectType="CheckBox" checked="Checked" fmlaLink="$J$40" lockText="1" noThreeD="1"/>
</file>

<file path=xl/ctrlProps/ctrlProp447.xml><?xml version="1.0" encoding="utf-8"?>
<formControlPr xmlns="http://schemas.microsoft.com/office/spreadsheetml/2009/9/main" objectType="CheckBox" checked="Checked" fmlaLink="$E$40" lockText="1" noThreeD="1"/>
</file>

<file path=xl/ctrlProps/ctrlProp448.xml><?xml version="1.0" encoding="utf-8"?>
<formControlPr xmlns="http://schemas.microsoft.com/office/spreadsheetml/2009/9/main" objectType="CheckBox" fmlaLink="$J$39" lockText="1" noThreeD="1"/>
</file>

<file path=xl/ctrlProps/ctrlProp449.xml><?xml version="1.0" encoding="utf-8"?>
<formControlPr xmlns="http://schemas.microsoft.com/office/spreadsheetml/2009/9/main" objectType="CheckBox" fmlaLink="$E$39" lockText="1" noThreeD="1"/>
</file>

<file path=xl/ctrlProps/ctrlProp450.xml><?xml version="1.0" encoding="utf-8"?>
<formControlPr xmlns="http://schemas.microsoft.com/office/spreadsheetml/2009/9/main" objectType="CheckBox" fmlaLink="$J$38" lockText="1" noThreeD="1"/>
</file>

<file path=xl/ctrlProps/ctrlProp451.xml><?xml version="1.0" encoding="utf-8"?>
<formControlPr xmlns="http://schemas.microsoft.com/office/spreadsheetml/2009/9/main" objectType="CheckBox" fmlaLink="$E$38" lockText="1" noThreeD="1"/>
</file>

<file path=xl/ctrlProps/ctrlProp452.xml><?xml version="1.0" encoding="utf-8"?>
<formControlPr xmlns="http://schemas.microsoft.com/office/spreadsheetml/2009/9/main" objectType="CheckBox" checked="Checked" fmlaLink="$J$37" lockText="1" noThreeD="1"/>
</file>

<file path=xl/ctrlProps/ctrlProp453.xml><?xml version="1.0" encoding="utf-8"?>
<formControlPr xmlns="http://schemas.microsoft.com/office/spreadsheetml/2009/9/main" objectType="CheckBox" checked="Checked" fmlaLink="$E$37" lockText="1" noThreeD="1"/>
</file>

<file path=xl/ctrlProps/ctrlProp454.xml><?xml version="1.0" encoding="utf-8"?>
<formControlPr xmlns="http://schemas.microsoft.com/office/spreadsheetml/2009/9/main" objectType="CheckBox" checked="Checked" fmlaLink="$J$36" lockText="1" noThreeD="1"/>
</file>

<file path=xl/ctrlProps/ctrlProp455.xml><?xml version="1.0" encoding="utf-8"?>
<formControlPr xmlns="http://schemas.microsoft.com/office/spreadsheetml/2009/9/main" objectType="CheckBox" checked="Checked" fmlaLink="$E$36" lockText="1" noThreeD="1"/>
</file>

<file path=xl/ctrlProps/ctrlProp456.xml><?xml version="1.0" encoding="utf-8"?>
<formControlPr xmlns="http://schemas.microsoft.com/office/spreadsheetml/2009/9/main" objectType="CheckBox" checked="Checked" fmlaLink="$J$35" lockText="1" noThreeD="1"/>
</file>

<file path=xl/ctrlProps/ctrlProp457.xml><?xml version="1.0" encoding="utf-8"?>
<formControlPr xmlns="http://schemas.microsoft.com/office/spreadsheetml/2009/9/main" objectType="CheckBox" checked="Checked" fmlaLink="$E$35" lockText="1" noThreeD="1"/>
</file>

<file path=xl/ctrlProps/ctrlProp458.xml><?xml version="1.0" encoding="utf-8"?>
<formControlPr xmlns="http://schemas.microsoft.com/office/spreadsheetml/2009/9/main" objectType="CheckBox" checked="Checked" fmlaLink="$J$34" lockText="1" noThreeD="1"/>
</file>

<file path=xl/ctrlProps/ctrlProp459.xml><?xml version="1.0" encoding="utf-8"?>
<formControlPr xmlns="http://schemas.microsoft.com/office/spreadsheetml/2009/9/main" objectType="CheckBox" checked="Checked" fmlaLink="$E$34" lockText="1" noThreeD="1"/>
</file>

<file path=xl/ctrlProps/ctrlProp460.xml><?xml version="1.0" encoding="utf-8"?>
<formControlPr xmlns="http://schemas.microsoft.com/office/spreadsheetml/2009/9/main" objectType="CheckBox" fmlaLink="$J$33" lockText="1" noThreeD="1"/>
</file>

<file path=xl/ctrlProps/ctrlProp461.xml><?xml version="1.0" encoding="utf-8"?>
<formControlPr xmlns="http://schemas.microsoft.com/office/spreadsheetml/2009/9/main" objectType="CheckBox" fmlaLink="$E$33" lockText="1" noThreeD="1"/>
</file>

<file path=xl/ctrlProps/ctrlProp462.xml><?xml version="1.0" encoding="utf-8"?>
<formControlPr xmlns="http://schemas.microsoft.com/office/spreadsheetml/2009/9/main" objectType="CheckBox" checked="Checked" fmlaLink="$J$32" lockText="1" noThreeD="1"/>
</file>

<file path=xl/ctrlProps/ctrlProp463.xml><?xml version="1.0" encoding="utf-8"?>
<formControlPr xmlns="http://schemas.microsoft.com/office/spreadsheetml/2009/9/main" objectType="CheckBox" checked="Checked" fmlaLink="$E$32" lockText="1" noThreeD="1"/>
</file>

<file path=xl/ctrlProps/ctrlProp464.xml><?xml version="1.0" encoding="utf-8"?>
<formControlPr xmlns="http://schemas.microsoft.com/office/spreadsheetml/2009/9/main" objectType="CheckBox" fmlaLink="$J$31" lockText="1" noThreeD="1"/>
</file>

<file path=xl/ctrlProps/ctrlProp465.xml><?xml version="1.0" encoding="utf-8"?>
<formControlPr xmlns="http://schemas.microsoft.com/office/spreadsheetml/2009/9/main" objectType="CheckBox" checked="Checked" fmlaLink="$E$31" lockText="1" noThreeD="1"/>
</file>

<file path=xl/ctrlProps/ctrlProp466.xml><?xml version="1.0" encoding="utf-8"?>
<formControlPr xmlns="http://schemas.microsoft.com/office/spreadsheetml/2009/9/main" objectType="CheckBox" checked="Checked" fmlaLink="$J$30" lockText="1" noThreeD="1"/>
</file>

<file path=xl/ctrlProps/ctrlProp467.xml><?xml version="1.0" encoding="utf-8"?>
<formControlPr xmlns="http://schemas.microsoft.com/office/spreadsheetml/2009/9/main" objectType="CheckBox" checked="Checked" fmlaLink="$E$30" lockText="1" noThreeD="1"/>
</file>

<file path=xl/ctrlProps/ctrlProp468.xml><?xml version="1.0" encoding="utf-8"?>
<formControlPr xmlns="http://schemas.microsoft.com/office/spreadsheetml/2009/9/main" objectType="CheckBox" fmlaLink="$J$29" lockText="1" noThreeD="1"/>
</file>

<file path=xl/ctrlProps/ctrlProp469.xml><?xml version="1.0" encoding="utf-8"?>
<formControlPr xmlns="http://schemas.microsoft.com/office/spreadsheetml/2009/9/main" objectType="CheckBox" fmlaLink="$E$29" lockText="1" noThreeD="1"/>
</file>

<file path=xl/ctrlProps/ctrlProp470.xml><?xml version="1.0" encoding="utf-8"?>
<formControlPr xmlns="http://schemas.microsoft.com/office/spreadsheetml/2009/9/main" objectType="CheckBox" fmlaLink="$J$28" lockText="1" noThreeD="1"/>
</file>

<file path=xl/ctrlProps/ctrlProp471.xml><?xml version="1.0" encoding="utf-8"?>
<formControlPr xmlns="http://schemas.microsoft.com/office/spreadsheetml/2009/9/main" objectType="CheckBox" checked="Checked" fmlaLink="$E$28" lockText="1" noThreeD="1"/>
</file>

<file path=xl/ctrlProps/ctrlProp472.xml><?xml version="1.0" encoding="utf-8"?>
<formControlPr xmlns="http://schemas.microsoft.com/office/spreadsheetml/2009/9/main" objectType="CheckBox" fmlaLink="$J$27" lockText="1" noThreeD="1"/>
</file>

<file path=xl/ctrlProps/ctrlProp473.xml><?xml version="1.0" encoding="utf-8"?>
<formControlPr xmlns="http://schemas.microsoft.com/office/spreadsheetml/2009/9/main" objectType="CheckBox" checked="Checked" fmlaLink="$E$27" lockText="1" noThreeD="1"/>
</file>

<file path=xl/ctrlProps/ctrlProp474.xml><?xml version="1.0" encoding="utf-8"?>
<formControlPr xmlns="http://schemas.microsoft.com/office/spreadsheetml/2009/9/main" objectType="CheckBox" fmlaLink="$J$26" lockText="1" noThreeD="1"/>
</file>

<file path=xl/ctrlProps/ctrlProp475.xml><?xml version="1.0" encoding="utf-8"?>
<formControlPr xmlns="http://schemas.microsoft.com/office/spreadsheetml/2009/9/main" objectType="CheckBox" checked="Checked" fmlaLink="$E$26" lockText="1" noThreeD="1"/>
</file>

<file path=xl/ctrlProps/ctrlProp476.xml><?xml version="1.0" encoding="utf-8"?>
<formControlPr xmlns="http://schemas.microsoft.com/office/spreadsheetml/2009/9/main" objectType="CheckBox" fmlaLink="$J$25" lockText="1" noThreeD="1"/>
</file>

<file path=xl/ctrlProps/ctrlProp477.xml><?xml version="1.0" encoding="utf-8"?>
<formControlPr xmlns="http://schemas.microsoft.com/office/spreadsheetml/2009/9/main" objectType="CheckBox" checked="Checked" fmlaLink="$E$25" lockText="1" noThreeD="1"/>
</file>

<file path=xl/ctrlProps/ctrlProp478.xml><?xml version="1.0" encoding="utf-8"?>
<formControlPr xmlns="http://schemas.microsoft.com/office/spreadsheetml/2009/9/main" objectType="CheckBox" checked="Checked" fmlaLink="$J$24" lockText="1" noThreeD="1"/>
</file>

<file path=xl/ctrlProps/ctrlProp479.xml><?xml version="1.0" encoding="utf-8"?>
<formControlPr xmlns="http://schemas.microsoft.com/office/spreadsheetml/2009/9/main" objectType="CheckBox" checked="Checked" fmlaLink="$E$24" lockText="1" noThreeD="1"/>
</file>

<file path=xl/ctrlProps/ctrlProp480.xml><?xml version="1.0" encoding="utf-8"?>
<formControlPr xmlns="http://schemas.microsoft.com/office/spreadsheetml/2009/9/main" objectType="CheckBox" checked="Checked" fmlaLink="$J$23" lockText="1" noThreeD="1"/>
</file>

<file path=xl/ctrlProps/ctrlProp481.xml><?xml version="1.0" encoding="utf-8"?>
<formControlPr xmlns="http://schemas.microsoft.com/office/spreadsheetml/2009/9/main" objectType="CheckBox" checked="Checked" fmlaLink="$E$23" lockText="1" noThreeD="1"/>
</file>

<file path=xl/ctrlProps/ctrlProp482.xml><?xml version="1.0" encoding="utf-8"?>
<formControlPr xmlns="http://schemas.microsoft.com/office/spreadsheetml/2009/9/main" objectType="CheckBox" checked="Checked" fmlaLink="$J$22" lockText="1" noThreeD="1"/>
</file>

<file path=xl/ctrlProps/ctrlProp483.xml><?xml version="1.0" encoding="utf-8"?>
<formControlPr xmlns="http://schemas.microsoft.com/office/spreadsheetml/2009/9/main" objectType="CheckBox" checked="Checked" fmlaLink="$E$22" lockText="1" noThreeD="1"/>
</file>

<file path=xl/ctrlProps/ctrlProp484.xml><?xml version="1.0" encoding="utf-8"?>
<formControlPr xmlns="http://schemas.microsoft.com/office/spreadsheetml/2009/9/main" objectType="CheckBox" fmlaLink="$J$21" lockText="1" noThreeD="1"/>
</file>

<file path=xl/ctrlProps/ctrlProp485.xml><?xml version="1.0" encoding="utf-8"?>
<formControlPr xmlns="http://schemas.microsoft.com/office/spreadsheetml/2009/9/main" objectType="CheckBox" checked="Checked" fmlaLink="$E$21" lockText="1" noThreeD="1"/>
</file>

<file path=xl/ctrlProps/ctrlProp486.xml><?xml version="1.0" encoding="utf-8"?>
<formControlPr xmlns="http://schemas.microsoft.com/office/spreadsheetml/2009/9/main" objectType="CheckBox" checked="Checked" fmlaLink="$J$20" lockText="1" noThreeD="1"/>
</file>

<file path=xl/ctrlProps/ctrlProp487.xml><?xml version="1.0" encoding="utf-8"?>
<formControlPr xmlns="http://schemas.microsoft.com/office/spreadsheetml/2009/9/main" objectType="CheckBox" checked="Checked" fmlaLink="$E$20" lockText="1" noThreeD="1"/>
</file>

<file path=xl/ctrlProps/ctrlProp488.xml><?xml version="1.0" encoding="utf-8"?>
<formControlPr xmlns="http://schemas.microsoft.com/office/spreadsheetml/2009/9/main" objectType="CheckBox" checked="Checked" fmlaLink="$J$19" lockText="1" noThreeD="1"/>
</file>

<file path=xl/ctrlProps/ctrlProp489.xml><?xml version="1.0" encoding="utf-8"?>
<formControlPr xmlns="http://schemas.microsoft.com/office/spreadsheetml/2009/9/main" objectType="CheckBox" checked="Checked" fmlaLink="$E$19" lockText="1" noThreeD="1"/>
</file>

<file path=xl/ctrlProps/ctrlProp490.xml><?xml version="1.0" encoding="utf-8"?>
<formControlPr xmlns="http://schemas.microsoft.com/office/spreadsheetml/2009/9/main" objectType="CheckBox" checked="Checked" fmlaLink="$J$18" lockText="1" noThreeD="1"/>
</file>

<file path=xl/ctrlProps/ctrlProp491.xml><?xml version="1.0" encoding="utf-8"?>
<formControlPr xmlns="http://schemas.microsoft.com/office/spreadsheetml/2009/9/main" objectType="CheckBox" checked="Checked" fmlaLink="$E$18" lockText="1" noThreeD="1"/>
</file>

<file path=xl/ctrlProps/ctrlProp492.xml><?xml version="1.0" encoding="utf-8"?>
<formControlPr xmlns="http://schemas.microsoft.com/office/spreadsheetml/2009/9/main" objectType="CheckBox" checked="Checked" fmlaLink="$J$17" lockText="1" noThreeD="1"/>
</file>

<file path=xl/ctrlProps/ctrlProp493.xml><?xml version="1.0" encoding="utf-8"?>
<formControlPr xmlns="http://schemas.microsoft.com/office/spreadsheetml/2009/9/main" objectType="CheckBox" checked="Checked" fmlaLink="$E$17" lockText="1" noThreeD="1"/>
</file>

<file path=xl/ctrlProps/ctrlProp494.xml><?xml version="1.0" encoding="utf-8"?>
<formControlPr xmlns="http://schemas.microsoft.com/office/spreadsheetml/2009/9/main" objectType="CheckBox" fmlaLink="$J$16" lockText="1" noThreeD="1"/>
</file>

<file path=xl/ctrlProps/ctrlProp495.xml><?xml version="1.0" encoding="utf-8"?>
<formControlPr xmlns="http://schemas.microsoft.com/office/spreadsheetml/2009/9/main" objectType="CheckBox" checked="Checked" fmlaLink="$E$16" lockText="1" noThreeD="1"/>
</file>

<file path=xl/ctrlProps/ctrlProp496.xml><?xml version="1.0" encoding="utf-8"?>
<formControlPr xmlns="http://schemas.microsoft.com/office/spreadsheetml/2009/9/main" objectType="CheckBox" fmlaLink="$J$15" lockText="1" noThreeD="1"/>
</file>

<file path=xl/ctrlProps/ctrlProp497.xml><?xml version="1.0" encoding="utf-8"?>
<formControlPr xmlns="http://schemas.microsoft.com/office/spreadsheetml/2009/9/main" objectType="CheckBox" checked="Checked" fmlaLink="$E$15" lockText="1" noThreeD="1"/>
</file>

<file path=xl/ctrlProps/ctrlProp498.xml><?xml version="1.0" encoding="utf-8"?>
<formControlPr xmlns="http://schemas.microsoft.com/office/spreadsheetml/2009/9/main" objectType="CheckBox" fmlaLink="$J$14" lockText="1" noThreeD="1"/>
</file>

<file path=xl/ctrlProps/ctrlProp499.xml><?xml version="1.0" encoding="utf-8"?>
<formControlPr xmlns="http://schemas.microsoft.com/office/spreadsheetml/2009/9/main" objectType="CheckBox" fmlaLink="$E$14" lockText="1" noThreeD="1"/>
</file>

<file path=xl/ctrlProps/ctrlProp500.xml><?xml version="1.0" encoding="utf-8"?>
<formControlPr xmlns="http://schemas.microsoft.com/office/spreadsheetml/2009/9/main" objectType="CheckBox" fmlaLink="$J$13" lockText="1" noThreeD="1"/>
</file>

<file path=xl/ctrlProps/ctrlProp501.xml><?xml version="1.0" encoding="utf-8"?>
<formControlPr xmlns="http://schemas.microsoft.com/office/spreadsheetml/2009/9/main" objectType="CheckBox" checked="Checked" fmlaLink="$E$13" lockText="1" noThreeD="1"/>
</file>

<file path=xl/ctrlProps/ctrlProp502.xml><?xml version="1.0" encoding="utf-8"?>
<formControlPr xmlns="http://schemas.microsoft.com/office/spreadsheetml/2009/9/main" objectType="CheckBox" fmlaLink="$J$12" lockText="1" noThreeD="1"/>
</file>

<file path=xl/ctrlProps/ctrlProp503.xml><?xml version="1.0" encoding="utf-8"?>
<formControlPr xmlns="http://schemas.microsoft.com/office/spreadsheetml/2009/9/main" objectType="CheckBox" fmlaLink="$E$12" lockText="1" noThreeD="1"/>
</file>

<file path=xl/ctrlProps/ctrlProp504.xml><?xml version="1.0" encoding="utf-8"?>
<formControlPr xmlns="http://schemas.microsoft.com/office/spreadsheetml/2009/9/main" objectType="CheckBox" fmlaLink="$J$11" lockText="1" noThreeD="1"/>
</file>

<file path=xl/ctrlProps/ctrlProp505.xml><?xml version="1.0" encoding="utf-8"?>
<formControlPr xmlns="http://schemas.microsoft.com/office/spreadsheetml/2009/9/main" objectType="CheckBox" fmlaLink="$E$11" lockText="1" noThreeD="1"/>
</file>

<file path=xl/ctrlProps/ctrlProp506.xml><?xml version="1.0" encoding="utf-8"?>
<formControlPr xmlns="http://schemas.microsoft.com/office/spreadsheetml/2009/9/main" objectType="CheckBox" checked="Checked" fmlaLink="$J$10" lockText="1" noThreeD="1"/>
</file>

<file path=xl/ctrlProps/ctrlProp507.xml><?xml version="1.0" encoding="utf-8"?>
<formControlPr xmlns="http://schemas.microsoft.com/office/spreadsheetml/2009/9/main" objectType="CheckBox" checked="Checked" fmlaLink="$E$10" lockText="1" noThreeD="1"/>
</file>

<file path=xl/ctrlProps/ctrlProp508.xml><?xml version="1.0" encoding="utf-8"?>
<formControlPr xmlns="http://schemas.microsoft.com/office/spreadsheetml/2009/9/main" objectType="CheckBox" fmlaLink="$J$9" lockText="1" noThreeD="1"/>
</file>

<file path=xl/ctrlProps/ctrlProp509.xml><?xml version="1.0" encoding="utf-8"?>
<formControlPr xmlns="http://schemas.microsoft.com/office/spreadsheetml/2009/9/main" objectType="CheckBox" checked="Checked" fmlaLink="$E$9" lockText="1" noThreeD="1"/>
</file>

<file path=xl/ctrlProps/ctrlProp510.xml><?xml version="1.0" encoding="utf-8"?>
<formControlPr xmlns="http://schemas.microsoft.com/office/spreadsheetml/2009/9/main" objectType="CheckBox" checked="Checked" fmlaLink="$J$8" lockText="1" noThreeD="1"/>
</file>

<file path=xl/ctrlProps/ctrlProp511.xml><?xml version="1.0" encoding="utf-8"?>
<formControlPr xmlns="http://schemas.microsoft.com/office/spreadsheetml/2009/9/main" objectType="CheckBox" checked="Checked" fmlaLink="$E$8" lockText="1" noThreeD="1"/>
</file>

<file path=xl/ctrlProps/ctrlProp512.xml><?xml version="1.0" encoding="utf-8"?>
<formControlPr xmlns="http://schemas.microsoft.com/office/spreadsheetml/2009/9/main" objectType="CheckBox" fmlaLink="$J$7" lockText="1" noThreeD="1"/>
</file>

<file path=xl/ctrlProps/ctrlProp513.xml><?xml version="1.0" encoding="utf-8"?>
<formControlPr xmlns="http://schemas.microsoft.com/office/spreadsheetml/2009/9/main" objectType="CheckBox" fmlaLink="$E$7" lockText="1" noThreeD="1"/>
</file>

<file path=xl/ctrlProps/ctrlProp514.xml><?xml version="1.0" encoding="utf-8"?>
<formControlPr xmlns="http://schemas.microsoft.com/office/spreadsheetml/2009/9/main" objectType="CheckBox" fmlaLink="$J$6" lockText="1" noThreeD="1"/>
</file>

<file path=xl/ctrlProps/ctrlProp515.xml><?xml version="1.0" encoding="utf-8"?>
<formControlPr xmlns="http://schemas.microsoft.com/office/spreadsheetml/2009/9/main" objectType="CheckBox" checked="Checked" fmlaLink="$E$6" lockText="1" noThreeD="1"/>
</file>

<file path=xl/ctrlProps/ctrlProp516.xml><?xml version="1.0" encoding="utf-8"?>
<formControlPr xmlns="http://schemas.microsoft.com/office/spreadsheetml/2009/9/main" objectType="CheckBox" checked="Checked" fmlaLink="$J$5" lockText="1" noThreeD="1"/>
</file>

<file path=xl/ctrlProps/ctrlProp517.xml><?xml version="1.0" encoding="utf-8"?>
<formControlPr xmlns="http://schemas.microsoft.com/office/spreadsheetml/2009/9/main" objectType="CheckBox" checked="Checked" fmlaLink="$E$5" lockText="1" noThreeD="1"/>
</file>

<file path=xl/ctrlProps/ctrlProp518.xml><?xml version="1.0" encoding="utf-8"?>
<formControlPr xmlns="http://schemas.microsoft.com/office/spreadsheetml/2009/9/main" objectType="CheckBox" fmlaLink="$J$4" lockText="1" noThreeD="1"/>
</file>

<file path=xl/ctrlProps/ctrlProp519.xml><?xml version="1.0" encoding="utf-8"?>
<formControlPr xmlns="http://schemas.microsoft.com/office/spreadsheetml/2009/9/main" objectType="CheckBox" checked="Checked" fmlaLink="$E$4" lockText="1" noThreeD="1"/>
</file>

<file path=xl/ctrlProps/ctrlProp520.xml><?xml version="1.0" encoding="utf-8"?>
<formControlPr xmlns="http://schemas.microsoft.com/office/spreadsheetml/2009/9/main" objectType="CheckBox" fmlaLink="$J$3" lockText="1" noThreeD="1"/>
</file>

<file path=xl/ctrlProps/ctrlProp521.xml><?xml version="1.0" encoding="utf-8"?>
<formControlPr xmlns="http://schemas.microsoft.com/office/spreadsheetml/2009/9/main" objectType="CheckBox" checked="Checked" fmlaLink="$E$3" lockText="1" noThreeD="1"/>
</file>

<file path=xl/ctrlProps/ctrlProp522.xml><?xml version="1.0" encoding="utf-8"?>
<formControlPr xmlns="http://schemas.microsoft.com/office/spreadsheetml/2009/9/main" objectType="CheckBox" fmlaLink="$A$43" lockText="1" noThreeD="1"/>
</file>

<file path=xl/ctrlProps/ctrlProp523.xml><?xml version="1.0" encoding="utf-8"?>
<formControlPr xmlns="http://schemas.microsoft.com/office/spreadsheetml/2009/9/main" objectType="CheckBox" fmlaLink="$A$44" lockText="1" noThreeD="1"/>
</file>

<file path=xl/ctrlProps/ctrlProp524.xml><?xml version="1.0" encoding="utf-8"?>
<formControlPr xmlns="http://schemas.microsoft.com/office/spreadsheetml/2009/9/main" objectType="CheckBox" fmlaLink="$A$45" lockText="1" noThreeD="1"/>
</file>

<file path=xl/ctrlProps/ctrlProp525.xml><?xml version="1.0" encoding="utf-8"?>
<formControlPr xmlns="http://schemas.microsoft.com/office/spreadsheetml/2009/9/main" objectType="CheckBox" fmlaLink="$A$46" lockText="1" noThreeD="1"/>
</file>

<file path=xl/ctrlProps/ctrlProp526.xml><?xml version="1.0" encoding="utf-8"?>
<formControlPr xmlns="http://schemas.microsoft.com/office/spreadsheetml/2009/9/main" objectType="CheckBox" fmlaLink="$A$47" lockText="1" noThreeD="1"/>
</file>

<file path=xl/ctrlProps/ctrlProp527.xml><?xml version="1.0" encoding="utf-8"?>
<formControlPr xmlns="http://schemas.microsoft.com/office/spreadsheetml/2009/9/main" objectType="CheckBox" fmlaLink="$A$48" lockText="1" noThreeD="1"/>
</file>

<file path=xl/ctrlProps/ctrlProp528.xml><?xml version="1.0" encoding="utf-8"?>
<formControlPr xmlns="http://schemas.microsoft.com/office/spreadsheetml/2009/9/main" objectType="CheckBox" fmlaLink="$A$49" lockText="1" noThreeD="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CheckBox" fmlaLink="$A$40" lockText="1" noThreeD="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CheckBox" fmlaLink="$A$49" lockText="1" noThreeD="1"/>
</file>

<file path=xl/ctrlProps/ctrlProp537.xml><?xml version="1.0" encoding="utf-8"?>
<formControlPr xmlns="http://schemas.microsoft.com/office/spreadsheetml/2009/9/main" objectType="CheckBox" fmlaLink="$A$28" lockText="1" noThreeD="1"/>
</file>

<file path=xl/ctrlProps/ctrlProp538.xml><?xml version="1.0" encoding="utf-8"?>
<formControlPr xmlns="http://schemas.microsoft.com/office/spreadsheetml/2009/9/main" objectType="CheckBox" fmlaLink="$A$29" lockText="1" noThreeD="1"/>
</file>

<file path=xl/ctrlProps/ctrlProp539.xml><?xml version="1.0" encoding="utf-8"?>
<formControlPr xmlns="http://schemas.microsoft.com/office/spreadsheetml/2009/9/main" objectType="CheckBox" fmlaLink="$A$30" lockText="1" noThreeD="1"/>
</file>

<file path=xl/ctrlProps/ctrlProp540.xml><?xml version="1.0" encoding="utf-8"?>
<formControlPr xmlns="http://schemas.microsoft.com/office/spreadsheetml/2009/9/main" objectType="CheckBox" fmlaLink="$A$31" lockText="1" noThreeD="1"/>
</file>

<file path=xl/ctrlProps/ctrlProp541.xml><?xml version="1.0" encoding="utf-8"?>
<formControlPr xmlns="http://schemas.microsoft.com/office/spreadsheetml/2009/9/main" objectType="CheckBox" fmlaLink="$E$28" lockText="1" noThreeD="1"/>
</file>

<file path=xl/ctrlProps/ctrlProp542.xml><?xml version="1.0" encoding="utf-8"?>
<formControlPr xmlns="http://schemas.microsoft.com/office/spreadsheetml/2009/9/main" objectType="CheckBox" fmlaLink="$E$29" lockText="1" noThreeD="1"/>
</file>

<file path=xl/ctrlProps/ctrlProp543.xml><?xml version="1.0" encoding="utf-8"?>
<formControlPr xmlns="http://schemas.microsoft.com/office/spreadsheetml/2009/9/main" objectType="CheckBox" fmlaLink="$E$30" lockText="1" noThreeD="1"/>
</file>

<file path=xl/ctrlProps/ctrlProp544.xml><?xml version="1.0" encoding="utf-8"?>
<formControlPr xmlns="http://schemas.microsoft.com/office/spreadsheetml/2009/9/main" objectType="CheckBox" fmlaLink="$A$33" lockText="1" noThreeD="1"/>
</file>

<file path=xl/ctrlProps/ctrlProp545.xml><?xml version="1.0" encoding="utf-8"?>
<formControlPr xmlns="http://schemas.microsoft.com/office/spreadsheetml/2009/9/main" objectType="CheckBox" fmlaLink="$A$34" lockText="1" noThreeD="1"/>
</file>

<file path=xl/ctrlProps/ctrlProp546.xml><?xml version="1.0" encoding="utf-8"?>
<formControlPr xmlns="http://schemas.microsoft.com/office/spreadsheetml/2009/9/main" objectType="CheckBox" fmlaLink="$A$35" lockText="1" noThreeD="1"/>
</file>

<file path=xl/ctrlProps/ctrlProp547.xml><?xml version="1.0" encoding="utf-8"?>
<formControlPr xmlns="http://schemas.microsoft.com/office/spreadsheetml/2009/9/main" objectType="CheckBox" fmlaLink="$A$36" lockText="1" noThreeD="1"/>
</file>

<file path=xl/ctrlProps/ctrlProp548.xml><?xml version="1.0" encoding="utf-8"?>
<formControlPr xmlns="http://schemas.microsoft.com/office/spreadsheetml/2009/9/main" objectType="CheckBox" fmlaLink="$A$37" lockText="1" noThreeD="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CheckBox" fmlaLink="$D$33"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fmlaLink="$A$43" lockText="1" noThreeD="1"/>
</file>

<file path=xl/ctrlProps/ctrlProp560.xml><?xml version="1.0" encoding="utf-8"?>
<formControlPr xmlns="http://schemas.microsoft.com/office/spreadsheetml/2009/9/main" objectType="CheckBox" fmlaLink="$A$44" lockText="1" noThreeD="1"/>
</file>

<file path=xl/ctrlProps/ctrlProp561.xml><?xml version="1.0" encoding="utf-8"?>
<formControlPr xmlns="http://schemas.microsoft.com/office/spreadsheetml/2009/9/main" objectType="CheckBox" fmlaLink="$A$45" lockText="1" noThreeD="1"/>
</file>

<file path=xl/ctrlProps/ctrlProp562.xml><?xml version="1.0" encoding="utf-8"?>
<formControlPr xmlns="http://schemas.microsoft.com/office/spreadsheetml/2009/9/main" objectType="CheckBox" fmlaLink="$A$46" lockText="1" noThreeD="1"/>
</file>

<file path=xl/ctrlProps/ctrlProp563.xml><?xml version="1.0" encoding="utf-8"?>
<formControlPr xmlns="http://schemas.microsoft.com/office/spreadsheetml/2009/9/main" objectType="CheckBox" fmlaLink="$A$47" lockText="1" noThreeD="1"/>
</file>

<file path=xl/ctrlProps/ctrlProp564.xml><?xml version="1.0" encoding="utf-8"?>
<formControlPr xmlns="http://schemas.microsoft.com/office/spreadsheetml/2009/9/main" objectType="CheckBox" fmlaLink="$A$48" lockText="1" noThreeD="1"/>
</file>

<file path=xl/ctrlProps/ctrlProp565.xml><?xml version="1.0" encoding="utf-8"?>
<formControlPr xmlns="http://schemas.microsoft.com/office/spreadsheetml/2009/9/main" objectType="CheckBox" fmlaLink="$A$49" lockText="1" noThreeD="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CheckBox" fmlaLink="$A$40" lockText="1" noThreeD="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CheckBox" fmlaLink="$A$49" lockText="1" noThreeD="1"/>
</file>

<file path=xl/ctrlProps/ctrlProp574.xml><?xml version="1.0" encoding="utf-8"?>
<formControlPr xmlns="http://schemas.microsoft.com/office/spreadsheetml/2009/9/main" objectType="CheckBox" checked="Checked" fmlaLink="$A$28" lockText="1" noThreeD="1"/>
</file>

<file path=xl/ctrlProps/ctrlProp575.xml><?xml version="1.0" encoding="utf-8"?>
<formControlPr xmlns="http://schemas.microsoft.com/office/spreadsheetml/2009/9/main" objectType="CheckBox" checked="Checked" fmlaLink="$A$29" lockText="1" noThreeD="1"/>
</file>

<file path=xl/ctrlProps/ctrlProp576.xml><?xml version="1.0" encoding="utf-8"?>
<formControlPr xmlns="http://schemas.microsoft.com/office/spreadsheetml/2009/9/main" objectType="CheckBox" checked="Checked" fmlaLink="$A$30" lockText="1" noThreeD="1"/>
</file>

<file path=xl/ctrlProps/ctrlProp577.xml><?xml version="1.0" encoding="utf-8"?>
<formControlPr xmlns="http://schemas.microsoft.com/office/spreadsheetml/2009/9/main" objectType="CheckBox" fmlaLink="$A$31" lockText="1" noThreeD="1"/>
</file>

<file path=xl/ctrlProps/ctrlProp578.xml><?xml version="1.0" encoding="utf-8"?>
<formControlPr xmlns="http://schemas.microsoft.com/office/spreadsheetml/2009/9/main" objectType="CheckBox" checked="Checked" fmlaLink="$E$28" lockText="1" noThreeD="1"/>
</file>

<file path=xl/ctrlProps/ctrlProp579.xml><?xml version="1.0" encoding="utf-8"?>
<formControlPr xmlns="http://schemas.microsoft.com/office/spreadsheetml/2009/9/main" objectType="CheckBox" checked="Checked" fmlaLink="$E$29" lockText="1" noThreeD="1"/>
</file>

<file path=xl/ctrlProps/ctrlProp580.xml><?xml version="1.0" encoding="utf-8"?>
<formControlPr xmlns="http://schemas.microsoft.com/office/spreadsheetml/2009/9/main" objectType="CheckBox" checked="Checked" fmlaLink="$E$30" lockText="1" noThreeD="1"/>
</file>

<file path=xl/ctrlProps/ctrlProp581.xml><?xml version="1.0" encoding="utf-8"?>
<formControlPr xmlns="http://schemas.microsoft.com/office/spreadsheetml/2009/9/main" objectType="CheckBox" fmlaLink="$A$33" lockText="1" noThreeD="1"/>
</file>

<file path=xl/ctrlProps/ctrlProp582.xml><?xml version="1.0" encoding="utf-8"?>
<formControlPr xmlns="http://schemas.microsoft.com/office/spreadsheetml/2009/9/main" objectType="CheckBox" fmlaLink="$A$34" lockText="1" noThreeD="1"/>
</file>

<file path=xl/ctrlProps/ctrlProp583.xml><?xml version="1.0" encoding="utf-8"?>
<formControlPr xmlns="http://schemas.microsoft.com/office/spreadsheetml/2009/9/main" objectType="CheckBox" fmlaLink="$A$35" lockText="1" noThreeD="1"/>
</file>

<file path=xl/ctrlProps/ctrlProp584.xml><?xml version="1.0" encoding="utf-8"?>
<formControlPr xmlns="http://schemas.microsoft.com/office/spreadsheetml/2009/9/main" objectType="CheckBox" fmlaLink="$A$36" lockText="1" noThreeD="1"/>
</file>

<file path=xl/ctrlProps/ctrlProp585.xml><?xml version="1.0" encoding="utf-8"?>
<formControlPr xmlns="http://schemas.microsoft.com/office/spreadsheetml/2009/9/main" objectType="CheckBox" fmlaLink="$A$37" lockText="1" noThreeD="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CheckBox" fmlaLink="$D$33"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fmlaLink="$A$43" lockText="1" noThreeD="1"/>
</file>

<file path=xl/ctrlProps/ctrlProp597.xml><?xml version="1.0" encoding="utf-8"?>
<formControlPr xmlns="http://schemas.microsoft.com/office/spreadsheetml/2009/9/main" objectType="CheckBox" fmlaLink="$A$44" lockText="1" noThreeD="1"/>
</file>

<file path=xl/ctrlProps/ctrlProp598.xml><?xml version="1.0" encoding="utf-8"?>
<formControlPr xmlns="http://schemas.microsoft.com/office/spreadsheetml/2009/9/main" objectType="CheckBox" fmlaLink="$A$45" lockText="1" noThreeD="1"/>
</file>

<file path=xl/ctrlProps/ctrlProp599.xml><?xml version="1.0" encoding="utf-8"?>
<formControlPr xmlns="http://schemas.microsoft.com/office/spreadsheetml/2009/9/main" objectType="CheckBox" fmlaLink="$A$46" lockText="1" noThreeD="1"/>
</file>

<file path=xl/ctrlProps/ctrlProp600.xml><?xml version="1.0" encoding="utf-8"?>
<formControlPr xmlns="http://schemas.microsoft.com/office/spreadsheetml/2009/9/main" objectType="CheckBox" fmlaLink="$A$47" lockText="1" noThreeD="1"/>
</file>

<file path=xl/ctrlProps/ctrlProp601.xml><?xml version="1.0" encoding="utf-8"?>
<formControlPr xmlns="http://schemas.microsoft.com/office/spreadsheetml/2009/9/main" objectType="CheckBox" fmlaLink="$A$48" lockText="1" noThreeD="1"/>
</file>

<file path=xl/ctrlProps/ctrlProp602.xml><?xml version="1.0" encoding="utf-8"?>
<formControlPr xmlns="http://schemas.microsoft.com/office/spreadsheetml/2009/9/main" objectType="CheckBox" fmlaLink="$A$49" lockText="1" noThreeD="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CheckBox" fmlaLink="$A$40" lockText="1" noThreeD="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CheckBox" fmlaLink="$A$49" lockText="1" noThreeD="1"/>
</file>

<file path=xl/ctrlProps/ctrlProp611.xml><?xml version="1.0" encoding="utf-8"?>
<formControlPr xmlns="http://schemas.microsoft.com/office/spreadsheetml/2009/9/main" objectType="CheckBox" checked="Checked" fmlaLink="$A$28" lockText="1" noThreeD="1"/>
</file>

<file path=xl/ctrlProps/ctrlProp612.xml><?xml version="1.0" encoding="utf-8"?>
<formControlPr xmlns="http://schemas.microsoft.com/office/spreadsheetml/2009/9/main" objectType="CheckBox" checked="Checked" fmlaLink="$A$29" lockText="1" noThreeD="1"/>
</file>

<file path=xl/ctrlProps/ctrlProp613.xml><?xml version="1.0" encoding="utf-8"?>
<formControlPr xmlns="http://schemas.microsoft.com/office/spreadsheetml/2009/9/main" objectType="CheckBox" checked="Checked" fmlaLink="$A$30" lockText="1" noThreeD="1"/>
</file>

<file path=xl/ctrlProps/ctrlProp614.xml><?xml version="1.0" encoding="utf-8"?>
<formControlPr xmlns="http://schemas.microsoft.com/office/spreadsheetml/2009/9/main" objectType="CheckBox" checked="Checked" fmlaLink="$A$31" lockText="1" noThreeD="1"/>
</file>

<file path=xl/ctrlProps/ctrlProp615.xml><?xml version="1.0" encoding="utf-8"?>
<formControlPr xmlns="http://schemas.microsoft.com/office/spreadsheetml/2009/9/main" objectType="CheckBox" checked="Checked" fmlaLink="$E$28" lockText="1" noThreeD="1"/>
</file>

<file path=xl/ctrlProps/ctrlProp616.xml><?xml version="1.0" encoding="utf-8"?>
<formControlPr xmlns="http://schemas.microsoft.com/office/spreadsheetml/2009/9/main" objectType="CheckBox" checked="Checked" fmlaLink="$E$29" lockText="1" noThreeD="1"/>
</file>

<file path=xl/ctrlProps/ctrlProp617.xml><?xml version="1.0" encoding="utf-8"?>
<formControlPr xmlns="http://schemas.microsoft.com/office/spreadsheetml/2009/9/main" objectType="CheckBox" checked="Checked" fmlaLink="$E$30" lockText="1" noThreeD="1"/>
</file>

<file path=xl/ctrlProps/ctrlProp618.xml><?xml version="1.0" encoding="utf-8"?>
<formControlPr xmlns="http://schemas.microsoft.com/office/spreadsheetml/2009/9/main" objectType="CheckBox" fmlaLink="$A$33" lockText="1" noThreeD="1"/>
</file>

<file path=xl/ctrlProps/ctrlProp619.xml><?xml version="1.0" encoding="utf-8"?>
<formControlPr xmlns="http://schemas.microsoft.com/office/spreadsheetml/2009/9/main" objectType="CheckBox" fmlaLink="$A$34" lockText="1" noThreeD="1"/>
</file>

<file path=xl/ctrlProps/ctrlProp620.xml><?xml version="1.0" encoding="utf-8"?>
<formControlPr xmlns="http://schemas.microsoft.com/office/spreadsheetml/2009/9/main" objectType="CheckBox" fmlaLink="$A$35" lockText="1" noThreeD="1"/>
</file>

<file path=xl/ctrlProps/ctrlProp621.xml><?xml version="1.0" encoding="utf-8"?>
<formControlPr xmlns="http://schemas.microsoft.com/office/spreadsheetml/2009/9/main" objectType="CheckBox" fmlaLink="$A$36" lockText="1" noThreeD="1"/>
</file>

<file path=xl/ctrlProps/ctrlProp622.xml><?xml version="1.0" encoding="utf-8"?>
<formControlPr xmlns="http://schemas.microsoft.com/office/spreadsheetml/2009/9/main" objectType="CheckBox" fmlaLink="$A$37" lockText="1" noThreeD="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CheckBox" fmlaLink="$D$33"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fmlaLink="$A$43" lockText="1" noThreeD="1"/>
</file>

<file path=xl/ctrlProps/ctrlProp634.xml><?xml version="1.0" encoding="utf-8"?>
<formControlPr xmlns="http://schemas.microsoft.com/office/spreadsheetml/2009/9/main" objectType="CheckBox" fmlaLink="$A$44" lockText="1" noThreeD="1"/>
</file>

<file path=xl/ctrlProps/ctrlProp635.xml><?xml version="1.0" encoding="utf-8"?>
<formControlPr xmlns="http://schemas.microsoft.com/office/spreadsheetml/2009/9/main" objectType="CheckBox" fmlaLink="$A$45" lockText="1" noThreeD="1"/>
</file>

<file path=xl/ctrlProps/ctrlProp636.xml><?xml version="1.0" encoding="utf-8"?>
<formControlPr xmlns="http://schemas.microsoft.com/office/spreadsheetml/2009/9/main" objectType="CheckBox" fmlaLink="$A$46" lockText="1" noThreeD="1"/>
</file>

<file path=xl/ctrlProps/ctrlProp637.xml><?xml version="1.0" encoding="utf-8"?>
<formControlPr xmlns="http://schemas.microsoft.com/office/spreadsheetml/2009/9/main" objectType="CheckBox" fmlaLink="$A$47" lockText="1" noThreeD="1"/>
</file>

<file path=xl/ctrlProps/ctrlProp638.xml><?xml version="1.0" encoding="utf-8"?>
<formControlPr xmlns="http://schemas.microsoft.com/office/spreadsheetml/2009/9/main" objectType="CheckBox" fmlaLink="$A$48" lockText="1" noThreeD="1"/>
</file>

<file path=xl/ctrlProps/ctrlProp639.xml><?xml version="1.0" encoding="utf-8"?>
<formControlPr xmlns="http://schemas.microsoft.com/office/spreadsheetml/2009/9/main" objectType="CheckBox" fmlaLink="$A$49" lockText="1" noThreeD="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CheckBox" fmlaLink="$A$40" lockText="1" noThreeD="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CheckBox" fmlaLink="$A$49" lockText="1" noThreeD="1"/>
</file>

<file path=xl/ctrlProps/ctrlProp648.xml><?xml version="1.0" encoding="utf-8"?>
<formControlPr xmlns="http://schemas.microsoft.com/office/spreadsheetml/2009/9/main" objectType="CheckBox" checked="Checked" fmlaLink="$A$28" lockText="1" noThreeD="1"/>
</file>

<file path=xl/ctrlProps/ctrlProp649.xml><?xml version="1.0" encoding="utf-8"?>
<formControlPr xmlns="http://schemas.microsoft.com/office/spreadsheetml/2009/9/main" objectType="CheckBox" checked="Checked" fmlaLink="$A$29" lockText="1" noThreeD="1"/>
</file>

<file path=xl/ctrlProps/ctrlProp650.xml><?xml version="1.0" encoding="utf-8"?>
<formControlPr xmlns="http://schemas.microsoft.com/office/spreadsheetml/2009/9/main" objectType="CheckBox" checked="Checked" fmlaLink="$A$30" lockText="1" noThreeD="1"/>
</file>

<file path=xl/ctrlProps/ctrlProp651.xml><?xml version="1.0" encoding="utf-8"?>
<formControlPr xmlns="http://schemas.microsoft.com/office/spreadsheetml/2009/9/main" objectType="CheckBox" checked="Checked" fmlaLink="$A$31" lockText="1" noThreeD="1"/>
</file>

<file path=xl/ctrlProps/ctrlProp652.xml><?xml version="1.0" encoding="utf-8"?>
<formControlPr xmlns="http://schemas.microsoft.com/office/spreadsheetml/2009/9/main" objectType="CheckBox" checked="Checked" fmlaLink="$E$28" lockText="1" noThreeD="1"/>
</file>

<file path=xl/ctrlProps/ctrlProp653.xml><?xml version="1.0" encoding="utf-8"?>
<formControlPr xmlns="http://schemas.microsoft.com/office/spreadsheetml/2009/9/main" objectType="CheckBox" checked="Checked" fmlaLink="$E$29" lockText="1" noThreeD="1"/>
</file>

<file path=xl/ctrlProps/ctrlProp654.xml><?xml version="1.0" encoding="utf-8"?>
<formControlPr xmlns="http://schemas.microsoft.com/office/spreadsheetml/2009/9/main" objectType="CheckBox" checked="Checked" fmlaLink="$E$30" lockText="1" noThreeD="1"/>
</file>

<file path=xl/ctrlProps/ctrlProp655.xml><?xml version="1.0" encoding="utf-8"?>
<formControlPr xmlns="http://schemas.microsoft.com/office/spreadsheetml/2009/9/main" objectType="CheckBox" fmlaLink="$A$33" lockText="1" noThreeD="1"/>
</file>

<file path=xl/ctrlProps/ctrlProp656.xml><?xml version="1.0" encoding="utf-8"?>
<formControlPr xmlns="http://schemas.microsoft.com/office/spreadsheetml/2009/9/main" objectType="CheckBox" fmlaLink="$A$34" lockText="1" noThreeD="1"/>
</file>

<file path=xl/ctrlProps/ctrlProp657.xml><?xml version="1.0" encoding="utf-8"?>
<formControlPr xmlns="http://schemas.microsoft.com/office/spreadsheetml/2009/9/main" objectType="CheckBox" fmlaLink="$A$35" lockText="1" noThreeD="1"/>
</file>

<file path=xl/ctrlProps/ctrlProp658.xml><?xml version="1.0" encoding="utf-8"?>
<formControlPr xmlns="http://schemas.microsoft.com/office/spreadsheetml/2009/9/main" objectType="CheckBox" fmlaLink="$A$36" lockText="1" noThreeD="1"/>
</file>

<file path=xl/ctrlProps/ctrlProp659.xml><?xml version="1.0" encoding="utf-8"?>
<formControlPr xmlns="http://schemas.microsoft.com/office/spreadsheetml/2009/9/main" objectType="CheckBox" fmlaLink="$A$37" lockText="1" noThreeD="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CheckBox" fmlaLink="$D$33"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fmlaLink="$A$43" lockText="1" noThreeD="1"/>
</file>

<file path=xl/ctrlProps/ctrlProp671.xml><?xml version="1.0" encoding="utf-8"?>
<formControlPr xmlns="http://schemas.microsoft.com/office/spreadsheetml/2009/9/main" objectType="CheckBox" fmlaLink="$A$44" lockText="1" noThreeD="1"/>
</file>

<file path=xl/ctrlProps/ctrlProp672.xml><?xml version="1.0" encoding="utf-8"?>
<formControlPr xmlns="http://schemas.microsoft.com/office/spreadsheetml/2009/9/main" objectType="CheckBox" fmlaLink="$A$45" lockText="1" noThreeD="1"/>
</file>

<file path=xl/ctrlProps/ctrlProp673.xml><?xml version="1.0" encoding="utf-8"?>
<formControlPr xmlns="http://schemas.microsoft.com/office/spreadsheetml/2009/9/main" objectType="CheckBox" fmlaLink="$A$46" lockText="1" noThreeD="1"/>
</file>

<file path=xl/ctrlProps/ctrlProp674.xml><?xml version="1.0" encoding="utf-8"?>
<formControlPr xmlns="http://schemas.microsoft.com/office/spreadsheetml/2009/9/main" objectType="CheckBox" fmlaLink="$A$47" lockText="1" noThreeD="1"/>
</file>

<file path=xl/ctrlProps/ctrlProp675.xml><?xml version="1.0" encoding="utf-8"?>
<formControlPr xmlns="http://schemas.microsoft.com/office/spreadsheetml/2009/9/main" objectType="CheckBox" fmlaLink="$A$48" lockText="1" noThreeD="1"/>
</file>

<file path=xl/ctrlProps/ctrlProp676.xml><?xml version="1.0" encoding="utf-8"?>
<formControlPr xmlns="http://schemas.microsoft.com/office/spreadsheetml/2009/9/main" objectType="CheckBox" fmlaLink="$A$49" lockText="1" noThreeD="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CheckBox" fmlaLink="$A$40" lockText="1" noThreeD="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CheckBox" fmlaLink="$A$49" lockText="1" noThreeD="1"/>
</file>

<file path=xl/ctrlProps/ctrlProp685.xml><?xml version="1.0" encoding="utf-8"?>
<formControlPr xmlns="http://schemas.microsoft.com/office/spreadsheetml/2009/9/main" objectType="CheckBox" checked="Checked" fmlaLink="$A$28" lockText="1" noThreeD="1"/>
</file>

<file path=xl/ctrlProps/ctrlProp686.xml><?xml version="1.0" encoding="utf-8"?>
<formControlPr xmlns="http://schemas.microsoft.com/office/spreadsheetml/2009/9/main" objectType="CheckBox" checked="Checked" fmlaLink="$A$29" lockText="1" noThreeD="1"/>
</file>

<file path=xl/ctrlProps/ctrlProp687.xml><?xml version="1.0" encoding="utf-8"?>
<formControlPr xmlns="http://schemas.microsoft.com/office/spreadsheetml/2009/9/main" objectType="CheckBox" checked="Checked" fmlaLink="$A$30" lockText="1" noThreeD="1"/>
</file>

<file path=xl/ctrlProps/ctrlProp688.xml><?xml version="1.0" encoding="utf-8"?>
<formControlPr xmlns="http://schemas.microsoft.com/office/spreadsheetml/2009/9/main" objectType="CheckBox" checked="Checked" fmlaLink="$A$31" lockText="1" noThreeD="1"/>
</file>

<file path=xl/ctrlProps/ctrlProp689.xml><?xml version="1.0" encoding="utf-8"?>
<formControlPr xmlns="http://schemas.microsoft.com/office/spreadsheetml/2009/9/main" objectType="CheckBox" checked="Checked" fmlaLink="$E$28" lockText="1" noThreeD="1"/>
</file>

<file path=xl/ctrlProps/ctrlProp690.xml><?xml version="1.0" encoding="utf-8"?>
<formControlPr xmlns="http://schemas.microsoft.com/office/spreadsheetml/2009/9/main" objectType="CheckBox" checked="Checked" fmlaLink="$E$29" lockText="1" noThreeD="1"/>
</file>

<file path=xl/ctrlProps/ctrlProp691.xml><?xml version="1.0" encoding="utf-8"?>
<formControlPr xmlns="http://schemas.microsoft.com/office/spreadsheetml/2009/9/main" objectType="CheckBox" checked="Checked" fmlaLink="$E$30" lockText="1" noThreeD="1"/>
</file>

<file path=xl/ctrlProps/ctrlProp692.xml><?xml version="1.0" encoding="utf-8"?>
<formControlPr xmlns="http://schemas.microsoft.com/office/spreadsheetml/2009/9/main" objectType="CheckBox" fmlaLink="$A$33" lockText="1" noThreeD="1"/>
</file>

<file path=xl/ctrlProps/ctrlProp693.xml><?xml version="1.0" encoding="utf-8"?>
<formControlPr xmlns="http://schemas.microsoft.com/office/spreadsheetml/2009/9/main" objectType="CheckBox" fmlaLink="$A$34" lockText="1" noThreeD="1"/>
</file>

<file path=xl/ctrlProps/ctrlProp694.xml><?xml version="1.0" encoding="utf-8"?>
<formControlPr xmlns="http://schemas.microsoft.com/office/spreadsheetml/2009/9/main" objectType="CheckBox" fmlaLink="$A$35" lockText="1" noThreeD="1"/>
</file>

<file path=xl/ctrlProps/ctrlProp695.xml><?xml version="1.0" encoding="utf-8"?>
<formControlPr xmlns="http://schemas.microsoft.com/office/spreadsheetml/2009/9/main" objectType="CheckBox" fmlaLink="$A$36" lockText="1" noThreeD="1"/>
</file>

<file path=xl/ctrlProps/ctrlProp696.xml><?xml version="1.0" encoding="utf-8"?>
<formControlPr xmlns="http://schemas.microsoft.com/office/spreadsheetml/2009/9/main" objectType="CheckBox" fmlaLink="$A$37" lockText="1" noThreeD="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CheckBox" fmlaLink="$D$33"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fmlaLink="$A$43" lockText="1" noThreeD="1"/>
</file>

<file path=xl/ctrlProps/ctrlProp708.xml><?xml version="1.0" encoding="utf-8"?>
<formControlPr xmlns="http://schemas.microsoft.com/office/spreadsheetml/2009/9/main" objectType="CheckBox" fmlaLink="$A$44" lockText="1" noThreeD="1"/>
</file>

<file path=xl/ctrlProps/ctrlProp709.xml><?xml version="1.0" encoding="utf-8"?>
<formControlPr xmlns="http://schemas.microsoft.com/office/spreadsheetml/2009/9/main" objectType="CheckBox" fmlaLink="$A$45" lockText="1" noThreeD="1"/>
</file>

<file path=xl/ctrlProps/ctrlProp710.xml><?xml version="1.0" encoding="utf-8"?>
<formControlPr xmlns="http://schemas.microsoft.com/office/spreadsheetml/2009/9/main" objectType="CheckBox" fmlaLink="$A$46" lockText="1" noThreeD="1"/>
</file>

<file path=xl/ctrlProps/ctrlProp711.xml><?xml version="1.0" encoding="utf-8"?>
<formControlPr xmlns="http://schemas.microsoft.com/office/spreadsheetml/2009/9/main" objectType="CheckBox" fmlaLink="$A$47" lockText="1" noThreeD="1"/>
</file>

<file path=xl/ctrlProps/ctrlProp712.xml><?xml version="1.0" encoding="utf-8"?>
<formControlPr xmlns="http://schemas.microsoft.com/office/spreadsheetml/2009/9/main" objectType="CheckBox" fmlaLink="$A$48" lockText="1" noThreeD="1"/>
</file>

<file path=xl/ctrlProps/ctrlProp713.xml><?xml version="1.0" encoding="utf-8"?>
<formControlPr xmlns="http://schemas.microsoft.com/office/spreadsheetml/2009/9/main" objectType="CheckBox" fmlaLink="$A$49" lockText="1" noThreeD="1"/>
</file>

<file path=xl/ctrlProps/ctrlProp714.xml><?xml version="1.0" encoding="utf-8"?>
<formControlPr xmlns="http://schemas.microsoft.com/office/spreadsheetml/2009/9/main" objectType="Button" lockText="1"/>
</file>

<file path=xl/ctrlProps/ctrlProp715.xml><?xml version="1.0" encoding="utf-8"?>
<formControlPr xmlns="http://schemas.microsoft.com/office/spreadsheetml/2009/9/main" objectType="Button" lockText="1"/>
</file>

<file path=xl/ctrlProps/ctrlProp716.xml><?xml version="1.0" encoding="utf-8"?>
<formControlPr xmlns="http://schemas.microsoft.com/office/spreadsheetml/2009/9/main" objectType="CheckBox" fmlaLink="$A$40" lockText="1" noThreeD="1"/>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Button" lockText="1"/>
</file>

<file path=xl/ctrlProps/ctrlProp720.xml><?xml version="1.0" encoding="utf-8"?>
<formControlPr xmlns="http://schemas.microsoft.com/office/spreadsheetml/2009/9/main" objectType="Button" lockText="1"/>
</file>

<file path=xl/ctrlProps/ctrlProp721.xml><?xml version="1.0" encoding="utf-8"?>
<formControlPr xmlns="http://schemas.microsoft.com/office/spreadsheetml/2009/9/main" objectType="CheckBox" fmlaLink="$A$49" lockText="1" noThreeD="1"/>
</file>

<file path=xl/ctrlProps/ctrlProp722.xml><?xml version="1.0" encoding="utf-8"?>
<formControlPr xmlns="http://schemas.microsoft.com/office/spreadsheetml/2009/9/main" objectType="CheckBox" checked="Checked" fmlaLink="$A$28" lockText="1" noThreeD="1"/>
</file>

<file path=xl/ctrlProps/ctrlProp723.xml><?xml version="1.0" encoding="utf-8"?>
<formControlPr xmlns="http://schemas.microsoft.com/office/spreadsheetml/2009/9/main" objectType="CheckBox" checked="Checked" fmlaLink="$A$29" lockText="1" noThreeD="1"/>
</file>

<file path=xl/ctrlProps/ctrlProp724.xml><?xml version="1.0" encoding="utf-8"?>
<formControlPr xmlns="http://schemas.microsoft.com/office/spreadsheetml/2009/9/main" objectType="CheckBox" checked="Checked" fmlaLink="$A$30" lockText="1" noThreeD="1"/>
</file>

<file path=xl/ctrlProps/ctrlProp725.xml><?xml version="1.0" encoding="utf-8"?>
<formControlPr xmlns="http://schemas.microsoft.com/office/spreadsheetml/2009/9/main" objectType="CheckBox" checked="Checked" fmlaLink="$A$31" lockText="1" noThreeD="1"/>
</file>

<file path=xl/ctrlProps/ctrlProp726.xml><?xml version="1.0" encoding="utf-8"?>
<formControlPr xmlns="http://schemas.microsoft.com/office/spreadsheetml/2009/9/main" objectType="CheckBox" checked="Checked" fmlaLink="$E$28" lockText="1" noThreeD="1"/>
</file>

<file path=xl/ctrlProps/ctrlProp727.xml><?xml version="1.0" encoding="utf-8"?>
<formControlPr xmlns="http://schemas.microsoft.com/office/spreadsheetml/2009/9/main" objectType="CheckBox" checked="Checked" fmlaLink="$E$29" lockText="1" noThreeD="1"/>
</file>

<file path=xl/ctrlProps/ctrlProp728.xml><?xml version="1.0" encoding="utf-8"?>
<formControlPr xmlns="http://schemas.microsoft.com/office/spreadsheetml/2009/9/main" objectType="CheckBox" checked="Checked" fmlaLink="$E$30" lockText="1" noThreeD="1"/>
</file>

<file path=xl/ctrlProps/ctrlProp729.xml><?xml version="1.0" encoding="utf-8"?>
<formControlPr xmlns="http://schemas.microsoft.com/office/spreadsheetml/2009/9/main" objectType="CheckBox" fmlaLink="$A$33" lockText="1" noThreeD="1"/>
</file>

<file path=xl/ctrlProps/ctrlProp730.xml><?xml version="1.0" encoding="utf-8"?>
<formControlPr xmlns="http://schemas.microsoft.com/office/spreadsheetml/2009/9/main" objectType="CheckBox" fmlaLink="$A$34" lockText="1" noThreeD="1"/>
</file>

<file path=xl/ctrlProps/ctrlProp731.xml><?xml version="1.0" encoding="utf-8"?>
<formControlPr xmlns="http://schemas.microsoft.com/office/spreadsheetml/2009/9/main" objectType="CheckBox" fmlaLink="$A$35" lockText="1" noThreeD="1"/>
</file>

<file path=xl/ctrlProps/ctrlProp732.xml><?xml version="1.0" encoding="utf-8"?>
<formControlPr xmlns="http://schemas.microsoft.com/office/spreadsheetml/2009/9/main" objectType="CheckBox" fmlaLink="$A$36" lockText="1" noThreeD="1"/>
</file>

<file path=xl/ctrlProps/ctrlProp733.xml><?xml version="1.0" encoding="utf-8"?>
<formControlPr xmlns="http://schemas.microsoft.com/office/spreadsheetml/2009/9/main" objectType="CheckBox" fmlaLink="$A$37" lockText="1" noThreeD="1"/>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CheckBox" fmlaLink="$D$33"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fmlaLink="$A$43" lockText="1" noThreeD="1"/>
</file>

<file path=xl/ctrlProps/ctrlProp745.xml><?xml version="1.0" encoding="utf-8"?>
<formControlPr xmlns="http://schemas.microsoft.com/office/spreadsheetml/2009/9/main" objectType="CheckBox" fmlaLink="$A$44" lockText="1" noThreeD="1"/>
</file>

<file path=xl/ctrlProps/ctrlProp746.xml><?xml version="1.0" encoding="utf-8"?>
<formControlPr xmlns="http://schemas.microsoft.com/office/spreadsheetml/2009/9/main" objectType="CheckBox" fmlaLink="$A$45" lockText="1" noThreeD="1"/>
</file>

<file path=xl/ctrlProps/ctrlProp747.xml><?xml version="1.0" encoding="utf-8"?>
<formControlPr xmlns="http://schemas.microsoft.com/office/spreadsheetml/2009/9/main" objectType="CheckBox" fmlaLink="$A$46" lockText="1" noThreeD="1"/>
</file>

<file path=xl/ctrlProps/ctrlProp748.xml><?xml version="1.0" encoding="utf-8"?>
<formControlPr xmlns="http://schemas.microsoft.com/office/spreadsheetml/2009/9/main" objectType="CheckBox" fmlaLink="$A$47" lockText="1" noThreeD="1"/>
</file>

<file path=xl/ctrlProps/ctrlProp749.xml><?xml version="1.0" encoding="utf-8"?>
<formControlPr xmlns="http://schemas.microsoft.com/office/spreadsheetml/2009/9/main" objectType="CheckBox" fmlaLink="$A$48" lockText="1" noThreeD="1"/>
</file>

<file path=xl/ctrlProps/ctrlProp750.xml><?xml version="1.0" encoding="utf-8"?>
<formControlPr xmlns="http://schemas.microsoft.com/office/spreadsheetml/2009/9/main" objectType="CheckBox" fmlaLink="$A$49" lockText="1" noThreeD="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CheckBox" fmlaLink="$A$40" lockText="1" noThreeD="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CheckBox" fmlaLink="$A$49" lockText="1" noThreeD="1"/>
</file>

<file path=xl/ctrlProps/ctrlProp759.xml><?xml version="1.0" encoding="utf-8"?>
<formControlPr xmlns="http://schemas.microsoft.com/office/spreadsheetml/2009/9/main" objectType="CheckBox" fmlaLink="$A$28" lockText="1" noThreeD="1"/>
</file>

<file path=xl/ctrlProps/ctrlProp760.xml><?xml version="1.0" encoding="utf-8"?>
<formControlPr xmlns="http://schemas.microsoft.com/office/spreadsheetml/2009/9/main" objectType="CheckBox" fmlaLink="$A$29" lockText="1" noThreeD="1"/>
</file>

<file path=xl/ctrlProps/ctrlProp761.xml><?xml version="1.0" encoding="utf-8"?>
<formControlPr xmlns="http://schemas.microsoft.com/office/spreadsheetml/2009/9/main" objectType="CheckBox" fmlaLink="$A$30" lockText="1" noThreeD="1"/>
</file>

<file path=xl/ctrlProps/ctrlProp762.xml><?xml version="1.0" encoding="utf-8"?>
<formControlPr xmlns="http://schemas.microsoft.com/office/spreadsheetml/2009/9/main" objectType="CheckBox" fmlaLink="$A$31" lockText="1" noThreeD="1"/>
</file>

<file path=xl/ctrlProps/ctrlProp763.xml><?xml version="1.0" encoding="utf-8"?>
<formControlPr xmlns="http://schemas.microsoft.com/office/spreadsheetml/2009/9/main" objectType="CheckBox" fmlaLink="$E$28" lockText="1" noThreeD="1"/>
</file>

<file path=xl/ctrlProps/ctrlProp764.xml><?xml version="1.0" encoding="utf-8"?>
<formControlPr xmlns="http://schemas.microsoft.com/office/spreadsheetml/2009/9/main" objectType="CheckBox" fmlaLink="$E$29" lockText="1" noThreeD="1"/>
</file>

<file path=xl/ctrlProps/ctrlProp765.xml><?xml version="1.0" encoding="utf-8"?>
<formControlPr xmlns="http://schemas.microsoft.com/office/spreadsheetml/2009/9/main" objectType="CheckBox" fmlaLink="$E$30" lockText="1" noThreeD="1"/>
</file>

<file path=xl/ctrlProps/ctrlProp766.xml><?xml version="1.0" encoding="utf-8"?>
<formControlPr xmlns="http://schemas.microsoft.com/office/spreadsheetml/2009/9/main" objectType="CheckBox" fmlaLink="$A$33" lockText="1" noThreeD="1"/>
</file>

<file path=xl/ctrlProps/ctrlProp767.xml><?xml version="1.0" encoding="utf-8"?>
<formControlPr xmlns="http://schemas.microsoft.com/office/spreadsheetml/2009/9/main" objectType="CheckBox" fmlaLink="$A$34" lockText="1" noThreeD="1"/>
</file>

<file path=xl/ctrlProps/ctrlProp768.xml><?xml version="1.0" encoding="utf-8"?>
<formControlPr xmlns="http://schemas.microsoft.com/office/spreadsheetml/2009/9/main" objectType="CheckBox" fmlaLink="$A$35" lockText="1" noThreeD="1"/>
</file>

<file path=xl/ctrlProps/ctrlProp769.xml><?xml version="1.0" encoding="utf-8"?>
<formControlPr xmlns="http://schemas.microsoft.com/office/spreadsheetml/2009/9/main" objectType="CheckBox" fmlaLink="$A$36" lockText="1" noThreeD="1"/>
</file>

<file path=xl/ctrlProps/ctrlProp770.xml><?xml version="1.0" encoding="utf-8"?>
<formControlPr xmlns="http://schemas.microsoft.com/office/spreadsheetml/2009/9/main" objectType="CheckBox" fmlaLink="$A$37" lockText="1" noThreeD="1"/>
</file>

<file path=xl/ctrlProps/ctrlProp771.xml><?xml version="1.0" encoding="utf-8"?>
<formControlPr xmlns="http://schemas.microsoft.com/office/spreadsheetml/2009/9/main" objectType="Button" lockText="1"/>
</file>

<file path=xl/ctrlProps/ctrlProp772.xml><?xml version="1.0" encoding="utf-8"?>
<formControlPr xmlns="http://schemas.microsoft.com/office/spreadsheetml/2009/9/main" objectType="Button" lockText="1"/>
</file>

<file path=xl/ctrlProps/ctrlProp773.xml><?xml version="1.0" encoding="utf-8"?>
<formControlPr xmlns="http://schemas.microsoft.com/office/spreadsheetml/2009/9/main" objectType="CheckBox" fmlaLink="$D$33" lockText="1" noThreeD="1"/>
</file>

<file path=xl/ctrlProps/ctrlProp774.xml><?xml version="1.0" encoding="utf-8"?>
<formControlPr xmlns="http://schemas.microsoft.com/office/spreadsheetml/2009/9/main" objectType="CheckBox" lockText="1" noThreeD="1"/>
</file>

<file path=xl/ctrlProps/ctrlProp775.xml><?xml version="1.0" encoding="utf-8"?>
<formControlPr xmlns="http://schemas.microsoft.com/office/spreadsheetml/2009/9/main" objectType="CheckBox" lockText="1" noThreeD="1"/>
</file>

<file path=xl/ctrlProps/ctrlProp776.xml><?xml version="1.0" encoding="utf-8"?>
<formControlPr xmlns="http://schemas.microsoft.com/office/spreadsheetml/2009/9/main" objectType="CheckBox" lockText="1" noThreeD="1"/>
</file>

<file path=xl/ctrlProps/ctrlProp777.xml><?xml version="1.0" encoding="utf-8"?>
<formControlPr xmlns="http://schemas.microsoft.com/office/spreadsheetml/2009/9/main" objectType="CheckBox" lockText="1" noThreeD="1"/>
</file>

<file path=xl/ctrlProps/ctrlProp778.xml><?xml version="1.0" encoding="utf-8"?>
<formControlPr xmlns="http://schemas.microsoft.com/office/spreadsheetml/2009/9/main" objectType="CheckBox" lockText="1" noThreeD="1"/>
</file>

<file path=xl/ctrlProps/ctrlProp779.xml><?xml version="1.0" encoding="utf-8"?>
<formControlPr xmlns="http://schemas.microsoft.com/office/spreadsheetml/2009/9/main" objectType="CheckBox" lockText="1" noThreeD="1"/>
</file>

<file path=xl/ctrlProps/ctrlProp780.xml><?xml version="1.0" encoding="utf-8"?>
<formControlPr xmlns="http://schemas.microsoft.com/office/spreadsheetml/2009/9/main" objectType="CheckBox" lockText="1" noThreeD="1"/>
</file>

<file path=xl/ctrlProps/ctrlProp781.xml><?xml version="1.0" encoding="utf-8"?>
<formControlPr xmlns="http://schemas.microsoft.com/office/spreadsheetml/2009/9/main" objectType="CheckBox" fmlaLink="$A$43" lockText="1" noThreeD="1"/>
</file>

<file path=xl/ctrlProps/ctrlProp782.xml><?xml version="1.0" encoding="utf-8"?>
<formControlPr xmlns="http://schemas.microsoft.com/office/spreadsheetml/2009/9/main" objectType="CheckBox" fmlaLink="$A$44" lockText="1" noThreeD="1"/>
</file>

<file path=xl/ctrlProps/ctrlProp783.xml><?xml version="1.0" encoding="utf-8"?>
<formControlPr xmlns="http://schemas.microsoft.com/office/spreadsheetml/2009/9/main" objectType="CheckBox" fmlaLink="$A$45" lockText="1" noThreeD="1"/>
</file>

<file path=xl/ctrlProps/ctrlProp784.xml><?xml version="1.0" encoding="utf-8"?>
<formControlPr xmlns="http://schemas.microsoft.com/office/spreadsheetml/2009/9/main" objectType="CheckBox" fmlaLink="$A$46" lockText="1" noThreeD="1"/>
</file>

<file path=xl/ctrlProps/ctrlProp785.xml><?xml version="1.0" encoding="utf-8"?>
<formControlPr xmlns="http://schemas.microsoft.com/office/spreadsheetml/2009/9/main" objectType="CheckBox" fmlaLink="$A$47" lockText="1" noThreeD="1"/>
</file>

<file path=xl/ctrlProps/ctrlProp786.xml><?xml version="1.0" encoding="utf-8"?>
<formControlPr xmlns="http://schemas.microsoft.com/office/spreadsheetml/2009/9/main" objectType="CheckBox" fmlaLink="$A$48" lockText="1" noThreeD="1"/>
</file>

<file path=xl/ctrlProps/ctrlProp787.xml><?xml version="1.0" encoding="utf-8"?>
<formControlPr xmlns="http://schemas.microsoft.com/office/spreadsheetml/2009/9/main" objectType="CheckBox" fmlaLink="$A$49" lockText="1" noThreeD="1"/>
</file>

<file path=xl/ctrlProps/ctrlProp788.xml><?xml version="1.0" encoding="utf-8"?>
<formControlPr xmlns="http://schemas.microsoft.com/office/spreadsheetml/2009/9/main" objectType="Button" lockText="1"/>
</file>

<file path=xl/ctrlProps/ctrlProp789.xml><?xml version="1.0" encoding="utf-8"?>
<formControlPr xmlns="http://schemas.microsoft.com/office/spreadsheetml/2009/9/main" objectType="Button" lockText="1"/>
</file>

<file path=xl/ctrlProps/ctrlProp790.xml><?xml version="1.0" encoding="utf-8"?>
<formControlPr xmlns="http://schemas.microsoft.com/office/spreadsheetml/2009/9/main" objectType="CheckBox" fmlaLink="$A$40" lockText="1" noThreeD="1"/>
</file>

<file path=xl/ctrlProps/ctrlProp791.xml><?xml version="1.0" encoding="utf-8"?>
<formControlPr xmlns="http://schemas.microsoft.com/office/spreadsheetml/2009/9/main" objectType="Button" lockText="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CheckBox" fmlaLink="$A$49" lockText="1" noThreeD="1"/>
</file>

<file path=xl/ctrlProps/ctrlProp796.xml><?xml version="1.0" encoding="utf-8"?>
<formControlPr xmlns="http://schemas.microsoft.com/office/spreadsheetml/2009/9/main" objectType="CheckBox" checked="Checked" fmlaLink="$A$28" lockText="1" noThreeD="1"/>
</file>

<file path=xl/ctrlProps/ctrlProp797.xml><?xml version="1.0" encoding="utf-8"?>
<formControlPr xmlns="http://schemas.microsoft.com/office/spreadsheetml/2009/9/main" objectType="CheckBox" checked="Checked" fmlaLink="$A$29" lockText="1" noThreeD="1"/>
</file>

<file path=xl/ctrlProps/ctrlProp798.xml><?xml version="1.0" encoding="utf-8"?>
<formControlPr xmlns="http://schemas.microsoft.com/office/spreadsheetml/2009/9/main" objectType="CheckBox" checked="Checked" fmlaLink="$A$30" lockText="1" noThreeD="1"/>
</file>

<file path=xl/ctrlProps/ctrlProp799.xml><?xml version="1.0" encoding="utf-8"?>
<formControlPr xmlns="http://schemas.microsoft.com/office/spreadsheetml/2009/9/main" objectType="CheckBox" checked="Checked" fmlaLink="$A$31" lockText="1" noThreeD="1"/>
</file>

<file path=xl/ctrlProps/ctrlProp800.xml><?xml version="1.0" encoding="utf-8"?>
<formControlPr xmlns="http://schemas.microsoft.com/office/spreadsheetml/2009/9/main" objectType="CheckBox" checked="Checked" fmlaLink="$E$28" lockText="1" noThreeD="1"/>
</file>

<file path=xl/ctrlProps/ctrlProp801.xml><?xml version="1.0" encoding="utf-8"?>
<formControlPr xmlns="http://schemas.microsoft.com/office/spreadsheetml/2009/9/main" objectType="CheckBox" checked="Checked" fmlaLink="$E$29" lockText="1" noThreeD="1"/>
</file>

<file path=xl/ctrlProps/ctrlProp802.xml><?xml version="1.0" encoding="utf-8"?>
<formControlPr xmlns="http://schemas.microsoft.com/office/spreadsheetml/2009/9/main" objectType="CheckBox" checked="Checked" fmlaLink="$E$30" lockText="1" noThreeD="1"/>
</file>

<file path=xl/ctrlProps/ctrlProp803.xml><?xml version="1.0" encoding="utf-8"?>
<formControlPr xmlns="http://schemas.microsoft.com/office/spreadsheetml/2009/9/main" objectType="CheckBox" fmlaLink="$A$33" lockText="1" noThreeD="1"/>
</file>

<file path=xl/ctrlProps/ctrlProp804.xml><?xml version="1.0" encoding="utf-8"?>
<formControlPr xmlns="http://schemas.microsoft.com/office/spreadsheetml/2009/9/main" objectType="CheckBox" fmlaLink="$A$34" lockText="1" noThreeD="1"/>
</file>

<file path=xl/ctrlProps/ctrlProp805.xml><?xml version="1.0" encoding="utf-8"?>
<formControlPr xmlns="http://schemas.microsoft.com/office/spreadsheetml/2009/9/main" objectType="CheckBox" fmlaLink="$A$35" lockText="1" noThreeD="1"/>
</file>

<file path=xl/ctrlProps/ctrlProp806.xml><?xml version="1.0" encoding="utf-8"?>
<formControlPr xmlns="http://schemas.microsoft.com/office/spreadsheetml/2009/9/main" objectType="CheckBox" fmlaLink="$A$36" lockText="1" noThreeD="1"/>
</file>

<file path=xl/ctrlProps/ctrlProp807.xml><?xml version="1.0" encoding="utf-8"?>
<formControlPr xmlns="http://schemas.microsoft.com/office/spreadsheetml/2009/9/main" objectType="CheckBox" fmlaLink="$A$37" lockText="1" noThreeD="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CheckBox" fmlaLink="$D$33" lockText="1" noThreeD="1"/>
</file>

<file path=xl/ctrlProps/ctrlProp811.xml><?xml version="1.0" encoding="utf-8"?>
<formControlPr xmlns="http://schemas.microsoft.com/office/spreadsheetml/2009/9/main" objectType="CheckBox" lockText="1" noThreeD="1"/>
</file>

<file path=xl/ctrlProps/ctrlProp812.xml><?xml version="1.0" encoding="utf-8"?>
<formControlPr xmlns="http://schemas.microsoft.com/office/spreadsheetml/2009/9/main" objectType="CheckBox" lockText="1" noThreeD="1"/>
</file>

<file path=xl/ctrlProps/ctrlProp813.xml><?xml version="1.0" encoding="utf-8"?>
<formControlPr xmlns="http://schemas.microsoft.com/office/spreadsheetml/2009/9/main" objectType="CheckBox" lockText="1" noThreeD="1"/>
</file>

<file path=xl/ctrlProps/ctrlProp814.xml><?xml version="1.0" encoding="utf-8"?>
<formControlPr xmlns="http://schemas.microsoft.com/office/spreadsheetml/2009/9/main" objectType="CheckBox" lockText="1" noThreeD="1"/>
</file>

<file path=xl/ctrlProps/ctrlProp815.xml><?xml version="1.0" encoding="utf-8"?>
<formControlPr xmlns="http://schemas.microsoft.com/office/spreadsheetml/2009/9/main" objectType="CheckBox" lockText="1" noThreeD="1"/>
</file>

<file path=xl/ctrlProps/ctrlProp816.xml><?xml version="1.0" encoding="utf-8"?>
<formControlPr xmlns="http://schemas.microsoft.com/office/spreadsheetml/2009/9/main" objectType="CheckBox" lockText="1" noThreeD="1"/>
</file>

<file path=xl/ctrlProps/ctrlProp817.xml><?xml version="1.0" encoding="utf-8"?>
<formControlPr xmlns="http://schemas.microsoft.com/office/spreadsheetml/2009/9/main" objectType="CheckBox" lockText="1" noThreeD="1"/>
</file>

<file path=xl/ctrlProps/ctrlProp818.xml><?xml version="1.0" encoding="utf-8"?>
<formControlPr xmlns="http://schemas.microsoft.com/office/spreadsheetml/2009/9/main" objectType="CheckBox" fmlaLink="$A$43" lockText="1" noThreeD="1"/>
</file>

<file path=xl/ctrlProps/ctrlProp819.xml><?xml version="1.0" encoding="utf-8"?>
<formControlPr xmlns="http://schemas.microsoft.com/office/spreadsheetml/2009/9/main" objectType="CheckBox" fmlaLink="$A$44" lockText="1" noThreeD="1"/>
</file>

<file path=xl/ctrlProps/ctrlProp820.xml><?xml version="1.0" encoding="utf-8"?>
<formControlPr xmlns="http://schemas.microsoft.com/office/spreadsheetml/2009/9/main" objectType="CheckBox" fmlaLink="$A$45" lockText="1" noThreeD="1"/>
</file>

<file path=xl/ctrlProps/ctrlProp821.xml><?xml version="1.0" encoding="utf-8"?>
<formControlPr xmlns="http://schemas.microsoft.com/office/spreadsheetml/2009/9/main" objectType="CheckBox" fmlaLink="$A$46" lockText="1" noThreeD="1"/>
</file>

<file path=xl/ctrlProps/ctrlProp822.xml><?xml version="1.0" encoding="utf-8"?>
<formControlPr xmlns="http://schemas.microsoft.com/office/spreadsheetml/2009/9/main" objectType="CheckBox" fmlaLink="$A$47" lockText="1" noThreeD="1"/>
</file>

<file path=xl/ctrlProps/ctrlProp823.xml><?xml version="1.0" encoding="utf-8"?>
<formControlPr xmlns="http://schemas.microsoft.com/office/spreadsheetml/2009/9/main" objectType="CheckBox" fmlaLink="$A$48" lockText="1" noThreeD="1"/>
</file>

<file path=xl/ctrlProps/ctrlProp824.xml><?xml version="1.0" encoding="utf-8"?>
<formControlPr xmlns="http://schemas.microsoft.com/office/spreadsheetml/2009/9/main" objectType="CheckBox" fmlaLink="$A$49" lockText="1" noThreeD="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CheckBox" fmlaLink="$A$40" lockText="1" noThreeD="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Button" lockText="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CheckBox" fmlaLink="$A$49" lockText="1" noThreeD="1"/>
</file>

<file path=xl/ctrlProps/ctrlProp833.xml><?xml version="1.0" encoding="utf-8"?>
<formControlPr xmlns="http://schemas.microsoft.com/office/spreadsheetml/2009/9/main" objectType="CheckBox" checked="Checked" fmlaLink="$A$28" lockText="1" noThreeD="1"/>
</file>

<file path=xl/ctrlProps/ctrlProp834.xml><?xml version="1.0" encoding="utf-8"?>
<formControlPr xmlns="http://schemas.microsoft.com/office/spreadsheetml/2009/9/main" objectType="CheckBox" checked="Checked" fmlaLink="$A$29" lockText="1" noThreeD="1"/>
</file>

<file path=xl/ctrlProps/ctrlProp835.xml><?xml version="1.0" encoding="utf-8"?>
<formControlPr xmlns="http://schemas.microsoft.com/office/spreadsheetml/2009/9/main" objectType="CheckBox" checked="Checked" fmlaLink="$A$30" lockText="1" noThreeD="1"/>
</file>

<file path=xl/ctrlProps/ctrlProp836.xml><?xml version="1.0" encoding="utf-8"?>
<formControlPr xmlns="http://schemas.microsoft.com/office/spreadsheetml/2009/9/main" objectType="CheckBox" checked="Checked" fmlaLink="$A$31" lockText="1" noThreeD="1"/>
</file>

<file path=xl/ctrlProps/ctrlProp837.xml><?xml version="1.0" encoding="utf-8"?>
<formControlPr xmlns="http://schemas.microsoft.com/office/spreadsheetml/2009/9/main" objectType="CheckBox" checked="Checked" fmlaLink="$E$28" lockText="1" noThreeD="1"/>
</file>

<file path=xl/ctrlProps/ctrlProp838.xml><?xml version="1.0" encoding="utf-8"?>
<formControlPr xmlns="http://schemas.microsoft.com/office/spreadsheetml/2009/9/main" objectType="CheckBox" checked="Checked" fmlaLink="$E$29" lockText="1" noThreeD="1"/>
</file>

<file path=xl/ctrlProps/ctrlProp839.xml><?xml version="1.0" encoding="utf-8"?>
<formControlPr xmlns="http://schemas.microsoft.com/office/spreadsheetml/2009/9/main" objectType="CheckBox" checked="Checked" fmlaLink="$E$30" lockText="1" noThreeD="1"/>
</file>

<file path=xl/ctrlProps/ctrlProp840.xml><?xml version="1.0" encoding="utf-8"?>
<formControlPr xmlns="http://schemas.microsoft.com/office/spreadsheetml/2009/9/main" objectType="CheckBox" fmlaLink="$A$33" lockText="1" noThreeD="1"/>
</file>

<file path=xl/ctrlProps/ctrlProp841.xml><?xml version="1.0" encoding="utf-8"?>
<formControlPr xmlns="http://schemas.microsoft.com/office/spreadsheetml/2009/9/main" objectType="CheckBox" fmlaLink="$A$34" lockText="1" noThreeD="1"/>
</file>

<file path=xl/ctrlProps/ctrlProp842.xml><?xml version="1.0" encoding="utf-8"?>
<formControlPr xmlns="http://schemas.microsoft.com/office/spreadsheetml/2009/9/main" objectType="CheckBox" fmlaLink="$A$35" lockText="1" noThreeD="1"/>
</file>

<file path=xl/ctrlProps/ctrlProp843.xml><?xml version="1.0" encoding="utf-8"?>
<formControlPr xmlns="http://schemas.microsoft.com/office/spreadsheetml/2009/9/main" objectType="CheckBox" fmlaLink="$A$36" lockText="1" noThreeD="1"/>
</file>

<file path=xl/ctrlProps/ctrlProp844.xml><?xml version="1.0" encoding="utf-8"?>
<formControlPr xmlns="http://schemas.microsoft.com/office/spreadsheetml/2009/9/main" objectType="CheckBox" fmlaLink="$A$37" lockText="1" noThreeD="1"/>
</file>

<file path=xl/ctrlProps/ctrlProp845.xml><?xml version="1.0" encoding="utf-8"?>
<formControlPr xmlns="http://schemas.microsoft.com/office/spreadsheetml/2009/9/main" objectType="Button" lockText="1"/>
</file>

<file path=xl/ctrlProps/ctrlProp846.xml><?xml version="1.0" encoding="utf-8"?>
<formControlPr xmlns="http://schemas.microsoft.com/office/spreadsheetml/2009/9/main" objectType="Button" lockText="1"/>
</file>

<file path=xl/ctrlProps/ctrlProp847.xml><?xml version="1.0" encoding="utf-8"?>
<formControlPr xmlns="http://schemas.microsoft.com/office/spreadsheetml/2009/9/main" objectType="CheckBox" fmlaLink="$D$33" lockText="1" noThreeD="1"/>
</file>

<file path=xl/ctrlProps/ctrlProp848.xml><?xml version="1.0" encoding="utf-8"?>
<formControlPr xmlns="http://schemas.microsoft.com/office/spreadsheetml/2009/9/main" objectType="CheckBox" lockText="1" noThreeD="1"/>
</file>

<file path=xl/ctrlProps/ctrlProp849.xml><?xml version="1.0" encoding="utf-8"?>
<formControlPr xmlns="http://schemas.microsoft.com/office/spreadsheetml/2009/9/main" objectType="CheckBox" lockText="1" noThreeD="1"/>
</file>

<file path=xl/ctrlProps/ctrlProp850.xml><?xml version="1.0" encoding="utf-8"?>
<formControlPr xmlns="http://schemas.microsoft.com/office/spreadsheetml/2009/9/main" objectType="CheckBox" lockText="1" noThreeD="1"/>
</file>

<file path=xl/ctrlProps/ctrlProp851.xml><?xml version="1.0" encoding="utf-8"?>
<formControlPr xmlns="http://schemas.microsoft.com/office/spreadsheetml/2009/9/main" objectType="CheckBox" lockText="1" noThreeD="1"/>
</file>

<file path=xl/ctrlProps/ctrlProp852.xml><?xml version="1.0" encoding="utf-8"?>
<formControlPr xmlns="http://schemas.microsoft.com/office/spreadsheetml/2009/9/main" objectType="CheckBox" lockText="1" noThreeD="1"/>
</file>

<file path=xl/ctrlProps/ctrlProp853.xml><?xml version="1.0" encoding="utf-8"?>
<formControlPr xmlns="http://schemas.microsoft.com/office/spreadsheetml/2009/9/main" objectType="CheckBox" lockText="1" noThreeD="1"/>
</file>

<file path=xl/ctrlProps/ctrlProp854.xml><?xml version="1.0" encoding="utf-8"?>
<formControlPr xmlns="http://schemas.microsoft.com/office/spreadsheetml/2009/9/main" objectType="CheckBox" lockText="1" noThreeD="1"/>
</file>

<file path=xl/ctrlProps/ctrlProp855.xml><?xml version="1.0" encoding="utf-8"?>
<formControlPr xmlns="http://schemas.microsoft.com/office/spreadsheetml/2009/9/main" objectType="CheckBox" fmlaLink="$A$43" lockText="1" noThreeD="1"/>
</file>

<file path=xl/ctrlProps/ctrlProp856.xml><?xml version="1.0" encoding="utf-8"?>
<formControlPr xmlns="http://schemas.microsoft.com/office/spreadsheetml/2009/9/main" objectType="CheckBox" fmlaLink="$A$44" lockText="1" noThreeD="1"/>
</file>

<file path=xl/ctrlProps/ctrlProp857.xml><?xml version="1.0" encoding="utf-8"?>
<formControlPr xmlns="http://schemas.microsoft.com/office/spreadsheetml/2009/9/main" objectType="CheckBox" fmlaLink="$A$45" lockText="1" noThreeD="1"/>
</file>

<file path=xl/ctrlProps/ctrlProp858.xml><?xml version="1.0" encoding="utf-8"?>
<formControlPr xmlns="http://schemas.microsoft.com/office/spreadsheetml/2009/9/main" objectType="CheckBox" fmlaLink="$A$46" lockText="1" noThreeD="1"/>
</file>

<file path=xl/ctrlProps/ctrlProp859.xml><?xml version="1.0" encoding="utf-8"?>
<formControlPr xmlns="http://schemas.microsoft.com/office/spreadsheetml/2009/9/main" objectType="CheckBox" fmlaLink="$A$47" lockText="1" noThreeD="1"/>
</file>

<file path=xl/ctrlProps/ctrlProp860.xml><?xml version="1.0" encoding="utf-8"?>
<formControlPr xmlns="http://schemas.microsoft.com/office/spreadsheetml/2009/9/main" objectType="CheckBox" fmlaLink="$A$48" lockText="1" noThreeD="1"/>
</file>

<file path=xl/ctrlProps/ctrlProp861.xml><?xml version="1.0" encoding="utf-8"?>
<formControlPr xmlns="http://schemas.microsoft.com/office/spreadsheetml/2009/9/main" objectType="CheckBox" fmlaLink="$A$49" lockText="1" noThreeD="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CheckBox" fmlaLink="$A$40" lockText="1" noThreeD="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Button" lockText="1"/>
</file>

<file path=xl/ctrlProps/ctrlProp869.xml><?xml version="1.0" encoding="utf-8"?>
<formControlPr xmlns="http://schemas.microsoft.com/office/spreadsheetml/2009/9/main" objectType="CheckBox" fmlaLink="$A$49" lockText="1" noThreeD="1"/>
</file>

<file path=xl/ctrlProps/ctrlProp870.xml><?xml version="1.0" encoding="utf-8"?>
<formControlPr xmlns="http://schemas.microsoft.com/office/spreadsheetml/2009/9/main" objectType="CheckBox" checked="Checked" fmlaLink="$A$28" lockText="1" noThreeD="1"/>
</file>

<file path=xl/ctrlProps/ctrlProp871.xml><?xml version="1.0" encoding="utf-8"?>
<formControlPr xmlns="http://schemas.microsoft.com/office/spreadsheetml/2009/9/main" objectType="CheckBox" checked="Checked" fmlaLink="$A$29" lockText="1" noThreeD="1"/>
</file>

<file path=xl/ctrlProps/ctrlProp872.xml><?xml version="1.0" encoding="utf-8"?>
<formControlPr xmlns="http://schemas.microsoft.com/office/spreadsheetml/2009/9/main" objectType="CheckBox" checked="Checked" fmlaLink="$A$30" lockText="1" noThreeD="1"/>
</file>

<file path=xl/ctrlProps/ctrlProp873.xml><?xml version="1.0" encoding="utf-8"?>
<formControlPr xmlns="http://schemas.microsoft.com/office/spreadsheetml/2009/9/main" objectType="CheckBox" checked="Checked" fmlaLink="$A$31" lockText="1" noThreeD="1"/>
</file>

<file path=xl/ctrlProps/ctrlProp874.xml><?xml version="1.0" encoding="utf-8"?>
<formControlPr xmlns="http://schemas.microsoft.com/office/spreadsheetml/2009/9/main" objectType="CheckBox" checked="Checked" fmlaLink="$E$28" lockText="1" noThreeD="1"/>
</file>

<file path=xl/ctrlProps/ctrlProp875.xml><?xml version="1.0" encoding="utf-8"?>
<formControlPr xmlns="http://schemas.microsoft.com/office/spreadsheetml/2009/9/main" objectType="CheckBox" checked="Checked" fmlaLink="$E$29" lockText="1" noThreeD="1"/>
</file>

<file path=xl/ctrlProps/ctrlProp876.xml><?xml version="1.0" encoding="utf-8"?>
<formControlPr xmlns="http://schemas.microsoft.com/office/spreadsheetml/2009/9/main" objectType="CheckBox" checked="Checked" fmlaLink="$E$30" lockText="1" noThreeD="1"/>
</file>

<file path=xl/ctrlProps/ctrlProp877.xml><?xml version="1.0" encoding="utf-8"?>
<formControlPr xmlns="http://schemas.microsoft.com/office/spreadsheetml/2009/9/main" objectType="CheckBox" fmlaLink="$A$33" lockText="1" noThreeD="1"/>
</file>

<file path=xl/ctrlProps/ctrlProp878.xml><?xml version="1.0" encoding="utf-8"?>
<formControlPr xmlns="http://schemas.microsoft.com/office/spreadsheetml/2009/9/main" objectType="CheckBox" fmlaLink="$A$34" lockText="1" noThreeD="1"/>
</file>

<file path=xl/ctrlProps/ctrlProp879.xml><?xml version="1.0" encoding="utf-8"?>
<formControlPr xmlns="http://schemas.microsoft.com/office/spreadsheetml/2009/9/main" objectType="CheckBox" fmlaLink="$A$35" lockText="1" noThreeD="1"/>
</file>

<file path=xl/ctrlProps/ctrlProp880.xml><?xml version="1.0" encoding="utf-8"?>
<formControlPr xmlns="http://schemas.microsoft.com/office/spreadsheetml/2009/9/main" objectType="CheckBox" fmlaLink="$A$36" lockText="1" noThreeD="1"/>
</file>

<file path=xl/ctrlProps/ctrlProp881.xml><?xml version="1.0" encoding="utf-8"?>
<formControlPr xmlns="http://schemas.microsoft.com/office/spreadsheetml/2009/9/main" objectType="CheckBox" fmlaLink="$A$37" lockText="1" noThreeD="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CheckBox" fmlaLink="$D$33"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lockText="1" noThreeD="1"/>
</file>

<file path=xl/ctrlProps/ctrlProp892.xml><?xml version="1.0" encoding="utf-8"?>
<formControlPr xmlns="http://schemas.microsoft.com/office/spreadsheetml/2009/9/main" objectType="CheckBox" fmlaLink="$A$43" lockText="1" noThreeD="1"/>
</file>

<file path=xl/ctrlProps/ctrlProp893.xml><?xml version="1.0" encoding="utf-8"?>
<formControlPr xmlns="http://schemas.microsoft.com/office/spreadsheetml/2009/9/main" objectType="CheckBox" fmlaLink="$A$44" lockText="1" noThreeD="1"/>
</file>

<file path=xl/ctrlProps/ctrlProp894.xml><?xml version="1.0" encoding="utf-8"?>
<formControlPr xmlns="http://schemas.microsoft.com/office/spreadsheetml/2009/9/main" objectType="CheckBox" fmlaLink="$A$45" lockText="1" noThreeD="1"/>
</file>

<file path=xl/ctrlProps/ctrlProp895.xml><?xml version="1.0" encoding="utf-8"?>
<formControlPr xmlns="http://schemas.microsoft.com/office/spreadsheetml/2009/9/main" objectType="CheckBox" fmlaLink="$A$46" lockText="1" noThreeD="1"/>
</file>

<file path=xl/ctrlProps/ctrlProp896.xml><?xml version="1.0" encoding="utf-8"?>
<formControlPr xmlns="http://schemas.microsoft.com/office/spreadsheetml/2009/9/main" objectType="CheckBox" fmlaLink="$A$47" lockText="1" noThreeD="1"/>
</file>

<file path=xl/ctrlProps/ctrlProp897.xml><?xml version="1.0" encoding="utf-8"?>
<formControlPr xmlns="http://schemas.microsoft.com/office/spreadsheetml/2009/9/main" objectType="CheckBox" fmlaLink="$A$48" lockText="1" noThreeD="1"/>
</file>

<file path=xl/ctrlProps/ctrlProp898.xml><?xml version="1.0" encoding="utf-8"?>
<formControlPr xmlns="http://schemas.microsoft.com/office/spreadsheetml/2009/9/main" objectType="CheckBox" fmlaLink="$A$49" lockText="1" noThreeD="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CheckBox" fmlaLink="$A$40" lockText="1" noThreeD="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CheckBox" fmlaLink="$A$49" lockText="1" noThreeD="1"/>
</file>

<file path=xl/ctrlProps/ctrlProp907.xml><?xml version="1.0" encoding="utf-8"?>
<formControlPr xmlns="http://schemas.microsoft.com/office/spreadsheetml/2009/9/main" objectType="CheckBox" checked="Checked" fmlaLink="$A$28" lockText="1" noThreeD="1"/>
</file>

<file path=xl/ctrlProps/ctrlProp908.xml><?xml version="1.0" encoding="utf-8"?>
<formControlPr xmlns="http://schemas.microsoft.com/office/spreadsheetml/2009/9/main" objectType="CheckBox" checked="Checked" fmlaLink="$A$29" lockText="1" noThreeD="1"/>
</file>

<file path=xl/ctrlProps/ctrlProp909.xml><?xml version="1.0" encoding="utf-8"?>
<formControlPr xmlns="http://schemas.microsoft.com/office/spreadsheetml/2009/9/main" objectType="CheckBox" checked="Checked" fmlaLink="$A$30" lockText="1" noThreeD="1"/>
</file>

<file path=xl/ctrlProps/ctrlProp910.xml><?xml version="1.0" encoding="utf-8"?>
<formControlPr xmlns="http://schemas.microsoft.com/office/spreadsheetml/2009/9/main" objectType="CheckBox" checked="Checked" fmlaLink="$A$31" lockText="1" noThreeD="1"/>
</file>

<file path=xl/ctrlProps/ctrlProp911.xml><?xml version="1.0" encoding="utf-8"?>
<formControlPr xmlns="http://schemas.microsoft.com/office/spreadsheetml/2009/9/main" objectType="CheckBox" fmlaLink="$E$28" lockText="1" noThreeD="1"/>
</file>

<file path=xl/ctrlProps/ctrlProp912.xml><?xml version="1.0" encoding="utf-8"?>
<formControlPr xmlns="http://schemas.microsoft.com/office/spreadsheetml/2009/9/main" objectType="CheckBox" checked="Checked" fmlaLink="$E$29" lockText="1" noThreeD="1"/>
</file>

<file path=xl/ctrlProps/ctrlProp913.xml><?xml version="1.0" encoding="utf-8"?>
<formControlPr xmlns="http://schemas.microsoft.com/office/spreadsheetml/2009/9/main" objectType="CheckBox" checked="Checked" fmlaLink="$E$30" lockText="1" noThreeD="1"/>
</file>

<file path=xl/ctrlProps/ctrlProp914.xml><?xml version="1.0" encoding="utf-8"?>
<formControlPr xmlns="http://schemas.microsoft.com/office/spreadsheetml/2009/9/main" objectType="CheckBox" fmlaLink="$A$33" lockText="1" noThreeD="1"/>
</file>

<file path=xl/ctrlProps/ctrlProp915.xml><?xml version="1.0" encoding="utf-8"?>
<formControlPr xmlns="http://schemas.microsoft.com/office/spreadsheetml/2009/9/main" objectType="CheckBox" fmlaLink="$A$34" lockText="1" noThreeD="1"/>
</file>

<file path=xl/ctrlProps/ctrlProp916.xml><?xml version="1.0" encoding="utf-8"?>
<formControlPr xmlns="http://schemas.microsoft.com/office/spreadsheetml/2009/9/main" objectType="CheckBox" fmlaLink="$A$35" lockText="1" noThreeD="1"/>
</file>

<file path=xl/ctrlProps/ctrlProp917.xml><?xml version="1.0" encoding="utf-8"?>
<formControlPr xmlns="http://schemas.microsoft.com/office/spreadsheetml/2009/9/main" objectType="CheckBox" fmlaLink="$A$36" lockText="1" noThreeD="1"/>
</file>

<file path=xl/ctrlProps/ctrlProp918.xml><?xml version="1.0" encoding="utf-8"?>
<formControlPr xmlns="http://schemas.microsoft.com/office/spreadsheetml/2009/9/main" objectType="CheckBox" fmlaLink="$A$37" lockText="1" noThreeD="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CheckBox" fmlaLink="$D$33"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lockText="1" noThreeD="1"/>
</file>

<file path=xl/ctrlProps/ctrlProp924.xml><?xml version="1.0" encoding="utf-8"?>
<formControlPr xmlns="http://schemas.microsoft.com/office/spreadsheetml/2009/9/main" objectType="CheckBox" lockText="1" noThreeD="1"/>
</file>

<file path=xl/ctrlProps/ctrlProp925.xml><?xml version="1.0" encoding="utf-8"?>
<formControlPr xmlns="http://schemas.microsoft.com/office/spreadsheetml/2009/9/main" objectType="CheckBox" lockText="1" noThreeD="1"/>
</file>

<file path=xl/ctrlProps/ctrlProp926.xml><?xml version="1.0" encoding="utf-8"?>
<formControlPr xmlns="http://schemas.microsoft.com/office/spreadsheetml/2009/9/main" objectType="CheckBox" lockText="1" noThreeD="1"/>
</file>

<file path=xl/ctrlProps/ctrlProp927.xml><?xml version="1.0" encoding="utf-8"?>
<formControlPr xmlns="http://schemas.microsoft.com/office/spreadsheetml/2009/9/main" objectType="CheckBox" lockText="1" noThreeD="1"/>
</file>

<file path=xl/ctrlProps/ctrlProp928.xml><?xml version="1.0" encoding="utf-8"?>
<formControlPr xmlns="http://schemas.microsoft.com/office/spreadsheetml/2009/9/main" objectType="CheckBox" lockText="1" noThreeD="1"/>
</file>

<file path=xl/ctrlProps/ctrlProp929.xml><?xml version="1.0" encoding="utf-8"?>
<formControlPr xmlns="http://schemas.microsoft.com/office/spreadsheetml/2009/9/main" objectType="CheckBox" fmlaLink="$A$43" lockText="1" noThreeD="1"/>
</file>

<file path=xl/ctrlProps/ctrlProp930.xml><?xml version="1.0" encoding="utf-8"?>
<formControlPr xmlns="http://schemas.microsoft.com/office/spreadsheetml/2009/9/main" objectType="CheckBox" fmlaLink="$A$44" lockText="1" noThreeD="1"/>
</file>

<file path=xl/ctrlProps/ctrlProp931.xml><?xml version="1.0" encoding="utf-8"?>
<formControlPr xmlns="http://schemas.microsoft.com/office/spreadsheetml/2009/9/main" objectType="CheckBox" fmlaLink="$A$45" lockText="1" noThreeD="1"/>
</file>

<file path=xl/ctrlProps/ctrlProp932.xml><?xml version="1.0" encoding="utf-8"?>
<formControlPr xmlns="http://schemas.microsoft.com/office/spreadsheetml/2009/9/main" objectType="CheckBox" fmlaLink="$A$46" lockText="1" noThreeD="1"/>
</file>

<file path=xl/ctrlProps/ctrlProp933.xml><?xml version="1.0" encoding="utf-8"?>
<formControlPr xmlns="http://schemas.microsoft.com/office/spreadsheetml/2009/9/main" objectType="CheckBox" fmlaLink="$A$47" lockText="1" noThreeD="1"/>
</file>

<file path=xl/ctrlProps/ctrlProp934.xml><?xml version="1.0" encoding="utf-8"?>
<formControlPr xmlns="http://schemas.microsoft.com/office/spreadsheetml/2009/9/main" objectType="CheckBox" fmlaLink="$A$48" lockText="1" noThreeD="1"/>
</file>

<file path=xl/ctrlProps/ctrlProp935.xml><?xml version="1.0" encoding="utf-8"?>
<formControlPr xmlns="http://schemas.microsoft.com/office/spreadsheetml/2009/9/main" objectType="CheckBox" fmlaLink="$A$49" lockText="1" noThreeD="1"/>
</file>

<file path=xl/ctrlProps/ctrlProp936.xml><?xml version="1.0" encoding="utf-8"?>
<formControlPr xmlns="http://schemas.microsoft.com/office/spreadsheetml/2009/9/main" objectType="Button" lockText="1"/>
</file>

<file path=xl/ctrlProps/ctrlProp937.xml><?xml version="1.0" encoding="utf-8"?>
<formControlPr xmlns="http://schemas.microsoft.com/office/spreadsheetml/2009/9/main" objectType="Button" lockText="1"/>
</file>

<file path=xl/ctrlProps/ctrlProp938.xml><?xml version="1.0" encoding="utf-8"?>
<formControlPr xmlns="http://schemas.microsoft.com/office/spreadsheetml/2009/9/main" objectType="CheckBox" fmlaLink="$A$40" lockText="1" noThreeD="1"/>
</file>

<file path=xl/ctrlProps/ctrlProp939.xml><?xml version="1.0" encoding="utf-8"?>
<formControlPr xmlns="http://schemas.microsoft.com/office/spreadsheetml/2009/9/main" objectType="Button" lockText="1"/>
</file>

<file path=xl/ctrlProps/ctrlProp940.xml><?xml version="1.0" encoding="utf-8"?>
<formControlPr xmlns="http://schemas.microsoft.com/office/spreadsheetml/2009/9/main" objectType="Button" lockText="1"/>
</file>

<file path=xl/ctrlProps/ctrlProp941.xml><?xml version="1.0" encoding="utf-8"?>
<formControlPr xmlns="http://schemas.microsoft.com/office/spreadsheetml/2009/9/main" objectType="Button" lockText="1"/>
</file>

<file path=xl/ctrlProps/ctrlProp942.xml><?xml version="1.0" encoding="utf-8"?>
<formControlPr xmlns="http://schemas.microsoft.com/office/spreadsheetml/2009/9/main" objectType="Button" lockText="1"/>
</file>

<file path=xl/ctrlProps/ctrlProp943.xml><?xml version="1.0" encoding="utf-8"?>
<formControlPr xmlns="http://schemas.microsoft.com/office/spreadsheetml/2009/9/main" objectType="CheckBox" fmlaLink="$A$49" lockText="1" noThreeD="1"/>
</file>

<file path=xl/ctrlProps/ctrlProp944.xml><?xml version="1.0" encoding="utf-8"?>
<formControlPr xmlns="http://schemas.microsoft.com/office/spreadsheetml/2009/9/main" objectType="CheckBox" checked="Checked" fmlaLink="$A$28" lockText="1" noThreeD="1"/>
</file>

<file path=xl/ctrlProps/ctrlProp945.xml><?xml version="1.0" encoding="utf-8"?>
<formControlPr xmlns="http://schemas.microsoft.com/office/spreadsheetml/2009/9/main" objectType="CheckBox" checked="Checked" fmlaLink="$A$29" lockText="1" noThreeD="1"/>
</file>

<file path=xl/ctrlProps/ctrlProp946.xml><?xml version="1.0" encoding="utf-8"?>
<formControlPr xmlns="http://schemas.microsoft.com/office/spreadsheetml/2009/9/main" objectType="CheckBox" checked="Checked" fmlaLink="$A$30" lockText="1" noThreeD="1"/>
</file>

<file path=xl/ctrlProps/ctrlProp947.xml><?xml version="1.0" encoding="utf-8"?>
<formControlPr xmlns="http://schemas.microsoft.com/office/spreadsheetml/2009/9/main" objectType="CheckBox" checked="Checked" fmlaLink="$A$31" lockText="1" noThreeD="1"/>
</file>

<file path=xl/ctrlProps/ctrlProp948.xml><?xml version="1.0" encoding="utf-8"?>
<formControlPr xmlns="http://schemas.microsoft.com/office/spreadsheetml/2009/9/main" objectType="CheckBox" checked="Checked" fmlaLink="$E$28" lockText="1" noThreeD="1"/>
</file>

<file path=xl/ctrlProps/ctrlProp949.xml><?xml version="1.0" encoding="utf-8"?>
<formControlPr xmlns="http://schemas.microsoft.com/office/spreadsheetml/2009/9/main" objectType="CheckBox" checked="Checked" fmlaLink="$E$29" lockText="1" noThreeD="1"/>
</file>

<file path=xl/ctrlProps/ctrlProp950.xml><?xml version="1.0" encoding="utf-8"?>
<formControlPr xmlns="http://schemas.microsoft.com/office/spreadsheetml/2009/9/main" objectType="CheckBox" checked="Checked" fmlaLink="$E$30" lockText="1" noThreeD="1"/>
</file>

<file path=xl/ctrlProps/ctrlProp951.xml><?xml version="1.0" encoding="utf-8"?>
<formControlPr xmlns="http://schemas.microsoft.com/office/spreadsheetml/2009/9/main" objectType="CheckBox" fmlaLink="$A$33" lockText="1" noThreeD="1"/>
</file>

<file path=xl/ctrlProps/ctrlProp952.xml><?xml version="1.0" encoding="utf-8"?>
<formControlPr xmlns="http://schemas.microsoft.com/office/spreadsheetml/2009/9/main" objectType="CheckBox" fmlaLink="$A$34" lockText="1" noThreeD="1"/>
</file>

<file path=xl/ctrlProps/ctrlProp953.xml><?xml version="1.0" encoding="utf-8"?>
<formControlPr xmlns="http://schemas.microsoft.com/office/spreadsheetml/2009/9/main" objectType="CheckBox" fmlaLink="$A$35" lockText="1" noThreeD="1"/>
</file>

<file path=xl/ctrlProps/ctrlProp954.xml><?xml version="1.0" encoding="utf-8"?>
<formControlPr xmlns="http://schemas.microsoft.com/office/spreadsheetml/2009/9/main" objectType="CheckBox" fmlaLink="$A$36" lockText="1" noThreeD="1"/>
</file>

<file path=xl/ctrlProps/ctrlProp955.xml><?xml version="1.0" encoding="utf-8"?>
<formControlPr xmlns="http://schemas.microsoft.com/office/spreadsheetml/2009/9/main" objectType="CheckBox" fmlaLink="$A$37" lockText="1" noThreeD="1"/>
</file>

<file path=xl/ctrlProps/ctrlProp956.xml><?xml version="1.0" encoding="utf-8"?>
<formControlPr xmlns="http://schemas.microsoft.com/office/spreadsheetml/2009/9/main" objectType="Button" lockText="1"/>
</file>

<file path=xl/ctrlProps/ctrlProp957.xml><?xml version="1.0" encoding="utf-8"?>
<formControlPr xmlns="http://schemas.microsoft.com/office/spreadsheetml/2009/9/main" objectType="Button" lockText="1"/>
</file>

<file path=xl/ctrlProps/ctrlProp958.xml><?xml version="1.0" encoding="utf-8"?>
<formControlPr xmlns="http://schemas.microsoft.com/office/spreadsheetml/2009/9/main" objectType="CheckBox" fmlaLink="$D$33" lockText="1" noThreeD="1"/>
</file>

<file path=xl/ctrlProps/ctrlProp959.xml><?xml version="1.0" encoding="utf-8"?>
<formControlPr xmlns="http://schemas.microsoft.com/office/spreadsheetml/2009/9/main" objectType="CheckBox" lockText="1" noThreeD="1"/>
</file>

<file path=xl/ctrlProps/ctrlProp960.xml><?xml version="1.0" encoding="utf-8"?>
<formControlPr xmlns="http://schemas.microsoft.com/office/spreadsheetml/2009/9/main" objectType="CheckBox" lockText="1" noThreeD="1"/>
</file>

<file path=xl/ctrlProps/ctrlProp961.xml><?xml version="1.0" encoding="utf-8"?>
<formControlPr xmlns="http://schemas.microsoft.com/office/spreadsheetml/2009/9/main" objectType="CheckBox" lockText="1" noThreeD="1"/>
</file>

<file path=xl/ctrlProps/ctrlProp962.xml><?xml version="1.0" encoding="utf-8"?>
<formControlPr xmlns="http://schemas.microsoft.com/office/spreadsheetml/2009/9/main" objectType="CheckBox" lockText="1" noThreeD="1"/>
</file>

<file path=xl/ctrlProps/ctrlProp963.xml><?xml version="1.0" encoding="utf-8"?>
<formControlPr xmlns="http://schemas.microsoft.com/office/spreadsheetml/2009/9/main" objectType="CheckBox" lockText="1" noThreeD="1"/>
</file>

<file path=xl/ctrlProps/ctrlProp964.xml><?xml version="1.0" encoding="utf-8"?>
<formControlPr xmlns="http://schemas.microsoft.com/office/spreadsheetml/2009/9/main" objectType="CheckBox" lockText="1" noThreeD="1"/>
</file>

<file path=xl/ctrlProps/ctrlProp965.xml><?xml version="1.0" encoding="utf-8"?>
<formControlPr xmlns="http://schemas.microsoft.com/office/spreadsheetml/2009/9/main" objectType="CheckBox" lockText="1" noThreeD="1"/>
</file>

<file path=xl/ctrlProps/ctrlProp966.xml><?xml version="1.0" encoding="utf-8"?>
<formControlPr xmlns="http://schemas.microsoft.com/office/spreadsheetml/2009/9/main" objectType="CheckBox" fmlaLink="$A$43" lockText="1" noThreeD="1"/>
</file>

<file path=xl/ctrlProps/ctrlProp967.xml><?xml version="1.0" encoding="utf-8"?>
<formControlPr xmlns="http://schemas.microsoft.com/office/spreadsheetml/2009/9/main" objectType="CheckBox" fmlaLink="$A$44" lockText="1" noThreeD="1"/>
</file>

<file path=xl/ctrlProps/ctrlProp968.xml><?xml version="1.0" encoding="utf-8"?>
<formControlPr xmlns="http://schemas.microsoft.com/office/spreadsheetml/2009/9/main" objectType="CheckBox" fmlaLink="$A$45" lockText="1" noThreeD="1"/>
</file>

<file path=xl/ctrlProps/ctrlProp969.xml><?xml version="1.0" encoding="utf-8"?>
<formControlPr xmlns="http://schemas.microsoft.com/office/spreadsheetml/2009/9/main" objectType="CheckBox" fmlaLink="$A$46" lockText="1" noThreeD="1"/>
</file>

<file path=xl/ctrlProps/ctrlProp970.xml><?xml version="1.0" encoding="utf-8"?>
<formControlPr xmlns="http://schemas.microsoft.com/office/spreadsheetml/2009/9/main" objectType="CheckBox" fmlaLink="$A$47" lockText="1" noThreeD="1"/>
</file>

<file path=xl/ctrlProps/ctrlProp971.xml><?xml version="1.0" encoding="utf-8"?>
<formControlPr xmlns="http://schemas.microsoft.com/office/spreadsheetml/2009/9/main" objectType="CheckBox" fmlaLink="$A$48" lockText="1" noThreeD="1"/>
</file>

<file path=xl/ctrlProps/ctrlProp972.xml><?xml version="1.0" encoding="utf-8"?>
<formControlPr xmlns="http://schemas.microsoft.com/office/spreadsheetml/2009/9/main" objectType="CheckBox" fmlaLink="$A$49" lockText="1" noThreeD="1"/>
</file>

<file path=xl/ctrlProps/ctrlProp973.xml><?xml version="1.0" encoding="utf-8"?>
<formControlPr xmlns="http://schemas.microsoft.com/office/spreadsheetml/2009/9/main" objectType="Button" lockText="1"/>
</file>

<file path=xl/ctrlProps/ctrlProp974.xml><?xml version="1.0" encoding="utf-8"?>
<formControlPr xmlns="http://schemas.microsoft.com/office/spreadsheetml/2009/9/main" objectType="Button" lockText="1"/>
</file>

<file path=xl/ctrlProps/ctrlProp975.xml><?xml version="1.0" encoding="utf-8"?>
<formControlPr xmlns="http://schemas.microsoft.com/office/spreadsheetml/2009/9/main" objectType="CheckBox" fmlaLink="$A$40" lockText="1" noThreeD="1"/>
</file>

<file path=xl/ctrlProps/ctrlProp976.xml><?xml version="1.0" encoding="utf-8"?>
<formControlPr xmlns="http://schemas.microsoft.com/office/spreadsheetml/2009/9/main" objectType="Button" lockText="1"/>
</file>

<file path=xl/ctrlProps/ctrlProp977.xml><?xml version="1.0" encoding="utf-8"?>
<formControlPr xmlns="http://schemas.microsoft.com/office/spreadsheetml/2009/9/main" objectType="Button" lockText="1"/>
</file>

<file path=xl/ctrlProps/ctrlProp978.xml><?xml version="1.0" encoding="utf-8"?>
<formControlPr xmlns="http://schemas.microsoft.com/office/spreadsheetml/2009/9/main" objectType="Button" lockText="1"/>
</file>

<file path=xl/ctrlProps/ctrlProp979.xml><?xml version="1.0" encoding="utf-8"?>
<formControlPr xmlns="http://schemas.microsoft.com/office/spreadsheetml/2009/9/main" objectType="Button" lockText="1"/>
</file>

<file path=xl/ctrlProps/ctrlProp980.xml><?xml version="1.0" encoding="utf-8"?>
<formControlPr xmlns="http://schemas.microsoft.com/office/spreadsheetml/2009/9/main" objectType="CheckBox" fmlaLink="$A$49" lockText="1" noThreeD="1"/>
</file>

<file path=xl/ctrlProps/ctrlProp981.xml><?xml version="1.0" encoding="utf-8"?>
<formControlPr xmlns="http://schemas.microsoft.com/office/spreadsheetml/2009/9/main" objectType="CheckBox" checked="Checked" fmlaLink="$A$28" lockText="1" noThreeD="1"/>
</file>

<file path=xl/ctrlProps/ctrlProp982.xml><?xml version="1.0" encoding="utf-8"?>
<formControlPr xmlns="http://schemas.microsoft.com/office/spreadsheetml/2009/9/main" objectType="CheckBox" checked="Checked" fmlaLink="$A$29" lockText="1" noThreeD="1"/>
</file>

<file path=xl/ctrlProps/ctrlProp983.xml><?xml version="1.0" encoding="utf-8"?>
<formControlPr xmlns="http://schemas.microsoft.com/office/spreadsheetml/2009/9/main" objectType="CheckBox" checked="Checked" fmlaLink="$A$30" lockText="1" noThreeD="1"/>
</file>

<file path=xl/ctrlProps/ctrlProp984.xml><?xml version="1.0" encoding="utf-8"?>
<formControlPr xmlns="http://schemas.microsoft.com/office/spreadsheetml/2009/9/main" objectType="CheckBox" checked="Checked" fmlaLink="$A$31" lockText="1" noThreeD="1"/>
</file>

<file path=xl/ctrlProps/ctrlProp985.xml><?xml version="1.0" encoding="utf-8"?>
<formControlPr xmlns="http://schemas.microsoft.com/office/spreadsheetml/2009/9/main" objectType="CheckBox" checked="Checked" fmlaLink="$E$28" lockText="1" noThreeD="1"/>
</file>

<file path=xl/ctrlProps/ctrlProp986.xml><?xml version="1.0" encoding="utf-8"?>
<formControlPr xmlns="http://schemas.microsoft.com/office/spreadsheetml/2009/9/main" objectType="CheckBox" checked="Checked" fmlaLink="$E$29" lockText="1" noThreeD="1"/>
</file>

<file path=xl/ctrlProps/ctrlProp987.xml><?xml version="1.0" encoding="utf-8"?>
<formControlPr xmlns="http://schemas.microsoft.com/office/spreadsheetml/2009/9/main" objectType="CheckBox" checked="Checked" fmlaLink="$E$30" lockText="1" noThreeD="1"/>
</file>

<file path=xl/ctrlProps/ctrlProp988.xml><?xml version="1.0" encoding="utf-8"?>
<formControlPr xmlns="http://schemas.microsoft.com/office/spreadsheetml/2009/9/main" objectType="CheckBox" fmlaLink="$A$33" lockText="1" noThreeD="1"/>
</file>

<file path=xl/ctrlProps/ctrlProp989.xml><?xml version="1.0" encoding="utf-8"?>
<formControlPr xmlns="http://schemas.microsoft.com/office/spreadsheetml/2009/9/main" objectType="CheckBox" fmlaLink="$A$34" lockText="1" noThreeD="1"/>
</file>

<file path=xl/ctrlProps/ctrlProp990.xml><?xml version="1.0" encoding="utf-8"?>
<formControlPr xmlns="http://schemas.microsoft.com/office/spreadsheetml/2009/9/main" objectType="CheckBox" fmlaLink="$A$35" lockText="1" noThreeD="1"/>
</file>

<file path=xl/ctrlProps/ctrlProp991.xml><?xml version="1.0" encoding="utf-8"?>
<formControlPr xmlns="http://schemas.microsoft.com/office/spreadsheetml/2009/9/main" objectType="CheckBox" fmlaLink="$A$36" lockText="1" noThreeD="1"/>
</file>

<file path=xl/ctrlProps/ctrlProp992.xml><?xml version="1.0" encoding="utf-8"?>
<formControlPr xmlns="http://schemas.microsoft.com/office/spreadsheetml/2009/9/main" objectType="CheckBox" fmlaLink="$A$37" lockText="1" noThreeD="1"/>
</file>

<file path=xl/ctrlProps/ctrlProp993.xml><?xml version="1.0" encoding="utf-8"?>
<formControlPr xmlns="http://schemas.microsoft.com/office/spreadsheetml/2009/9/main" objectType="Button" lockText="1"/>
</file>

<file path=xl/ctrlProps/ctrlProp994.xml><?xml version="1.0" encoding="utf-8"?>
<formControlPr xmlns="http://schemas.microsoft.com/office/spreadsheetml/2009/9/main" objectType="Button" lockText="1"/>
</file>

<file path=xl/ctrlProps/ctrlProp995.xml><?xml version="1.0" encoding="utf-8"?>
<formControlPr xmlns="http://schemas.microsoft.com/office/spreadsheetml/2009/9/main" objectType="CheckBox" fmlaLink="$D$33" lockText="1" noThreeD="1"/>
</file>

<file path=xl/ctrlProps/ctrlProp996.xml><?xml version="1.0" encoding="utf-8"?>
<formControlPr xmlns="http://schemas.microsoft.com/office/spreadsheetml/2009/9/main" objectType="CheckBox" lockText="1" noThreeD="1"/>
</file>

<file path=xl/ctrlProps/ctrlProp997.xml><?xml version="1.0" encoding="utf-8"?>
<formControlPr xmlns="http://schemas.microsoft.com/office/spreadsheetml/2009/9/main" objectType="CheckBox" lockText="1" noThreeD="1"/>
</file>

<file path=xl/ctrlProps/ctrlProp998.xml><?xml version="1.0" encoding="utf-8"?>
<formControlPr xmlns="http://schemas.microsoft.com/office/spreadsheetml/2009/9/main" objectType="CheckBox" lockText="1" noThreeD="1"/>
</file>

<file path=xl/ctrlProps/ctrlProp999.xml><?xml version="1.0" encoding="utf-8"?>
<formControlPr xmlns="http://schemas.microsoft.com/office/spreadsheetml/2009/9/main" objectType="CheckBox" lockText="1" noThreeD="1"/>
</file>

<file path=xl/ctrlProps/ctrlProp1000.xml><?xml version="1.0" encoding="utf-8"?>
<formControlPr xmlns="http://schemas.microsoft.com/office/spreadsheetml/2009/9/main" objectType="CheckBox" lockText="1" noThreeD="1"/>
</file>

<file path=xl/ctrlProps/ctrlProp1001.xml><?xml version="1.0" encoding="utf-8"?>
<formControlPr xmlns="http://schemas.microsoft.com/office/spreadsheetml/2009/9/main" objectType="CheckBox" lockText="1" noThreeD="1"/>
</file>

<file path=xl/ctrlProps/ctrlProp1002.xml><?xml version="1.0" encoding="utf-8"?>
<formControlPr xmlns="http://schemas.microsoft.com/office/spreadsheetml/2009/9/main" objectType="CheckBox" lockText="1" noThreeD="1"/>
</file>

<file path=xl/ctrlProps/ctrlProp1003.xml><?xml version="1.0" encoding="utf-8"?>
<formControlPr xmlns="http://schemas.microsoft.com/office/spreadsheetml/2009/9/main" objectType="CheckBox" fmlaLink="$A$43" lockText="1" noThreeD="1"/>
</file>

<file path=xl/ctrlProps/ctrlProp1004.xml><?xml version="1.0" encoding="utf-8"?>
<formControlPr xmlns="http://schemas.microsoft.com/office/spreadsheetml/2009/9/main" objectType="CheckBox" fmlaLink="$A$44" lockText="1" noThreeD="1"/>
</file>

<file path=xl/ctrlProps/ctrlProp1005.xml><?xml version="1.0" encoding="utf-8"?>
<formControlPr xmlns="http://schemas.microsoft.com/office/spreadsheetml/2009/9/main" objectType="CheckBox" fmlaLink="$A$45" lockText="1" noThreeD="1"/>
</file>

<file path=xl/ctrlProps/ctrlProp1006.xml><?xml version="1.0" encoding="utf-8"?>
<formControlPr xmlns="http://schemas.microsoft.com/office/spreadsheetml/2009/9/main" objectType="CheckBox" fmlaLink="$A$46" lockText="1" noThreeD="1"/>
</file>

<file path=xl/ctrlProps/ctrlProp1007.xml><?xml version="1.0" encoding="utf-8"?>
<formControlPr xmlns="http://schemas.microsoft.com/office/spreadsheetml/2009/9/main" objectType="CheckBox" fmlaLink="$A$47" lockText="1" noThreeD="1"/>
</file>

<file path=xl/ctrlProps/ctrlProp1008.xml><?xml version="1.0" encoding="utf-8"?>
<formControlPr xmlns="http://schemas.microsoft.com/office/spreadsheetml/2009/9/main" objectType="CheckBox" fmlaLink="$A$48" lockText="1" noThreeD="1"/>
</file>

<file path=xl/ctrlProps/ctrlProp1009.xml><?xml version="1.0" encoding="utf-8"?>
<formControlPr xmlns="http://schemas.microsoft.com/office/spreadsheetml/2009/9/main" objectType="CheckBox" fmlaLink="$A$49" lockText="1" noThreeD="1"/>
</file>

<file path=xl/ctrlProps/ctrlProp1010.xml><?xml version="1.0" encoding="utf-8"?>
<formControlPr xmlns="http://schemas.microsoft.com/office/spreadsheetml/2009/9/main" objectType="Button" lockText="1"/>
</file>

<file path=xl/ctrlProps/ctrlProp1011.xml><?xml version="1.0" encoding="utf-8"?>
<formControlPr xmlns="http://schemas.microsoft.com/office/spreadsheetml/2009/9/main" objectType="Button" lockText="1"/>
</file>

<file path=xl/ctrlProps/ctrlProp1012.xml><?xml version="1.0" encoding="utf-8"?>
<formControlPr xmlns="http://schemas.microsoft.com/office/spreadsheetml/2009/9/main" objectType="CheckBox" fmlaLink="$A$40" lockText="1" noThreeD="1"/>
</file>

<file path=xl/ctrlProps/ctrlProp1013.xml><?xml version="1.0" encoding="utf-8"?>
<formControlPr xmlns="http://schemas.microsoft.com/office/spreadsheetml/2009/9/main" objectType="Button" lockText="1"/>
</file>

<file path=xl/ctrlProps/ctrlProp1014.xml><?xml version="1.0" encoding="utf-8"?>
<formControlPr xmlns="http://schemas.microsoft.com/office/spreadsheetml/2009/9/main" objectType="Button" lockText="1"/>
</file>

<file path=xl/ctrlProps/ctrlProp1015.xml><?xml version="1.0" encoding="utf-8"?>
<formControlPr xmlns="http://schemas.microsoft.com/office/spreadsheetml/2009/9/main" objectType="Button" lockText="1"/>
</file>

<file path=xl/ctrlProps/ctrlProp1016.xml><?xml version="1.0" encoding="utf-8"?>
<formControlPr xmlns="http://schemas.microsoft.com/office/spreadsheetml/2009/9/main" objectType="Button" lockText="1"/>
</file>

<file path=xl/ctrlProps/ctrlProp1017.xml><?xml version="1.0" encoding="utf-8"?>
<formControlPr xmlns="http://schemas.microsoft.com/office/spreadsheetml/2009/9/main" objectType="CheckBox" fmlaLink="$A$49" lockText="1" noThreeD="1"/>
</file>

<file path=xl/ctrlProps/ctrlProp1018.xml><?xml version="1.0" encoding="utf-8"?>
<formControlPr xmlns="http://schemas.microsoft.com/office/spreadsheetml/2009/9/main" objectType="CheckBox" fmlaLink="$A$28" lockText="1" noThreeD="1"/>
</file>

<file path=xl/ctrlProps/ctrlProp1019.xml><?xml version="1.0" encoding="utf-8"?>
<formControlPr xmlns="http://schemas.microsoft.com/office/spreadsheetml/2009/9/main" objectType="CheckBox" fmlaLink="$A$29" lockText="1" noThreeD="1"/>
</file>

<file path=xl/ctrlProps/ctrlProp1020.xml><?xml version="1.0" encoding="utf-8"?>
<formControlPr xmlns="http://schemas.microsoft.com/office/spreadsheetml/2009/9/main" objectType="CheckBox" fmlaLink="$A$30" lockText="1" noThreeD="1"/>
</file>

<file path=xl/ctrlProps/ctrlProp1021.xml><?xml version="1.0" encoding="utf-8"?>
<formControlPr xmlns="http://schemas.microsoft.com/office/spreadsheetml/2009/9/main" objectType="CheckBox" fmlaLink="$A$31" lockText="1" noThreeD="1"/>
</file>

<file path=xl/ctrlProps/ctrlProp1022.xml><?xml version="1.0" encoding="utf-8"?>
<formControlPr xmlns="http://schemas.microsoft.com/office/spreadsheetml/2009/9/main" objectType="CheckBox" fmlaLink="$E$28" lockText="1" noThreeD="1"/>
</file>

<file path=xl/ctrlProps/ctrlProp1023.xml><?xml version="1.0" encoding="utf-8"?>
<formControlPr xmlns="http://schemas.microsoft.com/office/spreadsheetml/2009/9/main" objectType="CheckBox" fmlaLink="$E$29" lockText="1" noThreeD="1"/>
</file>

<file path=xl/ctrlProps/ctrlProp1024.xml><?xml version="1.0" encoding="utf-8"?>
<formControlPr xmlns="http://schemas.microsoft.com/office/spreadsheetml/2009/9/main" objectType="CheckBox" fmlaLink="$E$30" lockText="1" noThreeD="1"/>
</file>

<file path=xl/ctrlProps/ctrlProp1025.xml><?xml version="1.0" encoding="utf-8"?>
<formControlPr xmlns="http://schemas.microsoft.com/office/spreadsheetml/2009/9/main" objectType="CheckBox" fmlaLink="$A$33" lockText="1" noThreeD="1"/>
</file>

<file path=xl/ctrlProps/ctrlProp1026.xml><?xml version="1.0" encoding="utf-8"?>
<formControlPr xmlns="http://schemas.microsoft.com/office/spreadsheetml/2009/9/main" objectType="CheckBox" fmlaLink="$A$34" lockText="1" noThreeD="1"/>
</file>

<file path=xl/ctrlProps/ctrlProp1027.xml><?xml version="1.0" encoding="utf-8"?>
<formControlPr xmlns="http://schemas.microsoft.com/office/spreadsheetml/2009/9/main" objectType="CheckBox" fmlaLink="$A$35" lockText="1" noThreeD="1"/>
</file>

<file path=xl/ctrlProps/ctrlProp1028.xml><?xml version="1.0" encoding="utf-8"?>
<formControlPr xmlns="http://schemas.microsoft.com/office/spreadsheetml/2009/9/main" objectType="CheckBox" fmlaLink="$A$36" lockText="1" noThreeD="1"/>
</file>

<file path=xl/ctrlProps/ctrlProp1029.xml><?xml version="1.0" encoding="utf-8"?>
<formControlPr xmlns="http://schemas.microsoft.com/office/spreadsheetml/2009/9/main" objectType="CheckBox" fmlaLink="$A$37" lockText="1" noThreeD="1"/>
</file>

<file path=xl/ctrlProps/ctrlProp1030.xml><?xml version="1.0" encoding="utf-8"?>
<formControlPr xmlns="http://schemas.microsoft.com/office/spreadsheetml/2009/9/main" objectType="Button" lockText="1"/>
</file>

<file path=xl/ctrlProps/ctrlProp1031.xml><?xml version="1.0" encoding="utf-8"?>
<formControlPr xmlns="http://schemas.microsoft.com/office/spreadsheetml/2009/9/main" objectType="Button" lockText="1"/>
</file>

<file path=xl/ctrlProps/ctrlProp1032.xml><?xml version="1.0" encoding="utf-8"?>
<formControlPr xmlns="http://schemas.microsoft.com/office/spreadsheetml/2009/9/main" objectType="CheckBox" fmlaLink="$D$33" lockText="1" noThreeD="1"/>
</file>

<file path=xl/ctrlProps/ctrlProp1033.xml><?xml version="1.0" encoding="utf-8"?>
<formControlPr xmlns="http://schemas.microsoft.com/office/spreadsheetml/2009/9/main" objectType="CheckBox" lockText="1" noThreeD="1"/>
</file>

<file path=xl/ctrlProps/ctrlProp1034.xml><?xml version="1.0" encoding="utf-8"?>
<formControlPr xmlns="http://schemas.microsoft.com/office/spreadsheetml/2009/9/main" objectType="CheckBox" lockText="1" noThreeD="1"/>
</file>

<file path=xl/ctrlProps/ctrlProp1035.xml><?xml version="1.0" encoding="utf-8"?>
<formControlPr xmlns="http://schemas.microsoft.com/office/spreadsheetml/2009/9/main" objectType="CheckBox" lockText="1" noThreeD="1"/>
</file>

<file path=xl/ctrlProps/ctrlProp1036.xml><?xml version="1.0" encoding="utf-8"?>
<formControlPr xmlns="http://schemas.microsoft.com/office/spreadsheetml/2009/9/main" objectType="CheckBox" lockText="1" noThreeD="1"/>
</file>

<file path=xl/ctrlProps/ctrlProp1037.xml><?xml version="1.0" encoding="utf-8"?>
<formControlPr xmlns="http://schemas.microsoft.com/office/spreadsheetml/2009/9/main" objectType="CheckBox" lockText="1" noThreeD="1"/>
</file>

<file path=xl/ctrlProps/ctrlProp1038.xml><?xml version="1.0" encoding="utf-8"?>
<formControlPr xmlns="http://schemas.microsoft.com/office/spreadsheetml/2009/9/main" objectType="CheckBox" lockText="1" noThreeD="1"/>
</file>

<file path=xl/ctrlProps/ctrlProp1039.xml><?xml version="1.0" encoding="utf-8"?>
<formControlPr xmlns="http://schemas.microsoft.com/office/spreadsheetml/2009/9/main" objectType="CheckBox" lockText="1" noThreeD="1"/>
</file>

<file path=xl/ctrlProps/ctrlProp1040.xml><?xml version="1.0" encoding="utf-8"?>
<formControlPr xmlns="http://schemas.microsoft.com/office/spreadsheetml/2009/9/main" objectType="CheckBox" fmlaLink="$A$43" lockText="1" noThreeD="1"/>
</file>

<file path=xl/ctrlProps/ctrlProp1041.xml><?xml version="1.0" encoding="utf-8"?>
<formControlPr xmlns="http://schemas.microsoft.com/office/spreadsheetml/2009/9/main" objectType="CheckBox" fmlaLink="$A$44" lockText="1" noThreeD="1"/>
</file>

<file path=xl/ctrlProps/ctrlProp1042.xml><?xml version="1.0" encoding="utf-8"?>
<formControlPr xmlns="http://schemas.microsoft.com/office/spreadsheetml/2009/9/main" objectType="CheckBox" fmlaLink="$A$45" lockText="1" noThreeD="1"/>
</file>

<file path=xl/ctrlProps/ctrlProp1043.xml><?xml version="1.0" encoding="utf-8"?>
<formControlPr xmlns="http://schemas.microsoft.com/office/spreadsheetml/2009/9/main" objectType="CheckBox" fmlaLink="$A$46" lockText="1" noThreeD="1"/>
</file>

<file path=xl/ctrlProps/ctrlProp1044.xml><?xml version="1.0" encoding="utf-8"?>
<formControlPr xmlns="http://schemas.microsoft.com/office/spreadsheetml/2009/9/main" objectType="CheckBox" fmlaLink="$A$47" lockText="1" noThreeD="1"/>
</file>

<file path=xl/ctrlProps/ctrlProp1045.xml><?xml version="1.0" encoding="utf-8"?>
<formControlPr xmlns="http://schemas.microsoft.com/office/spreadsheetml/2009/9/main" objectType="CheckBox" fmlaLink="$A$48" lockText="1" noThreeD="1"/>
</file>

<file path=xl/ctrlProps/ctrlProp1046.xml><?xml version="1.0" encoding="utf-8"?>
<formControlPr xmlns="http://schemas.microsoft.com/office/spreadsheetml/2009/9/main" objectType="CheckBox" fmlaLink="$A$49" lockText="1" noThreeD="1"/>
</file>

<file path=xl/ctrlProps/ctrlProp1047.xml><?xml version="1.0" encoding="utf-8"?>
<formControlPr xmlns="http://schemas.microsoft.com/office/spreadsheetml/2009/9/main" objectType="Button" lockText="1"/>
</file>

<file path=xl/ctrlProps/ctrlProp1048.xml><?xml version="1.0" encoding="utf-8"?>
<formControlPr xmlns="http://schemas.microsoft.com/office/spreadsheetml/2009/9/main" objectType="Button" lockText="1"/>
</file>

<file path=xl/ctrlProps/ctrlProp1049.xml><?xml version="1.0" encoding="utf-8"?>
<formControlPr xmlns="http://schemas.microsoft.com/office/spreadsheetml/2009/9/main" objectType="CheckBox" fmlaLink="$A$40" lockText="1" noThreeD="1"/>
</file>

<file path=xl/ctrlProps/ctrlProp1050.xml><?xml version="1.0" encoding="utf-8"?>
<formControlPr xmlns="http://schemas.microsoft.com/office/spreadsheetml/2009/9/main" objectType="Button" lockText="1"/>
</file>

<file path=xl/ctrlProps/ctrlProp1051.xml><?xml version="1.0" encoding="utf-8"?>
<formControlPr xmlns="http://schemas.microsoft.com/office/spreadsheetml/2009/9/main" objectType="Button" lockText="1"/>
</file>

<file path=xl/ctrlProps/ctrlProp1052.xml><?xml version="1.0" encoding="utf-8"?>
<formControlPr xmlns="http://schemas.microsoft.com/office/spreadsheetml/2009/9/main" objectType="Button" lockText="1"/>
</file>

<file path=xl/ctrlProps/ctrlProp1053.xml><?xml version="1.0" encoding="utf-8"?>
<formControlPr xmlns="http://schemas.microsoft.com/office/spreadsheetml/2009/9/main" objectType="Button" lockText="1"/>
</file>

<file path=xl/ctrlProps/ctrlProp1054.xml><?xml version="1.0" encoding="utf-8"?>
<formControlPr xmlns="http://schemas.microsoft.com/office/spreadsheetml/2009/9/main" objectType="CheckBox" fmlaLink="$A$49" lockText="1" noThreeD="1"/>
</file>

<file path=xl/ctrlProps/ctrlProp1055.xml><?xml version="1.0" encoding="utf-8"?>
<formControlPr xmlns="http://schemas.microsoft.com/office/spreadsheetml/2009/9/main" objectType="CheckBox" fmlaLink="$A$28" lockText="1" noThreeD="1"/>
</file>

<file path=xl/ctrlProps/ctrlProp1056.xml><?xml version="1.0" encoding="utf-8"?>
<formControlPr xmlns="http://schemas.microsoft.com/office/spreadsheetml/2009/9/main" objectType="CheckBox" fmlaLink="$A$29" lockText="1" noThreeD="1"/>
</file>

<file path=xl/ctrlProps/ctrlProp1057.xml><?xml version="1.0" encoding="utf-8"?>
<formControlPr xmlns="http://schemas.microsoft.com/office/spreadsheetml/2009/9/main" objectType="CheckBox" fmlaLink="$A$30" lockText="1" noThreeD="1"/>
</file>

<file path=xl/ctrlProps/ctrlProp1058.xml><?xml version="1.0" encoding="utf-8"?>
<formControlPr xmlns="http://schemas.microsoft.com/office/spreadsheetml/2009/9/main" objectType="CheckBox" fmlaLink="$A$31" lockText="1" noThreeD="1"/>
</file>

<file path=xl/ctrlProps/ctrlProp1059.xml><?xml version="1.0" encoding="utf-8"?>
<formControlPr xmlns="http://schemas.microsoft.com/office/spreadsheetml/2009/9/main" objectType="CheckBox" fmlaLink="$E$28" lockText="1" noThreeD="1"/>
</file>

<file path=xl/ctrlProps/ctrlProp1060.xml><?xml version="1.0" encoding="utf-8"?>
<formControlPr xmlns="http://schemas.microsoft.com/office/spreadsheetml/2009/9/main" objectType="CheckBox" fmlaLink="$E$29" lockText="1" noThreeD="1"/>
</file>

<file path=xl/ctrlProps/ctrlProp1061.xml><?xml version="1.0" encoding="utf-8"?>
<formControlPr xmlns="http://schemas.microsoft.com/office/spreadsheetml/2009/9/main" objectType="CheckBox" fmlaLink="$E$30" lockText="1" noThreeD="1"/>
</file>

<file path=xl/ctrlProps/ctrlProp1062.xml><?xml version="1.0" encoding="utf-8"?>
<formControlPr xmlns="http://schemas.microsoft.com/office/spreadsheetml/2009/9/main" objectType="CheckBox" fmlaLink="$A$33" lockText="1" noThreeD="1"/>
</file>

<file path=xl/ctrlProps/ctrlProp1063.xml><?xml version="1.0" encoding="utf-8"?>
<formControlPr xmlns="http://schemas.microsoft.com/office/spreadsheetml/2009/9/main" objectType="CheckBox" fmlaLink="$A$34" lockText="1" noThreeD="1"/>
</file>

<file path=xl/ctrlProps/ctrlProp1064.xml><?xml version="1.0" encoding="utf-8"?>
<formControlPr xmlns="http://schemas.microsoft.com/office/spreadsheetml/2009/9/main" objectType="CheckBox" fmlaLink="$A$35" lockText="1" noThreeD="1"/>
</file>

<file path=xl/ctrlProps/ctrlProp1065.xml><?xml version="1.0" encoding="utf-8"?>
<formControlPr xmlns="http://schemas.microsoft.com/office/spreadsheetml/2009/9/main" objectType="CheckBox" fmlaLink="$A$36" lockText="1" noThreeD="1"/>
</file>

<file path=xl/ctrlProps/ctrlProp1066.xml><?xml version="1.0" encoding="utf-8"?>
<formControlPr xmlns="http://schemas.microsoft.com/office/spreadsheetml/2009/9/main" objectType="CheckBox" fmlaLink="$A$37" lockText="1" noThreeD="1"/>
</file>

<file path=xl/ctrlProps/ctrlProp1067.xml><?xml version="1.0" encoding="utf-8"?>
<formControlPr xmlns="http://schemas.microsoft.com/office/spreadsheetml/2009/9/main" objectType="Button" lockText="1"/>
</file>

<file path=xl/ctrlProps/ctrlProp1068.xml><?xml version="1.0" encoding="utf-8"?>
<formControlPr xmlns="http://schemas.microsoft.com/office/spreadsheetml/2009/9/main" objectType="Button" lockText="1"/>
</file>

<file path=xl/ctrlProps/ctrlProp1069.xml><?xml version="1.0" encoding="utf-8"?>
<formControlPr xmlns="http://schemas.microsoft.com/office/spreadsheetml/2009/9/main" objectType="CheckBox" fmlaLink="$D$33" lockText="1" noThreeD="1"/>
</file>

<file path=xl/ctrlProps/ctrlProp1070.xml><?xml version="1.0" encoding="utf-8"?>
<formControlPr xmlns="http://schemas.microsoft.com/office/spreadsheetml/2009/9/main" objectType="CheckBox" lockText="1" noThreeD="1"/>
</file>

<file path=xl/ctrlProps/ctrlProp1071.xml><?xml version="1.0" encoding="utf-8"?>
<formControlPr xmlns="http://schemas.microsoft.com/office/spreadsheetml/2009/9/main" objectType="CheckBox" lockText="1" noThreeD="1"/>
</file>

<file path=xl/ctrlProps/ctrlProp1072.xml><?xml version="1.0" encoding="utf-8"?>
<formControlPr xmlns="http://schemas.microsoft.com/office/spreadsheetml/2009/9/main" objectType="CheckBox" lockText="1" noThreeD="1"/>
</file>

<file path=xl/ctrlProps/ctrlProp1073.xml><?xml version="1.0" encoding="utf-8"?>
<formControlPr xmlns="http://schemas.microsoft.com/office/spreadsheetml/2009/9/main" objectType="CheckBox" lockText="1" noThreeD="1"/>
</file>

<file path=xl/ctrlProps/ctrlProp1074.xml><?xml version="1.0" encoding="utf-8"?>
<formControlPr xmlns="http://schemas.microsoft.com/office/spreadsheetml/2009/9/main" objectType="CheckBox" lockText="1" noThreeD="1"/>
</file>

<file path=xl/ctrlProps/ctrlProp1075.xml><?xml version="1.0" encoding="utf-8"?>
<formControlPr xmlns="http://schemas.microsoft.com/office/spreadsheetml/2009/9/main" objectType="CheckBox" lockText="1" noThreeD="1"/>
</file>

<file path=xl/ctrlProps/ctrlProp1076.xml><?xml version="1.0" encoding="utf-8"?>
<formControlPr xmlns="http://schemas.microsoft.com/office/spreadsheetml/2009/9/main" objectType="CheckBox" lockText="1" noThreeD="1"/>
</file>

<file path=xl/ctrlProps/ctrlProp1077.xml><?xml version="1.0" encoding="utf-8"?>
<formControlPr xmlns="http://schemas.microsoft.com/office/spreadsheetml/2009/9/main" objectType="CheckBox" fmlaLink="$A$43" lockText="1" noThreeD="1"/>
</file>

<file path=xl/ctrlProps/ctrlProp1078.xml><?xml version="1.0" encoding="utf-8"?>
<formControlPr xmlns="http://schemas.microsoft.com/office/spreadsheetml/2009/9/main" objectType="CheckBox" fmlaLink="$A$44" lockText="1" noThreeD="1"/>
</file>

<file path=xl/ctrlProps/ctrlProp1079.xml><?xml version="1.0" encoding="utf-8"?>
<formControlPr xmlns="http://schemas.microsoft.com/office/spreadsheetml/2009/9/main" objectType="CheckBox" fmlaLink="$A$45" lockText="1" noThreeD="1"/>
</file>

<file path=xl/ctrlProps/ctrlProp1080.xml><?xml version="1.0" encoding="utf-8"?>
<formControlPr xmlns="http://schemas.microsoft.com/office/spreadsheetml/2009/9/main" objectType="CheckBox" fmlaLink="$A$46" lockText="1" noThreeD="1"/>
</file>

<file path=xl/ctrlProps/ctrlProp1081.xml><?xml version="1.0" encoding="utf-8"?>
<formControlPr xmlns="http://schemas.microsoft.com/office/spreadsheetml/2009/9/main" objectType="CheckBox" fmlaLink="$A$47" lockText="1" noThreeD="1"/>
</file>

<file path=xl/ctrlProps/ctrlProp1082.xml><?xml version="1.0" encoding="utf-8"?>
<formControlPr xmlns="http://schemas.microsoft.com/office/spreadsheetml/2009/9/main" objectType="CheckBox" fmlaLink="$A$48" lockText="1" noThreeD="1"/>
</file>

<file path=xl/ctrlProps/ctrlProp1083.xml><?xml version="1.0" encoding="utf-8"?>
<formControlPr xmlns="http://schemas.microsoft.com/office/spreadsheetml/2009/9/main" objectType="CheckBox" fmlaLink="$A$49" lockText="1" noThreeD="1"/>
</file>

<file path=xl/ctrlProps/ctrlProp1084.xml><?xml version="1.0" encoding="utf-8"?>
<formControlPr xmlns="http://schemas.microsoft.com/office/spreadsheetml/2009/9/main" objectType="Button" lockText="1"/>
</file>

<file path=xl/ctrlProps/ctrlProp1085.xml><?xml version="1.0" encoding="utf-8"?>
<formControlPr xmlns="http://schemas.microsoft.com/office/spreadsheetml/2009/9/main" objectType="Button" lockText="1"/>
</file>

<file path=xl/ctrlProps/ctrlProp1086.xml><?xml version="1.0" encoding="utf-8"?>
<formControlPr xmlns="http://schemas.microsoft.com/office/spreadsheetml/2009/9/main" objectType="CheckBox" fmlaLink="$A$40" lockText="1" noThreeD="1"/>
</file>

<file path=xl/ctrlProps/ctrlProp1087.xml><?xml version="1.0" encoding="utf-8"?>
<formControlPr xmlns="http://schemas.microsoft.com/office/spreadsheetml/2009/9/main" objectType="Button" lockText="1"/>
</file>

<file path=xl/ctrlProps/ctrlProp1088.xml><?xml version="1.0" encoding="utf-8"?>
<formControlPr xmlns="http://schemas.microsoft.com/office/spreadsheetml/2009/9/main" objectType="Button" lockText="1"/>
</file>

<file path=xl/ctrlProps/ctrlProp1089.xml><?xml version="1.0" encoding="utf-8"?>
<formControlPr xmlns="http://schemas.microsoft.com/office/spreadsheetml/2009/9/main" objectType="Button" lockText="1"/>
</file>

<file path=xl/ctrlProps/ctrlProp1090.xml><?xml version="1.0" encoding="utf-8"?>
<formControlPr xmlns="http://schemas.microsoft.com/office/spreadsheetml/2009/9/main" objectType="Button" lockText="1"/>
</file>

<file path=xl/ctrlProps/ctrlProp1091.xml><?xml version="1.0" encoding="utf-8"?>
<formControlPr xmlns="http://schemas.microsoft.com/office/spreadsheetml/2009/9/main" objectType="CheckBox" fmlaLink="$A$49" lockText="1" noThreeD="1"/>
</file>

<file path=xl/ctrlProps/ctrlProp1092.xml><?xml version="1.0" encoding="utf-8"?>
<formControlPr xmlns="http://schemas.microsoft.com/office/spreadsheetml/2009/9/main" objectType="CheckBox" fmlaLink="$A$28" lockText="1" noThreeD="1"/>
</file>

<file path=xl/ctrlProps/ctrlProp1093.xml><?xml version="1.0" encoding="utf-8"?>
<formControlPr xmlns="http://schemas.microsoft.com/office/spreadsheetml/2009/9/main" objectType="CheckBox" fmlaLink="$A$29" lockText="1" noThreeD="1"/>
</file>

<file path=xl/ctrlProps/ctrlProp1094.xml><?xml version="1.0" encoding="utf-8"?>
<formControlPr xmlns="http://schemas.microsoft.com/office/spreadsheetml/2009/9/main" objectType="CheckBox" fmlaLink="$A$30" lockText="1" noThreeD="1"/>
</file>

<file path=xl/ctrlProps/ctrlProp1095.xml><?xml version="1.0" encoding="utf-8"?>
<formControlPr xmlns="http://schemas.microsoft.com/office/spreadsheetml/2009/9/main" objectType="CheckBox" fmlaLink="$A$31" lockText="1" noThreeD="1"/>
</file>

<file path=xl/ctrlProps/ctrlProp1096.xml><?xml version="1.0" encoding="utf-8"?>
<formControlPr xmlns="http://schemas.microsoft.com/office/spreadsheetml/2009/9/main" objectType="CheckBox" fmlaLink="$E$28" lockText="1" noThreeD="1"/>
</file>

<file path=xl/ctrlProps/ctrlProp1097.xml><?xml version="1.0" encoding="utf-8"?>
<formControlPr xmlns="http://schemas.microsoft.com/office/spreadsheetml/2009/9/main" objectType="CheckBox" fmlaLink="$E$29" lockText="1" noThreeD="1"/>
</file>

<file path=xl/ctrlProps/ctrlProp1098.xml><?xml version="1.0" encoding="utf-8"?>
<formControlPr xmlns="http://schemas.microsoft.com/office/spreadsheetml/2009/9/main" objectType="CheckBox" fmlaLink="$E$30" lockText="1" noThreeD="1"/>
</file>

<file path=xl/ctrlProps/ctrlProp1099.xml><?xml version="1.0" encoding="utf-8"?>
<formControlPr xmlns="http://schemas.microsoft.com/office/spreadsheetml/2009/9/main" objectType="CheckBox" fmlaLink="$A$33" lockText="1" noThreeD="1"/>
</file>

<file path=xl/ctrlProps/ctrlProp1100.xml><?xml version="1.0" encoding="utf-8"?>
<formControlPr xmlns="http://schemas.microsoft.com/office/spreadsheetml/2009/9/main" objectType="CheckBox" fmlaLink="$A$34" lockText="1" noThreeD="1"/>
</file>

<file path=xl/ctrlProps/ctrlProp1101.xml><?xml version="1.0" encoding="utf-8"?>
<formControlPr xmlns="http://schemas.microsoft.com/office/spreadsheetml/2009/9/main" objectType="CheckBox" fmlaLink="$A$35" lockText="1" noThreeD="1"/>
</file>

<file path=xl/ctrlProps/ctrlProp1102.xml><?xml version="1.0" encoding="utf-8"?>
<formControlPr xmlns="http://schemas.microsoft.com/office/spreadsheetml/2009/9/main" objectType="CheckBox" fmlaLink="$A$36" lockText="1" noThreeD="1"/>
</file>

<file path=xl/ctrlProps/ctrlProp1103.xml><?xml version="1.0" encoding="utf-8"?>
<formControlPr xmlns="http://schemas.microsoft.com/office/spreadsheetml/2009/9/main" objectType="CheckBox" fmlaLink="$A$37" lockText="1" noThreeD="1"/>
</file>

<file path=xl/ctrlProps/ctrlProp1104.xml><?xml version="1.0" encoding="utf-8"?>
<formControlPr xmlns="http://schemas.microsoft.com/office/spreadsheetml/2009/9/main" objectType="Button" lockText="1"/>
</file>

<file path=xl/ctrlProps/ctrlProp1105.xml><?xml version="1.0" encoding="utf-8"?>
<formControlPr xmlns="http://schemas.microsoft.com/office/spreadsheetml/2009/9/main" objectType="Button" lockText="1"/>
</file>

<file path=xl/ctrlProps/ctrlProp1106.xml><?xml version="1.0" encoding="utf-8"?>
<formControlPr xmlns="http://schemas.microsoft.com/office/spreadsheetml/2009/9/main" objectType="CheckBox" fmlaLink="$D$33" lockText="1" noThreeD="1"/>
</file>

<file path=xl/ctrlProps/ctrlProp1107.xml><?xml version="1.0" encoding="utf-8"?>
<formControlPr xmlns="http://schemas.microsoft.com/office/spreadsheetml/2009/9/main" objectType="CheckBox" lockText="1" noThreeD="1"/>
</file>

<file path=xl/ctrlProps/ctrlProp1108.xml><?xml version="1.0" encoding="utf-8"?>
<formControlPr xmlns="http://schemas.microsoft.com/office/spreadsheetml/2009/9/main" objectType="CheckBox" lockText="1" noThreeD="1"/>
</file>

<file path=xl/ctrlProps/ctrlProp1109.xml><?xml version="1.0" encoding="utf-8"?>
<formControlPr xmlns="http://schemas.microsoft.com/office/spreadsheetml/2009/9/main" objectType="CheckBox" lockText="1" noThreeD="1"/>
</file>

<file path=xl/ctrlProps/ctrlProp1110.xml><?xml version="1.0" encoding="utf-8"?>
<formControlPr xmlns="http://schemas.microsoft.com/office/spreadsheetml/2009/9/main" objectType="CheckBox" lockText="1" noThreeD="1"/>
</file>

<file path=xl/ctrlProps/ctrlProp1111.xml><?xml version="1.0" encoding="utf-8"?>
<formControlPr xmlns="http://schemas.microsoft.com/office/spreadsheetml/2009/9/main" objectType="CheckBox" lockText="1" noThreeD="1"/>
</file>

<file path=xl/ctrlProps/ctrlProp1112.xml><?xml version="1.0" encoding="utf-8"?>
<formControlPr xmlns="http://schemas.microsoft.com/office/spreadsheetml/2009/9/main" objectType="CheckBox" lockText="1" noThreeD="1"/>
</file>

<file path=xl/ctrlProps/ctrlProp1113.xml><?xml version="1.0" encoding="utf-8"?>
<formControlPr xmlns="http://schemas.microsoft.com/office/spreadsheetml/2009/9/main" objectType="CheckBox" lockText="1" noThreeD="1"/>
</file>

<file path=xl/ctrlProps/ctrlProp1114.xml><?xml version="1.0" encoding="utf-8"?>
<formControlPr xmlns="http://schemas.microsoft.com/office/spreadsheetml/2009/9/main" objectType="CheckBox" fmlaLink="$A$43" lockText="1" noThreeD="1"/>
</file>

<file path=xl/ctrlProps/ctrlProp1115.xml><?xml version="1.0" encoding="utf-8"?>
<formControlPr xmlns="http://schemas.microsoft.com/office/spreadsheetml/2009/9/main" objectType="CheckBox" fmlaLink="$A$44" lockText="1" noThreeD="1"/>
</file>

<file path=xl/ctrlProps/ctrlProp1116.xml><?xml version="1.0" encoding="utf-8"?>
<formControlPr xmlns="http://schemas.microsoft.com/office/spreadsheetml/2009/9/main" objectType="CheckBox" fmlaLink="$A$45" lockText="1" noThreeD="1"/>
</file>

<file path=xl/ctrlProps/ctrlProp1117.xml><?xml version="1.0" encoding="utf-8"?>
<formControlPr xmlns="http://schemas.microsoft.com/office/spreadsheetml/2009/9/main" objectType="CheckBox" fmlaLink="$A$46" lockText="1" noThreeD="1"/>
</file>

<file path=xl/ctrlProps/ctrlProp1118.xml><?xml version="1.0" encoding="utf-8"?>
<formControlPr xmlns="http://schemas.microsoft.com/office/spreadsheetml/2009/9/main" objectType="CheckBox" fmlaLink="$A$47" lockText="1" noThreeD="1"/>
</file>

<file path=xl/ctrlProps/ctrlProp1119.xml><?xml version="1.0" encoding="utf-8"?>
<formControlPr xmlns="http://schemas.microsoft.com/office/spreadsheetml/2009/9/main" objectType="CheckBox" fmlaLink="$A$48" lockText="1" noThreeD="1"/>
</file>

<file path=xl/ctrlProps/ctrlProp1120.xml><?xml version="1.0" encoding="utf-8"?>
<formControlPr xmlns="http://schemas.microsoft.com/office/spreadsheetml/2009/9/main" objectType="CheckBox" fmlaLink="$A$49" lockText="1" noThreeD="1"/>
</file>

<file path=xl/ctrlProps/ctrlProp1121.xml><?xml version="1.0" encoding="utf-8"?>
<formControlPr xmlns="http://schemas.microsoft.com/office/spreadsheetml/2009/9/main" objectType="Button" lockText="1"/>
</file>

<file path=xl/ctrlProps/ctrlProp1122.xml><?xml version="1.0" encoding="utf-8"?>
<formControlPr xmlns="http://schemas.microsoft.com/office/spreadsheetml/2009/9/main" objectType="Button" lockText="1"/>
</file>

<file path=xl/ctrlProps/ctrlProp1123.xml><?xml version="1.0" encoding="utf-8"?>
<formControlPr xmlns="http://schemas.microsoft.com/office/spreadsheetml/2009/9/main" objectType="CheckBox" fmlaLink="$A$40" lockText="1" noThreeD="1"/>
</file>

<file path=xl/ctrlProps/ctrlProp1124.xml><?xml version="1.0" encoding="utf-8"?>
<formControlPr xmlns="http://schemas.microsoft.com/office/spreadsheetml/2009/9/main" objectType="Button" lockText="1"/>
</file>

<file path=xl/ctrlProps/ctrlProp1125.xml><?xml version="1.0" encoding="utf-8"?>
<formControlPr xmlns="http://schemas.microsoft.com/office/spreadsheetml/2009/9/main" objectType="Button" lockText="1"/>
</file>

<file path=xl/ctrlProps/ctrlProp1126.xml><?xml version="1.0" encoding="utf-8"?>
<formControlPr xmlns="http://schemas.microsoft.com/office/spreadsheetml/2009/9/main" objectType="Button" lockText="1"/>
</file>

<file path=xl/ctrlProps/ctrlProp1127.xml><?xml version="1.0" encoding="utf-8"?>
<formControlPr xmlns="http://schemas.microsoft.com/office/spreadsheetml/2009/9/main" objectType="Button" lockText="1"/>
</file>

<file path=xl/ctrlProps/ctrlProp1128.xml><?xml version="1.0" encoding="utf-8"?>
<formControlPr xmlns="http://schemas.microsoft.com/office/spreadsheetml/2009/9/main" objectType="CheckBox" fmlaLink="$A$49" lockText="1" noThreeD="1"/>
</file>

<file path=xl/ctrlProps/ctrlProp1129.xml><?xml version="1.0" encoding="utf-8"?>
<formControlPr xmlns="http://schemas.microsoft.com/office/spreadsheetml/2009/9/main" objectType="CheckBox" fmlaLink="$A$28" lockText="1" noThreeD="1"/>
</file>

<file path=xl/ctrlProps/ctrlProp1130.xml><?xml version="1.0" encoding="utf-8"?>
<formControlPr xmlns="http://schemas.microsoft.com/office/spreadsheetml/2009/9/main" objectType="CheckBox" fmlaLink="$A$29" lockText="1" noThreeD="1"/>
</file>

<file path=xl/ctrlProps/ctrlProp1131.xml><?xml version="1.0" encoding="utf-8"?>
<formControlPr xmlns="http://schemas.microsoft.com/office/spreadsheetml/2009/9/main" objectType="CheckBox" fmlaLink="$A$30" lockText="1" noThreeD="1"/>
</file>

<file path=xl/ctrlProps/ctrlProp1132.xml><?xml version="1.0" encoding="utf-8"?>
<formControlPr xmlns="http://schemas.microsoft.com/office/spreadsheetml/2009/9/main" objectType="CheckBox" fmlaLink="$A$31" lockText="1" noThreeD="1"/>
</file>

<file path=xl/ctrlProps/ctrlProp1133.xml><?xml version="1.0" encoding="utf-8"?>
<formControlPr xmlns="http://schemas.microsoft.com/office/spreadsheetml/2009/9/main" objectType="CheckBox" fmlaLink="$E$28" lockText="1" noThreeD="1"/>
</file>

<file path=xl/ctrlProps/ctrlProp1134.xml><?xml version="1.0" encoding="utf-8"?>
<formControlPr xmlns="http://schemas.microsoft.com/office/spreadsheetml/2009/9/main" objectType="CheckBox" fmlaLink="$E$29" lockText="1" noThreeD="1"/>
</file>

<file path=xl/ctrlProps/ctrlProp1135.xml><?xml version="1.0" encoding="utf-8"?>
<formControlPr xmlns="http://schemas.microsoft.com/office/spreadsheetml/2009/9/main" objectType="CheckBox" fmlaLink="$E$30" lockText="1" noThreeD="1"/>
</file>

<file path=xl/ctrlProps/ctrlProp1136.xml><?xml version="1.0" encoding="utf-8"?>
<formControlPr xmlns="http://schemas.microsoft.com/office/spreadsheetml/2009/9/main" objectType="CheckBox" fmlaLink="$A$33" lockText="1" noThreeD="1"/>
</file>

<file path=xl/ctrlProps/ctrlProp1137.xml><?xml version="1.0" encoding="utf-8"?>
<formControlPr xmlns="http://schemas.microsoft.com/office/spreadsheetml/2009/9/main" objectType="CheckBox" fmlaLink="$A$34" lockText="1" noThreeD="1"/>
</file>

<file path=xl/ctrlProps/ctrlProp1138.xml><?xml version="1.0" encoding="utf-8"?>
<formControlPr xmlns="http://schemas.microsoft.com/office/spreadsheetml/2009/9/main" objectType="CheckBox" fmlaLink="$A$35" lockText="1" noThreeD="1"/>
</file>

<file path=xl/ctrlProps/ctrlProp1139.xml><?xml version="1.0" encoding="utf-8"?>
<formControlPr xmlns="http://schemas.microsoft.com/office/spreadsheetml/2009/9/main" objectType="CheckBox" fmlaLink="$A$36" lockText="1" noThreeD="1"/>
</file>

<file path=xl/ctrlProps/ctrlProp1140.xml><?xml version="1.0" encoding="utf-8"?>
<formControlPr xmlns="http://schemas.microsoft.com/office/spreadsheetml/2009/9/main" objectType="CheckBox" fmlaLink="$A$37" lockText="1" noThreeD="1"/>
</file>

<file path=xl/ctrlProps/ctrlProp1141.xml><?xml version="1.0" encoding="utf-8"?>
<formControlPr xmlns="http://schemas.microsoft.com/office/spreadsheetml/2009/9/main" objectType="Button" lockText="1"/>
</file>

<file path=xl/ctrlProps/ctrlProp1142.xml><?xml version="1.0" encoding="utf-8"?>
<formControlPr xmlns="http://schemas.microsoft.com/office/spreadsheetml/2009/9/main" objectType="Button" lockText="1"/>
</file>

<file path=xl/ctrlProps/ctrlProp1143.xml><?xml version="1.0" encoding="utf-8"?>
<formControlPr xmlns="http://schemas.microsoft.com/office/spreadsheetml/2009/9/main" objectType="CheckBox" fmlaLink="$D$33" lockText="1" noThreeD="1"/>
</file>

<file path=xl/ctrlProps/ctrlProp1144.xml><?xml version="1.0" encoding="utf-8"?>
<formControlPr xmlns="http://schemas.microsoft.com/office/spreadsheetml/2009/9/main" objectType="CheckBox" lockText="1" noThreeD="1"/>
</file>

<file path=xl/ctrlProps/ctrlProp1145.xml><?xml version="1.0" encoding="utf-8"?>
<formControlPr xmlns="http://schemas.microsoft.com/office/spreadsheetml/2009/9/main" objectType="CheckBox" lockText="1" noThreeD="1"/>
</file>

<file path=xl/ctrlProps/ctrlProp1146.xml><?xml version="1.0" encoding="utf-8"?>
<formControlPr xmlns="http://schemas.microsoft.com/office/spreadsheetml/2009/9/main" objectType="CheckBox" lockText="1" noThreeD="1"/>
</file>

<file path=xl/ctrlProps/ctrlProp1147.xml><?xml version="1.0" encoding="utf-8"?>
<formControlPr xmlns="http://schemas.microsoft.com/office/spreadsheetml/2009/9/main" objectType="CheckBox" lockText="1" noThreeD="1"/>
</file>

<file path=xl/ctrlProps/ctrlProp1148.xml><?xml version="1.0" encoding="utf-8"?>
<formControlPr xmlns="http://schemas.microsoft.com/office/spreadsheetml/2009/9/main" objectType="CheckBox" lockText="1" noThreeD="1"/>
</file>

<file path=xl/ctrlProps/ctrlProp1149.xml><?xml version="1.0" encoding="utf-8"?>
<formControlPr xmlns="http://schemas.microsoft.com/office/spreadsheetml/2009/9/main" objectType="CheckBox" lockText="1" noThreeD="1"/>
</file>

<file path=xl/ctrlProps/ctrlProp1150.xml><?xml version="1.0" encoding="utf-8"?>
<formControlPr xmlns="http://schemas.microsoft.com/office/spreadsheetml/2009/9/main" objectType="CheckBox" lockText="1" noThreeD="1"/>
</file>

<file path=xl/ctrlProps/ctrlProp1151.xml><?xml version="1.0" encoding="utf-8"?>
<formControlPr xmlns="http://schemas.microsoft.com/office/spreadsheetml/2009/9/main" objectType="CheckBox" fmlaLink="$A$43" lockText="1" noThreeD="1"/>
</file>

<file path=xl/ctrlProps/ctrlProp1152.xml><?xml version="1.0" encoding="utf-8"?>
<formControlPr xmlns="http://schemas.microsoft.com/office/spreadsheetml/2009/9/main" objectType="CheckBox" fmlaLink="$A$44" lockText="1" noThreeD="1"/>
</file>

<file path=xl/ctrlProps/ctrlProp1153.xml><?xml version="1.0" encoding="utf-8"?>
<formControlPr xmlns="http://schemas.microsoft.com/office/spreadsheetml/2009/9/main" objectType="CheckBox" fmlaLink="$A$45" lockText="1" noThreeD="1"/>
</file>

<file path=xl/ctrlProps/ctrlProp1154.xml><?xml version="1.0" encoding="utf-8"?>
<formControlPr xmlns="http://schemas.microsoft.com/office/spreadsheetml/2009/9/main" objectType="CheckBox" fmlaLink="$A$46" lockText="1" noThreeD="1"/>
</file>

<file path=xl/ctrlProps/ctrlProp1155.xml><?xml version="1.0" encoding="utf-8"?>
<formControlPr xmlns="http://schemas.microsoft.com/office/spreadsheetml/2009/9/main" objectType="CheckBox" fmlaLink="$A$47" lockText="1" noThreeD="1"/>
</file>

<file path=xl/ctrlProps/ctrlProp1156.xml><?xml version="1.0" encoding="utf-8"?>
<formControlPr xmlns="http://schemas.microsoft.com/office/spreadsheetml/2009/9/main" objectType="CheckBox" fmlaLink="$A$48" lockText="1" noThreeD="1"/>
</file>

<file path=xl/ctrlProps/ctrlProp1157.xml><?xml version="1.0" encoding="utf-8"?>
<formControlPr xmlns="http://schemas.microsoft.com/office/spreadsheetml/2009/9/main" objectType="CheckBox" fmlaLink="$A$49" lockText="1" noThreeD="1"/>
</file>

<file path=xl/ctrlProps/ctrlProp1158.xml><?xml version="1.0" encoding="utf-8"?>
<formControlPr xmlns="http://schemas.microsoft.com/office/spreadsheetml/2009/9/main" objectType="Button" lockText="1"/>
</file>

<file path=xl/ctrlProps/ctrlProp1159.xml><?xml version="1.0" encoding="utf-8"?>
<formControlPr xmlns="http://schemas.microsoft.com/office/spreadsheetml/2009/9/main" objectType="Button" lockText="1"/>
</file>

<file path=xl/ctrlProps/ctrlProp1160.xml><?xml version="1.0" encoding="utf-8"?>
<formControlPr xmlns="http://schemas.microsoft.com/office/spreadsheetml/2009/9/main" objectType="CheckBox" fmlaLink="$A$40" lockText="1" noThreeD="1"/>
</file>

<file path=xl/ctrlProps/ctrlProp1161.xml><?xml version="1.0" encoding="utf-8"?>
<formControlPr xmlns="http://schemas.microsoft.com/office/spreadsheetml/2009/9/main" objectType="Button" lockText="1"/>
</file>

<file path=xl/ctrlProps/ctrlProp1162.xml><?xml version="1.0" encoding="utf-8"?>
<formControlPr xmlns="http://schemas.microsoft.com/office/spreadsheetml/2009/9/main" objectType="Button" lockText="1"/>
</file>

<file path=xl/ctrlProps/ctrlProp1163.xml><?xml version="1.0" encoding="utf-8"?>
<formControlPr xmlns="http://schemas.microsoft.com/office/spreadsheetml/2009/9/main" objectType="Button" lockText="1"/>
</file>

<file path=xl/ctrlProps/ctrlProp1164.xml><?xml version="1.0" encoding="utf-8"?>
<formControlPr xmlns="http://schemas.microsoft.com/office/spreadsheetml/2009/9/main" objectType="Button" lockText="1"/>
</file>

<file path=xl/ctrlProps/ctrlProp1165.xml><?xml version="1.0" encoding="utf-8"?>
<formControlPr xmlns="http://schemas.microsoft.com/office/spreadsheetml/2009/9/main" objectType="CheckBox" fmlaLink="$A$49" lockText="1" noThreeD="1"/>
</file>

<file path=xl/ctrlProps/ctrlProp1166.xml><?xml version="1.0" encoding="utf-8"?>
<formControlPr xmlns="http://schemas.microsoft.com/office/spreadsheetml/2009/9/main" objectType="CheckBox" fmlaLink="$A$28" lockText="1" noThreeD="1"/>
</file>

<file path=xl/ctrlProps/ctrlProp1167.xml><?xml version="1.0" encoding="utf-8"?>
<formControlPr xmlns="http://schemas.microsoft.com/office/spreadsheetml/2009/9/main" objectType="CheckBox" fmlaLink="$A$29" lockText="1" noThreeD="1"/>
</file>

<file path=xl/ctrlProps/ctrlProp1168.xml><?xml version="1.0" encoding="utf-8"?>
<formControlPr xmlns="http://schemas.microsoft.com/office/spreadsheetml/2009/9/main" objectType="CheckBox" fmlaLink="$A$30" lockText="1" noThreeD="1"/>
</file>

<file path=xl/ctrlProps/ctrlProp1169.xml><?xml version="1.0" encoding="utf-8"?>
<formControlPr xmlns="http://schemas.microsoft.com/office/spreadsheetml/2009/9/main" objectType="CheckBox" fmlaLink="$A$31" lockText="1" noThreeD="1"/>
</file>

<file path=xl/ctrlProps/ctrlProp1170.xml><?xml version="1.0" encoding="utf-8"?>
<formControlPr xmlns="http://schemas.microsoft.com/office/spreadsheetml/2009/9/main" objectType="CheckBox" fmlaLink="$E$28" lockText="1" noThreeD="1"/>
</file>

<file path=xl/ctrlProps/ctrlProp1171.xml><?xml version="1.0" encoding="utf-8"?>
<formControlPr xmlns="http://schemas.microsoft.com/office/spreadsheetml/2009/9/main" objectType="CheckBox" fmlaLink="$E$29" lockText="1" noThreeD="1"/>
</file>

<file path=xl/ctrlProps/ctrlProp1172.xml><?xml version="1.0" encoding="utf-8"?>
<formControlPr xmlns="http://schemas.microsoft.com/office/spreadsheetml/2009/9/main" objectType="CheckBox" fmlaLink="$E$30" lockText="1" noThreeD="1"/>
</file>

<file path=xl/ctrlProps/ctrlProp1173.xml><?xml version="1.0" encoding="utf-8"?>
<formControlPr xmlns="http://schemas.microsoft.com/office/spreadsheetml/2009/9/main" objectType="CheckBox" fmlaLink="$A$33" lockText="1" noThreeD="1"/>
</file>

<file path=xl/ctrlProps/ctrlProp1174.xml><?xml version="1.0" encoding="utf-8"?>
<formControlPr xmlns="http://schemas.microsoft.com/office/spreadsheetml/2009/9/main" objectType="CheckBox" fmlaLink="$A$34" lockText="1" noThreeD="1"/>
</file>

<file path=xl/ctrlProps/ctrlProp1175.xml><?xml version="1.0" encoding="utf-8"?>
<formControlPr xmlns="http://schemas.microsoft.com/office/spreadsheetml/2009/9/main" objectType="CheckBox" fmlaLink="$A$35" lockText="1" noThreeD="1"/>
</file>

<file path=xl/ctrlProps/ctrlProp1176.xml><?xml version="1.0" encoding="utf-8"?>
<formControlPr xmlns="http://schemas.microsoft.com/office/spreadsheetml/2009/9/main" objectType="CheckBox" fmlaLink="$A$36" lockText="1" noThreeD="1"/>
</file>

<file path=xl/ctrlProps/ctrlProp1177.xml><?xml version="1.0" encoding="utf-8"?>
<formControlPr xmlns="http://schemas.microsoft.com/office/spreadsheetml/2009/9/main" objectType="CheckBox" fmlaLink="$A$37" lockText="1" noThreeD="1"/>
</file>

<file path=xl/ctrlProps/ctrlProp1178.xml><?xml version="1.0" encoding="utf-8"?>
<formControlPr xmlns="http://schemas.microsoft.com/office/spreadsheetml/2009/9/main" objectType="Button" lockText="1"/>
</file>

<file path=xl/ctrlProps/ctrlProp1179.xml><?xml version="1.0" encoding="utf-8"?>
<formControlPr xmlns="http://schemas.microsoft.com/office/spreadsheetml/2009/9/main" objectType="Button" lockText="1"/>
</file>

<file path=xl/ctrlProps/ctrlProp1180.xml><?xml version="1.0" encoding="utf-8"?>
<formControlPr xmlns="http://schemas.microsoft.com/office/spreadsheetml/2009/9/main" objectType="CheckBox" fmlaLink="$D$33" lockText="1" noThreeD="1"/>
</file>

<file path=xl/ctrlProps/ctrlProp1181.xml><?xml version="1.0" encoding="utf-8"?>
<formControlPr xmlns="http://schemas.microsoft.com/office/spreadsheetml/2009/9/main" objectType="CheckBox" lockText="1" noThreeD="1"/>
</file>

<file path=xl/ctrlProps/ctrlProp1182.xml><?xml version="1.0" encoding="utf-8"?>
<formControlPr xmlns="http://schemas.microsoft.com/office/spreadsheetml/2009/9/main" objectType="CheckBox" lockText="1" noThreeD="1"/>
</file>

<file path=xl/ctrlProps/ctrlProp1183.xml><?xml version="1.0" encoding="utf-8"?>
<formControlPr xmlns="http://schemas.microsoft.com/office/spreadsheetml/2009/9/main" objectType="CheckBox" lockText="1" noThreeD="1"/>
</file>

<file path=xl/ctrlProps/ctrlProp1184.xml><?xml version="1.0" encoding="utf-8"?>
<formControlPr xmlns="http://schemas.microsoft.com/office/spreadsheetml/2009/9/main" objectType="CheckBox" lockText="1" noThreeD="1"/>
</file>

<file path=xl/ctrlProps/ctrlProp1185.xml><?xml version="1.0" encoding="utf-8"?>
<formControlPr xmlns="http://schemas.microsoft.com/office/spreadsheetml/2009/9/main" objectType="CheckBox" lockText="1" noThreeD="1"/>
</file>

<file path=xl/ctrlProps/ctrlProp1186.xml><?xml version="1.0" encoding="utf-8"?>
<formControlPr xmlns="http://schemas.microsoft.com/office/spreadsheetml/2009/9/main" objectType="CheckBox" lockText="1" noThreeD="1"/>
</file>

<file path=xl/ctrlProps/ctrlProp1187.xml><?xml version="1.0" encoding="utf-8"?>
<formControlPr xmlns="http://schemas.microsoft.com/office/spreadsheetml/2009/9/main" objectType="CheckBox" lockText="1" noThreeD="1"/>
</file>

<file path=xl/ctrlProps/ctrlProp1188.xml><?xml version="1.0" encoding="utf-8"?>
<formControlPr xmlns="http://schemas.microsoft.com/office/spreadsheetml/2009/9/main" objectType="CheckBox" fmlaLink="$A$43" lockText="1" noThreeD="1"/>
</file>

<file path=xl/ctrlProps/ctrlProp1189.xml><?xml version="1.0" encoding="utf-8"?>
<formControlPr xmlns="http://schemas.microsoft.com/office/spreadsheetml/2009/9/main" objectType="CheckBox" fmlaLink="$A$44" lockText="1" noThreeD="1"/>
</file>

<file path=xl/ctrlProps/ctrlProp1190.xml><?xml version="1.0" encoding="utf-8"?>
<formControlPr xmlns="http://schemas.microsoft.com/office/spreadsheetml/2009/9/main" objectType="CheckBox" fmlaLink="$A$45" lockText="1" noThreeD="1"/>
</file>

<file path=xl/ctrlProps/ctrlProp1191.xml><?xml version="1.0" encoding="utf-8"?>
<formControlPr xmlns="http://schemas.microsoft.com/office/spreadsheetml/2009/9/main" objectType="CheckBox" fmlaLink="$A$46" lockText="1" noThreeD="1"/>
</file>

<file path=xl/ctrlProps/ctrlProp1192.xml><?xml version="1.0" encoding="utf-8"?>
<formControlPr xmlns="http://schemas.microsoft.com/office/spreadsheetml/2009/9/main" objectType="CheckBox" fmlaLink="$A$47" lockText="1" noThreeD="1"/>
</file>

<file path=xl/ctrlProps/ctrlProp1193.xml><?xml version="1.0" encoding="utf-8"?>
<formControlPr xmlns="http://schemas.microsoft.com/office/spreadsheetml/2009/9/main" objectType="CheckBox" fmlaLink="$A$48" lockText="1" noThreeD="1"/>
</file>

<file path=xl/ctrlProps/ctrlProp1194.xml><?xml version="1.0" encoding="utf-8"?>
<formControlPr xmlns="http://schemas.microsoft.com/office/spreadsheetml/2009/9/main" objectType="CheckBox" fmlaLink="$A$49" lockText="1" noThreeD="1"/>
</file>

<file path=xl/ctrlProps/ctrlProp1195.xml><?xml version="1.0" encoding="utf-8"?>
<formControlPr xmlns="http://schemas.microsoft.com/office/spreadsheetml/2009/9/main" objectType="Button" lockText="1"/>
</file>

<file path=xl/ctrlProps/ctrlProp1196.xml><?xml version="1.0" encoding="utf-8"?>
<formControlPr xmlns="http://schemas.microsoft.com/office/spreadsheetml/2009/9/main" objectType="Button" lockText="1"/>
</file>

<file path=xl/ctrlProps/ctrlProp1197.xml><?xml version="1.0" encoding="utf-8"?>
<formControlPr xmlns="http://schemas.microsoft.com/office/spreadsheetml/2009/9/main" objectType="CheckBox" fmlaLink="$A$40" lockText="1" noThreeD="1"/>
</file>

<file path=xl/ctrlProps/ctrlProp1198.xml><?xml version="1.0" encoding="utf-8"?>
<formControlPr xmlns="http://schemas.microsoft.com/office/spreadsheetml/2009/9/main" objectType="Button" lockText="1"/>
</file>

<file path=xl/ctrlProps/ctrlProp1199.xml><?xml version="1.0" encoding="utf-8"?>
<formControlPr xmlns="http://schemas.microsoft.com/office/spreadsheetml/2009/9/main" objectType="Button" lockText="1"/>
</file>

<file path=xl/ctrlProps/ctrlProp1200.xml><?xml version="1.0" encoding="utf-8"?>
<formControlPr xmlns="http://schemas.microsoft.com/office/spreadsheetml/2009/9/main" objectType="Button" lockText="1"/>
</file>

<file path=xl/ctrlProps/ctrlProp1201.xml><?xml version="1.0" encoding="utf-8"?>
<formControlPr xmlns="http://schemas.microsoft.com/office/spreadsheetml/2009/9/main" objectType="Button" lockText="1"/>
</file>

<file path=xl/ctrlProps/ctrlProp1202.xml><?xml version="1.0" encoding="utf-8"?>
<formControlPr xmlns="http://schemas.microsoft.com/office/spreadsheetml/2009/9/main" objectType="CheckBox" fmlaLink="$A$49" lockText="1" noThreeD="1"/>
</file>

<file path=xl/ctrlProps/ctrlProp1203.xml><?xml version="1.0" encoding="utf-8"?>
<formControlPr xmlns="http://schemas.microsoft.com/office/spreadsheetml/2009/9/main" objectType="CheckBox" checked="Checked" fmlaLink="$A$28" lockText="1" noThreeD="1"/>
</file>

<file path=xl/ctrlProps/ctrlProp1204.xml><?xml version="1.0" encoding="utf-8"?>
<formControlPr xmlns="http://schemas.microsoft.com/office/spreadsheetml/2009/9/main" objectType="CheckBox" checked="Checked" fmlaLink="$A$29" lockText="1" noThreeD="1"/>
</file>

<file path=xl/ctrlProps/ctrlProp1205.xml><?xml version="1.0" encoding="utf-8"?>
<formControlPr xmlns="http://schemas.microsoft.com/office/spreadsheetml/2009/9/main" objectType="CheckBox" checked="Checked" fmlaLink="$A$30" lockText="1" noThreeD="1"/>
</file>

<file path=xl/ctrlProps/ctrlProp1206.xml><?xml version="1.0" encoding="utf-8"?>
<formControlPr xmlns="http://schemas.microsoft.com/office/spreadsheetml/2009/9/main" objectType="CheckBox" checked="Checked" fmlaLink="$A$31" lockText="1" noThreeD="1"/>
</file>

<file path=xl/ctrlProps/ctrlProp1207.xml><?xml version="1.0" encoding="utf-8"?>
<formControlPr xmlns="http://schemas.microsoft.com/office/spreadsheetml/2009/9/main" objectType="CheckBox" checked="Checked" fmlaLink="$E$28" lockText="1" noThreeD="1"/>
</file>

<file path=xl/ctrlProps/ctrlProp1208.xml><?xml version="1.0" encoding="utf-8"?>
<formControlPr xmlns="http://schemas.microsoft.com/office/spreadsheetml/2009/9/main" objectType="CheckBox" checked="Checked" fmlaLink="$E$29" lockText="1" noThreeD="1"/>
</file>

<file path=xl/ctrlProps/ctrlProp1209.xml><?xml version="1.0" encoding="utf-8"?>
<formControlPr xmlns="http://schemas.microsoft.com/office/spreadsheetml/2009/9/main" objectType="CheckBox" checked="Checked" fmlaLink="$E$30" lockText="1" noThreeD="1"/>
</file>

<file path=xl/ctrlProps/ctrlProp1210.xml><?xml version="1.0" encoding="utf-8"?>
<formControlPr xmlns="http://schemas.microsoft.com/office/spreadsheetml/2009/9/main" objectType="CheckBox" fmlaLink="$A$33" lockText="1" noThreeD="1"/>
</file>

<file path=xl/ctrlProps/ctrlProp1211.xml><?xml version="1.0" encoding="utf-8"?>
<formControlPr xmlns="http://schemas.microsoft.com/office/spreadsheetml/2009/9/main" objectType="CheckBox" fmlaLink="$A$34" lockText="1" noThreeD="1"/>
</file>

<file path=xl/ctrlProps/ctrlProp1212.xml><?xml version="1.0" encoding="utf-8"?>
<formControlPr xmlns="http://schemas.microsoft.com/office/spreadsheetml/2009/9/main" objectType="CheckBox" fmlaLink="$A$35" lockText="1" noThreeD="1"/>
</file>

<file path=xl/ctrlProps/ctrlProp1213.xml><?xml version="1.0" encoding="utf-8"?>
<formControlPr xmlns="http://schemas.microsoft.com/office/spreadsheetml/2009/9/main" objectType="CheckBox" fmlaLink="$A$36" lockText="1" noThreeD="1"/>
</file>

<file path=xl/ctrlProps/ctrlProp1214.xml><?xml version="1.0" encoding="utf-8"?>
<formControlPr xmlns="http://schemas.microsoft.com/office/spreadsheetml/2009/9/main" objectType="CheckBox" fmlaLink="$A$37" lockText="1" noThreeD="1"/>
</file>

<file path=xl/ctrlProps/ctrlProp1215.xml><?xml version="1.0" encoding="utf-8"?>
<formControlPr xmlns="http://schemas.microsoft.com/office/spreadsheetml/2009/9/main" objectType="Button" lockText="1"/>
</file>

<file path=xl/ctrlProps/ctrlProp1216.xml><?xml version="1.0" encoding="utf-8"?>
<formControlPr xmlns="http://schemas.microsoft.com/office/spreadsheetml/2009/9/main" objectType="Button" lockText="1"/>
</file>

<file path=xl/ctrlProps/ctrlProp1217.xml><?xml version="1.0" encoding="utf-8"?>
<formControlPr xmlns="http://schemas.microsoft.com/office/spreadsheetml/2009/9/main" objectType="CheckBox" fmlaLink="$D$33" lockText="1" noThreeD="1"/>
</file>

<file path=xl/ctrlProps/ctrlProp1218.xml><?xml version="1.0" encoding="utf-8"?>
<formControlPr xmlns="http://schemas.microsoft.com/office/spreadsheetml/2009/9/main" objectType="CheckBox" lockText="1" noThreeD="1"/>
</file>

<file path=xl/ctrlProps/ctrlProp1219.xml><?xml version="1.0" encoding="utf-8"?>
<formControlPr xmlns="http://schemas.microsoft.com/office/spreadsheetml/2009/9/main" objectType="CheckBox" lockText="1" noThreeD="1"/>
</file>

<file path=xl/ctrlProps/ctrlProp1220.xml><?xml version="1.0" encoding="utf-8"?>
<formControlPr xmlns="http://schemas.microsoft.com/office/spreadsheetml/2009/9/main" objectType="CheckBox" lockText="1" noThreeD="1"/>
</file>

<file path=xl/ctrlProps/ctrlProp1221.xml><?xml version="1.0" encoding="utf-8"?>
<formControlPr xmlns="http://schemas.microsoft.com/office/spreadsheetml/2009/9/main" objectType="CheckBox" lockText="1" noThreeD="1"/>
</file>

<file path=xl/ctrlProps/ctrlProp1222.xml><?xml version="1.0" encoding="utf-8"?>
<formControlPr xmlns="http://schemas.microsoft.com/office/spreadsheetml/2009/9/main" objectType="CheckBox" lockText="1" noThreeD="1"/>
</file>

<file path=xl/ctrlProps/ctrlProp1223.xml><?xml version="1.0" encoding="utf-8"?>
<formControlPr xmlns="http://schemas.microsoft.com/office/spreadsheetml/2009/9/main" objectType="CheckBox" lockText="1" noThreeD="1"/>
</file>

<file path=xl/ctrlProps/ctrlProp1224.xml><?xml version="1.0" encoding="utf-8"?>
<formControlPr xmlns="http://schemas.microsoft.com/office/spreadsheetml/2009/9/main" objectType="CheckBox" lockText="1" noThreeD="1"/>
</file>

<file path=xl/ctrlProps/ctrlProp1225.xml><?xml version="1.0" encoding="utf-8"?>
<formControlPr xmlns="http://schemas.microsoft.com/office/spreadsheetml/2009/9/main" objectType="CheckBox" fmlaLink="$A$43" lockText="1" noThreeD="1"/>
</file>

<file path=xl/ctrlProps/ctrlProp1226.xml><?xml version="1.0" encoding="utf-8"?>
<formControlPr xmlns="http://schemas.microsoft.com/office/spreadsheetml/2009/9/main" objectType="CheckBox" fmlaLink="$A$44" lockText="1" noThreeD="1"/>
</file>

<file path=xl/ctrlProps/ctrlProp1227.xml><?xml version="1.0" encoding="utf-8"?>
<formControlPr xmlns="http://schemas.microsoft.com/office/spreadsheetml/2009/9/main" objectType="CheckBox" fmlaLink="$A$45" lockText="1" noThreeD="1"/>
</file>

<file path=xl/ctrlProps/ctrlProp1228.xml><?xml version="1.0" encoding="utf-8"?>
<formControlPr xmlns="http://schemas.microsoft.com/office/spreadsheetml/2009/9/main" objectType="CheckBox" fmlaLink="$A$46" lockText="1" noThreeD="1"/>
</file>

<file path=xl/ctrlProps/ctrlProp1229.xml><?xml version="1.0" encoding="utf-8"?>
<formControlPr xmlns="http://schemas.microsoft.com/office/spreadsheetml/2009/9/main" objectType="CheckBox" fmlaLink="$A$47" lockText="1" noThreeD="1"/>
</file>

<file path=xl/ctrlProps/ctrlProp1230.xml><?xml version="1.0" encoding="utf-8"?>
<formControlPr xmlns="http://schemas.microsoft.com/office/spreadsheetml/2009/9/main" objectType="CheckBox" fmlaLink="$A$48" lockText="1" noThreeD="1"/>
</file>

<file path=xl/ctrlProps/ctrlProp1231.xml><?xml version="1.0" encoding="utf-8"?>
<formControlPr xmlns="http://schemas.microsoft.com/office/spreadsheetml/2009/9/main" objectType="CheckBox" fmlaLink="$A$49" lockText="1" noThreeD="1"/>
</file>

<file path=xl/ctrlProps/ctrlProp1232.xml><?xml version="1.0" encoding="utf-8"?>
<formControlPr xmlns="http://schemas.microsoft.com/office/spreadsheetml/2009/9/main" objectType="Button" lockText="1"/>
</file>

<file path=xl/ctrlProps/ctrlProp1233.xml><?xml version="1.0" encoding="utf-8"?>
<formControlPr xmlns="http://schemas.microsoft.com/office/spreadsheetml/2009/9/main" objectType="Button" lockText="1"/>
</file>

<file path=xl/ctrlProps/ctrlProp1234.xml><?xml version="1.0" encoding="utf-8"?>
<formControlPr xmlns="http://schemas.microsoft.com/office/spreadsheetml/2009/9/main" objectType="CheckBox" fmlaLink="$A$40" lockText="1" noThreeD="1"/>
</file>

<file path=xl/ctrlProps/ctrlProp1235.xml><?xml version="1.0" encoding="utf-8"?>
<formControlPr xmlns="http://schemas.microsoft.com/office/spreadsheetml/2009/9/main" objectType="Button" lockText="1"/>
</file>

<file path=xl/ctrlProps/ctrlProp1236.xml><?xml version="1.0" encoding="utf-8"?>
<formControlPr xmlns="http://schemas.microsoft.com/office/spreadsheetml/2009/9/main" objectType="Button" lockText="1"/>
</file>

<file path=xl/ctrlProps/ctrlProp1237.xml><?xml version="1.0" encoding="utf-8"?>
<formControlPr xmlns="http://schemas.microsoft.com/office/spreadsheetml/2009/9/main" objectType="Button" lockText="1"/>
</file>

<file path=xl/ctrlProps/ctrlProp1238.xml><?xml version="1.0" encoding="utf-8"?>
<formControlPr xmlns="http://schemas.microsoft.com/office/spreadsheetml/2009/9/main" objectType="Button" lockText="1"/>
</file>

<file path=xl/ctrlProps/ctrlProp1239.xml><?xml version="1.0" encoding="utf-8"?>
<formControlPr xmlns="http://schemas.microsoft.com/office/spreadsheetml/2009/9/main" objectType="CheckBox" fmlaLink="$A$49" lockText="1" noThreeD="1"/>
</file>

<file path=xl/ctrlProps/ctrlProp1240.xml><?xml version="1.0" encoding="utf-8"?>
<formControlPr xmlns="http://schemas.microsoft.com/office/spreadsheetml/2009/9/main" objectType="CheckBox" fmlaLink="$A$28" lockText="1" noThreeD="1"/>
</file>

<file path=xl/ctrlProps/ctrlProp1241.xml><?xml version="1.0" encoding="utf-8"?>
<formControlPr xmlns="http://schemas.microsoft.com/office/spreadsheetml/2009/9/main" objectType="CheckBox" fmlaLink="$A$29" lockText="1" noThreeD="1"/>
</file>

<file path=xl/ctrlProps/ctrlProp1242.xml><?xml version="1.0" encoding="utf-8"?>
<formControlPr xmlns="http://schemas.microsoft.com/office/spreadsheetml/2009/9/main" objectType="CheckBox" fmlaLink="$A$30" lockText="1" noThreeD="1"/>
</file>

<file path=xl/ctrlProps/ctrlProp1243.xml><?xml version="1.0" encoding="utf-8"?>
<formControlPr xmlns="http://schemas.microsoft.com/office/spreadsheetml/2009/9/main" objectType="CheckBox" fmlaLink="$A$31" lockText="1" noThreeD="1"/>
</file>

<file path=xl/ctrlProps/ctrlProp1244.xml><?xml version="1.0" encoding="utf-8"?>
<formControlPr xmlns="http://schemas.microsoft.com/office/spreadsheetml/2009/9/main" objectType="CheckBox" fmlaLink="$E$28" lockText="1" noThreeD="1"/>
</file>

<file path=xl/ctrlProps/ctrlProp1245.xml><?xml version="1.0" encoding="utf-8"?>
<formControlPr xmlns="http://schemas.microsoft.com/office/spreadsheetml/2009/9/main" objectType="CheckBox" fmlaLink="$E$29" lockText="1" noThreeD="1"/>
</file>

<file path=xl/ctrlProps/ctrlProp1246.xml><?xml version="1.0" encoding="utf-8"?>
<formControlPr xmlns="http://schemas.microsoft.com/office/spreadsheetml/2009/9/main" objectType="CheckBox" fmlaLink="$E$30" lockText="1" noThreeD="1"/>
</file>

<file path=xl/ctrlProps/ctrlProp1247.xml><?xml version="1.0" encoding="utf-8"?>
<formControlPr xmlns="http://schemas.microsoft.com/office/spreadsheetml/2009/9/main" objectType="CheckBox" fmlaLink="$A$33" lockText="1" noThreeD="1"/>
</file>

<file path=xl/ctrlProps/ctrlProp1248.xml><?xml version="1.0" encoding="utf-8"?>
<formControlPr xmlns="http://schemas.microsoft.com/office/spreadsheetml/2009/9/main" objectType="CheckBox" fmlaLink="$A$34" lockText="1" noThreeD="1"/>
</file>

<file path=xl/ctrlProps/ctrlProp1249.xml><?xml version="1.0" encoding="utf-8"?>
<formControlPr xmlns="http://schemas.microsoft.com/office/spreadsheetml/2009/9/main" objectType="CheckBox" fmlaLink="$A$35" lockText="1" noThreeD="1"/>
</file>

<file path=xl/ctrlProps/ctrlProp1250.xml><?xml version="1.0" encoding="utf-8"?>
<formControlPr xmlns="http://schemas.microsoft.com/office/spreadsheetml/2009/9/main" objectType="CheckBox" fmlaLink="$A$36" lockText="1" noThreeD="1"/>
</file>

<file path=xl/ctrlProps/ctrlProp1251.xml><?xml version="1.0" encoding="utf-8"?>
<formControlPr xmlns="http://schemas.microsoft.com/office/spreadsheetml/2009/9/main" objectType="CheckBox" fmlaLink="$A$37" lockText="1" noThreeD="1"/>
</file>

<file path=xl/ctrlProps/ctrlProp1252.xml><?xml version="1.0" encoding="utf-8"?>
<formControlPr xmlns="http://schemas.microsoft.com/office/spreadsheetml/2009/9/main" objectType="Button" lockText="1"/>
</file>

<file path=xl/ctrlProps/ctrlProp1253.xml><?xml version="1.0" encoding="utf-8"?>
<formControlPr xmlns="http://schemas.microsoft.com/office/spreadsheetml/2009/9/main" objectType="Button" lockText="1"/>
</file>

<file path=xl/ctrlProps/ctrlProp1254.xml><?xml version="1.0" encoding="utf-8"?>
<formControlPr xmlns="http://schemas.microsoft.com/office/spreadsheetml/2009/9/main" objectType="CheckBox" fmlaLink="$D$33" lockText="1" noThreeD="1"/>
</file>

<file path=xl/ctrlProps/ctrlProp1255.xml><?xml version="1.0" encoding="utf-8"?>
<formControlPr xmlns="http://schemas.microsoft.com/office/spreadsheetml/2009/9/main" objectType="CheckBox" lockText="1" noThreeD="1"/>
</file>

<file path=xl/ctrlProps/ctrlProp1256.xml><?xml version="1.0" encoding="utf-8"?>
<formControlPr xmlns="http://schemas.microsoft.com/office/spreadsheetml/2009/9/main" objectType="CheckBox" lockText="1" noThreeD="1"/>
</file>

<file path=xl/ctrlProps/ctrlProp1257.xml><?xml version="1.0" encoding="utf-8"?>
<formControlPr xmlns="http://schemas.microsoft.com/office/spreadsheetml/2009/9/main" objectType="CheckBox" lockText="1" noThreeD="1"/>
</file>

<file path=xl/ctrlProps/ctrlProp1258.xml><?xml version="1.0" encoding="utf-8"?>
<formControlPr xmlns="http://schemas.microsoft.com/office/spreadsheetml/2009/9/main" objectType="CheckBox" lockText="1" noThreeD="1"/>
</file>

<file path=xl/ctrlProps/ctrlProp1259.xml><?xml version="1.0" encoding="utf-8"?>
<formControlPr xmlns="http://schemas.microsoft.com/office/spreadsheetml/2009/9/main" objectType="CheckBox" lockText="1" noThreeD="1"/>
</file>

<file path=xl/ctrlProps/ctrlProp1260.xml><?xml version="1.0" encoding="utf-8"?>
<formControlPr xmlns="http://schemas.microsoft.com/office/spreadsheetml/2009/9/main" objectType="CheckBox" lockText="1" noThreeD="1"/>
</file>

<file path=xl/ctrlProps/ctrlProp1261.xml><?xml version="1.0" encoding="utf-8"?>
<formControlPr xmlns="http://schemas.microsoft.com/office/spreadsheetml/2009/9/main" objectType="CheckBox" lockText="1" noThreeD="1"/>
</file>

<file path=xl/ctrlProps/ctrlProp1262.xml><?xml version="1.0" encoding="utf-8"?>
<formControlPr xmlns="http://schemas.microsoft.com/office/spreadsheetml/2009/9/main" objectType="CheckBox" fmlaLink="$A$43" lockText="1" noThreeD="1"/>
</file>

<file path=xl/ctrlProps/ctrlProp1263.xml><?xml version="1.0" encoding="utf-8"?>
<formControlPr xmlns="http://schemas.microsoft.com/office/spreadsheetml/2009/9/main" objectType="CheckBox" fmlaLink="$A$44" lockText="1" noThreeD="1"/>
</file>

<file path=xl/ctrlProps/ctrlProp1264.xml><?xml version="1.0" encoding="utf-8"?>
<formControlPr xmlns="http://schemas.microsoft.com/office/spreadsheetml/2009/9/main" objectType="CheckBox" fmlaLink="$A$45" lockText="1" noThreeD="1"/>
</file>

<file path=xl/ctrlProps/ctrlProp1265.xml><?xml version="1.0" encoding="utf-8"?>
<formControlPr xmlns="http://schemas.microsoft.com/office/spreadsheetml/2009/9/main" objectType="CheckBox" fmlaLink="$A$46" lockText="1" noThreeD="1"/>
</file>

<file path=xl/ctrlProps/ctrlProp1266.xml><?xml version="1.0" encoding="utf-8"?>
<formControlPr xmlns="http://schemas.microsoft.com/office/spreadsheetml/2009/9/main" objectType="CheckBox" fmlaLink="$A$47" lockText="1" noThreeD="1"/>
</file>

<file path=xl/ctrlProps/ctrlProp1267.xml><?xml version="1.0" encoding="utf-8"?>
<formControlPr xmlns="http://schemas.microsoft.com/office/spreadsheetml/2009/9/main" objectType="CheckBox" fmlaLink="$A$48" lockText="1" noThreeD="1"/>
</file>

<file path=xl/ctrlProps/ctrlProp1268.xml><?xml version="1.0" encoding="utf-8"?>
<formControlPr xmlns="http://schemas.microsoft.com/office/spreadsheetml/2009/9/main" objectType="CheckBox" fmlaLink="$A$49" lockText="1" noThreeD="1"/>
</file>

<file path=xl/ctrlProps/ctrlProp1269.xml><?xml version="1.0" encoding="utf-8"?>
<formControlPr xmlns="http://schemas.microsoft.com/office/spreadsheetml/2009/9/main" objectType="Button" lockText="1"/>
</file>

<file path=xl/ctrlProps/ctrlProp1270.xml><?xml version="1.0" encoding="utf-8"?>
<formControlPr xmlns="http://schemas.microsoft.com/office/spreadsheetml/2009/9/main" objectType="Button" lockText="1"/>
</file>

<file path=xl/ctrlProps/ctrlProp1271.xml><?xml version="1.0" encoding="utf-8"?>
<formControlPr xmlns="http://schemas.microsoft.com/office/spreadsheetml/2009/9/main" objectType="CheckBox" fmlaLink="$A$40" lockText="1" noThreeD="1"/>
</file>

<file path=xl/ctrlProps/ctrlProp1272.xml><?xml version="1.0" encoding="utf-8"?>
<formControlPr xmlns="http://schemas.microsoft.com/office/spreadsheetml/2009/9/main" objectType="Button" lockText="1"/>
</file>

<file path=xl/ctrlProps/ctrlProp1273.xml><?xml version="1.0" encoding="utf-8"?>
<formControlPr xmlns="http://schemas.microsoft.com/office/spreadsheetml/2009/9/main" objectType="Button" lockText="1"/>
</file>

<file path=xl/ctrlProps/ctrlProp1274.xml><?xml version="1.0" encoding="utf-8"?>
<formControlPr xmlns="http://schemas.microsoft.com/office/spreadsheetml/2009/9/main" objectType="Button" lockText="1"/>
</file>

<file path=xl/ctrlProps/ctrlProp1275.xml><?xml version="1.0" encoding="utf-8"?>
<formControlPr xmlns="http://schemas.microsoft.com/office/spreadsheetml/2009/9/main" objectType="Button" lockText="1"/>
</file>

<file path=xl/ctrlProps/ctrlProp1276.xml><?xml version="1.0" encoding="utf-8"?>
<formControlPr xmlns="http://schemas.microsoft.com/office/spreadsheetml/2009/9/main" objectType="CheckBox" fmlaLink="$A$49" lockText="1" noThreeD="1"/>
</file>

<file path=xl/ctrlProps/ctrlProp1277.xml><?xml version="1.0" encoding="utf-8"?>
<formControlPr xmlns="http://schemas.microsoft.com/office/spreadsheetml/2009/9/main" objectType="CheckBox" fmlaLink="$A$28" lockText="1" noThreeD="1"/>
</file>

<file path=xl/ctrlProps/ctrlProp1278.xml><?xml version="1.0" encoding="utf-8"?>
<formControlPr xmlns="http://schemas.microsoft.com/office/spreadsheetml/2009/9/main" objectType="CheckBox" fmlaLink="$A$29" lockText="1" noThreeD="1"/>
</file>

<file path=xl/ctrlProps/ctrlProp1279.xml><?xml version="1.0" encoding="utf-8"?>
<formControlPr xmlns="http://schemas.microsoft.com/office/spreadsheetml/2009/9/main" objectType="CheckBox" fmlaLink="$A$30" lockText="1" noThreeD="1"/>
</file>

<file path=xl/ctrlProps/ctrlProp1280.xml><?xml version="1.0" encoding="utf-8"?>
<formControlPr xmlns="http://schemas.microsoft.com/office/spreadsheetml/2009/9/main" objectType="CheckBox" fmlaLink="$A$31" lockText="1" noThreeD="1"/>
</file>

<file path=xl/ctrlProps/ctrlProp1281.xml><?xml version="1.0" encoding="utf-8"?>
<formControlPr xmlns="http://schemas.microsoft.com/office/spreadsheetml/2009/9/main" objectType="CheckBox" fmlaLink="$E$28" lockText="1" noThreeD="1"/>
</file>

<file path=xl/ctrlProps/ctrlProp1282.xml><?xml version="1.0" encoding="utf-8"?>
<formControlPr xmlns="http://schemas.microsoft.com/office/spreadsheetml/2009/9/main" objectType="CheckBox" fmlaLink="$E$29" lockText="1" noThreeD="1"/>
</file>

<file path=xl/ctrlProps/ctrlProp1283.xml><?xml version="1.0" encoding="utf-8"?>
<formControlPr xmlns="http://schemas.microsoft.com/office/spreadsheetml/2009/9/main" objectType="CheckBox" fmlaLink="$E$30" lockText="1" noThreeD="1"/>
</file>

<file path=xl/ctrlProps/ctrlProp1284.xml><?xml version="1.0" encoding="utf-8"?>
<formControlPr xmlns="http://schemas.microsoft.com/office/spreadsheetml/2009/9/main" objectType="CheckBox" fmlaLink="$A$33" lockText="1" noThreeD="1"/>
</file>

<file path=xl/ctrlProps/ctrlProp1285.xml><?xml version="1.0" encoding="utf-8"?>
<formControlPr xmlns="http://schemas.microsoft.com/office/spreadsheetml/2009/9/main" objectType="CheckBox" fmlaLink="$A$34" lockText="1" noThreeD="1"/>
</file>

<file path=xl/ctrlProps/ctrlProp1286.xml><?xml version="1.0" encoding="utf-8"?>
<formControlPr xmlns="http://schemas.microsoft.com/office/spreadsheetml/2009/9/main" objectType="CheckBox" fmlaLink="$A$35" lockText="1" noThreeD="1"/>
</file>

<file path=xl/ctrlProps/ctrlProp1287.xml><?xml version="1.0" encoding="utf-8"?>
<formControlPr xmlns="http://schemas.microsoft.com/office/spreadsheetml/2009/9/main" objectType="CheckBox" fmlaLink="$A$36" lockText="1" noThreeD="1"/>
</file>

<file path=xl/ctrlProps/ctrlProp1288.xml><?xml version="1.0" encoding="utf-8"?>
<formControlPr xmlns="http://schemas.microsoft.com/office/spreadsheetml/2009/9/main" objectType="CheckBox" fmlaLink="$A$37" lockText="1" noThreeD="1"/>
</file>

<file path=xl/ctrlProps/ctrlProp1289.xml><?xml version="1.0" encoding="utf-8"?>
<formControlPr xmlns="http://schemas.microsoft.com/office/spreadsheetml/2009/9/main" objectType="Button" lockText="1"/>
</file>

<file path=xl/ctrlProps/ctrlProp1290.xml><?xml version="1.0" encoding="utf-8"?>
<formControlPr xmlns="http://schemas.microsoft.com/office/spreadsheetml/2009/9/main" objectType="Button" lockText="1"/>
</file>

<file path=xl/ctrlProps/ctrlProp1291.xml><?xml version="1.0" encoding="utf-8"?>
<formControlPr xmlns="http://schemas.microsoft.com/office/spreadsheetml/2009/9/main" objectType="CheckBox" fmlaLink="$D$33" lockText="1" noThreeD="1"/>
</file>

<file path=xl/ctrlProps/ctrlProp1292.xml><?xml version="1.0" encoding="utf-8"?>
<formControlPr xmlns="http://schemas.microsoft.com/office/spreadsheetml/2009/9/main" objectType="CheckBox" lockText="1" noThreeD="1"/>
</file>

<file path=xl/ctrlProps/ctrlProp1293.xml><?xml version="1.0" encoding="utf-8"?>
<formControlPr xmlns="http://schemas.microsoft.com/office/spreadsheetml/2009/9/main" objectType="CheckBox" lockText="1" noThreeD="1"/>
</file>

<file path=xl/ctrlProps/ctrlProp1294.xml><?xml version="1.0" encoding="utf-8"?>
<formControlPr xmlns="http://schemas.microsoft.com/office/spreadsheetml/2009/9/main" objectType="CheckBox" lockText="1" noThreeD="1"/>
</file>

<file path=xl/ctrlProps/ctrlProp1295.xml><?xml version="1.0" encoding="utf-8"?>
<formControlPr xmlns="http://schemas.microsoft.com/office/spreadsheetml/2009/9/main" objectType="CheckBox" lockText="1" noThreeD="1"/>
</file>

<file path=xl/ctrlProps/ctrlProp1296.xml><?xml version="1.0" encoding="utf-8"?>
<formControlPr xmlns="http://schemas.microsoft.com/office/spreadsheetml/2009/9/main" objectType="CheckBox" lockText="1" noThreeD="1"/>
</file>

<file path=xl/ctrlProps/ctrlProp1297.xml><?xml version="1.0" encoding="utf-8"?>
<formControlPr xmlns="http://schemas.microsoft.com/office/spreadsheetml/2009/9/main" objectType="CheckBox" lockText="1" noThreeD="1"/>
</file>

<file path=xl/ctrlProps/ctrlProp1298.xml><?xml version="1.0" encoding="utf-8"?>
<formControlPr xmlns="http://schemas.microsoft.com/office/spreadsheetml/2009/9/main" objectType="CheckBox" lockText="1" noThreeD="1"/>
</file>

<file path=xl/ctrlProps/ctrlProp1299.xml><?xml version="1.0" encoding="utf-8"?>
<formControlPr xmlns="http://schemas.microsoft.com/office/spreadsheetml/2009/9/main" objectType="CheckBox" fmlaLink="$A$43" lockText="1" noThreeD="1"/>
</file>

<file path=xl/ctrlProps/ctrlProp1300.xml><?xml version="1.0" encoding="utf-8"?>
<formControlPr xmlns="http://schemas.microsoft.com/office/spreadsheetml/2009/9/main" objectType="CheckBox" fmlaLink="$A$44" lockText="1" noThreeD="1"/>
</file>

<file path=xl/ctrlProps/ctrlProp1301.xml><?xml version="1.0" encoding="utf-8"?>
<formControlPr xmlns="http://schemas.microsoft.com/office/spreadsheetml/2009/9/main" objectType="CheckBox" fmlaLink="$A$45" lockText="1" noThreeD="1"/>
</file>

<file path=xl/ctrlProps/ctrlProp1302.xml><?xml version="1.0" encoding="utf-8"?>
<formControlPr xmlns="http://schemas.microsoft.com/office/spreadsheetml/2009/9/main" objectType="CheckBox" fmlaLink="$A$46" lockText="1" noThreeD="1"/>
</file>

<file path=xl/ctrlProps/ctrlProp1303.xml><?xml version="1.0" encoding="utf-8"?>
<formControlPr xmlns="http://schemas.microsoft.com/office/spreadsheetml/2009/9/main" objectType="CheckBox" fmlaLink="$A$47" lockText="1" noThreeD="1"/>
</file>

<file path=xl/ctrlProps/ctrlProp1304.xml><?xml version="1.0" encoding="utf-8"?>
<formControlPr xmlns="http://schemas.microsoft.com/office/spreadsheetml/2009/9/main" objectType="CheckBox" fmlaLink="$A$48" lockText="1" noThreeD="1"/>
</file>

<file path=xl/ctrlProps/ctrlProp1305.xml><?xml version="1.0" encoding="utf-8"?>
<formControlPr xmlns="http://schemas.microsoft.com/office/spreadsheetml/2009/9/main" objectType="CheckBox" fmlaLink="$A$49" lockText="1" noThreeD="1"/>
</file>

<file path=xl/ctrlProps/ctrlProp1306.xml><?xml version="1.0" encoding="utf-8"?>
<formControlPr xmlns="http://schemas.microsoft.com/office/spreadsheetml/2009/9/main" objectType="Button" lockText="1"/>
</file>

<file path=xl/ctrlProps/ctrlProp1307.xml><?xml version="1.0" encoding="utf-8"?>
<formControlPr xmlns="http://schemas.microsoft.com/office/spreadsheetml/2009/9/main" objectType="Button" lockText="1"/>
</file>

<file path=xl/ctrlProps/ctrlProp1308.xml><?xml version="1.0" encoding="utf-8"?>
<formControlPr xmlns="http://schemas.microsoft.com/office/spreadsheetml/2009/9/main" objectType="CheckBox" fmlaLink="$A$40" lockText="1" noThreeD="1"/>
</file>

<file path=xl/ctrlProps/ctrlProp1309.xml><?xml version="1.0" encoding="utf-8"?>
<formControlPr xmlns="http://schemas.microsoft.com/office/spreadsheetml/2009/9/main" objectType="Button" lockText="1"/>
</file>

<file path=xl/ctrlProps/ctrlProp1310.xml><?xml version="1.0" encoding="utf-8"?>
<formControlPr xmlns="http://schemas.microsoft.com/office/spreadsheetml/2009/9/main" objectType="Button" lockText="1"/>
</file>

<file path=xl/ctrlProps/ctrlProp1311.xml><?xml version="1.0" encoding="utf-8"?>
<formControlPr xmlns="http://schemas.microsoft.com/office/spreadsheetml/2009/9/main" objectType="Button" lockText="1"/>
</file>

<file path=xl/ctrlProps/ctrlProp1312.xml><?xml version="1.0" encoding="utf-8"?>
<formControlPr xmlns="http://schemas.microsoft.com/office/spreadsheetml/2009/9/main" objectType="Button" lockText="1"/>
</file>

<file path=xl/ctrlProps/ctrlProp1313.xml><?xml version="1.0" encoding="utf-8"?>
<formControlPr xmlns="http://schemas.microsoft.com/office/spreadsheetml/2009/9/main" objectType="CheckBox" fmlaLink="$A$49" lockText="1" noThreeD="1"/>
</file>

<file path=xl/ctrlProps/ctrlProp1314.xml><?xml version="1.0" encoding="utf-8"?>
<formControlPr xmlns="http://schemas.microsoft.com/office/spreadsheetml/2009/9/main" objectType="CheckBox" fmlaLink="$A$28" lockText="1" noThreeD="1"/>
</file>

<file path=xl/ctrlProps/ctrlProp1315.xml><?xml version="1.0" encoding="utf-8"?>
<formControlPr xmlns="http://schemas.microsoft.com/office/spreadsheetml/2009/9/main" objectType="CheckBox" fmlaLink="$A$29" lockText="1" noThreeD="1"/>
</file>

<file path=xl/ctrlProps/ctrlProp1316.xml><?xml version="1.0" encoding="utf-8"?>
<formControlPr xmlns="http://schemas.microsoft.com/office/spreadsheetml/2009/9/main" objectType="CheckBox" fmlaLink="$A$30" lockText="1" noThreeD="1"/>
</file>

<file path=xl/ctrlProps/ctrlProp1317.xml><?xml version="1.0" encoding="utf-8"?>
<formControlPr xmlns="http://schemas.microsoft.com/office/spreadsheetml/2009/9/main" objectType="CheckBox" fmlaLink="$A$31" lockText="1" noThreeD="1"/>
</file>

<file path=xl/ctrlProps/ctrlProp1318.xml><?xml version="1.0" encoding="utf-8"?>
<formControlPr xmlns="http://schemas.microsoft.com/office/spreadsheetml/2009/9/main" objectType="CheckBox" fmlaLink="$E$28" lockText="1" noThreeD="1"/>
</file>

<file path=xl/ctrlProps/ctrlProp1319.xml><?xml version="1.0" encoding="utf-8"?>
<formControlPr xmlns="http://schemas.microsoft.com/office/spreadsheetml/2009/9/main" objectType="CheckBox" fmlaLink="$E$29" lockText="1" noThreeD="1"/>
</file>

<file path=xl/ctrlProps/ctrlProp1320.xml><?xml version="1.0" encoding="utf-8"?>
<formControlPr xmlns="http://schemas.microsoft.com/office/spreadsheetml/2009/9/main" objectType="CheckBox" fmlaLink="$E$30" lockText="1" noThreeD="1"/>
</file>

<file path=xl/ctrlProps/ctrlProp1321.xml><?xml version="1.0" encoding="utf-8"?>
<formControlPr xmlns="http://schemas.microsoft.com/office/spreadsheetml/2009/9/main" objectType="CheckBox" fmlaLink="$A$33" lockText="1" noThreeD="1"/>
</file>

<file path=xl/ctrlProps/ctrlProp1322.xml><?xml version="1.0" encoding="utf-8"?>
<formControlPr xmlns="http://schemas.microsoft.com/office/spreadsheetml/2009/9/main" objectType="CheckBox" fmlaLink="$A$34" lockText="1" noThreeD="1"/>
</file>

<file path=xl/ctrlProps/ctrlProp1323.xml><?xml version="1.0" encoding="utf-8"?>
<formControlPr xmlns="http://schemas.microsoft.com/office/spreadsheetml/2009/9/main" objectType="CheckBox" fmlaLink="$A$35" lockText="1" noThreeD="1"/>
</file>

<file path=xl/ctrlProps/ctrlProp1324.xml><?xml version="1.0" encoding="utf-8"?>
<formControlPr xmlns="http://schemas.microsoft.com/office/spreadsheetml/2009/9/main" objectType="CheckBox" fmlaLink="$A$36" lockText="1" noThreeD="1"/>
</file>

<file path=xl/ctrlProps/ctrlProp1325.xml><?xml version="1.0" encoding="utf-8"?>
<formControlPr xmlns="http://schemas.microsoft.com/office/spreadsheetml/2009/9/main" objectType="CheckBox" fmlaLink="$A$37" lockText="1" noThreeD="1"/>
</file>

<file path=xl/ctrlProps/ctrlProp1326.xml><?xml version="1.0" encoding="utf-8"?>
<formControlPr xmlns="http://schemas.microsoft.com/office/spreadsheetml/2009/9/main" objectType="Button" lockText="1"/>
</file>

<file path=xl/ctrlProps/ctrlProp1327.xml><?xml version="1.0" encoding="utf-8"?>
<formControlPr xmlns="http://schemas.microsoft.com/office/spreadsheetml/2009/9/main" objectType="Button" lockText="1"/>
</file>

<file path=xl/ctrlProps/ctrlProp1328.xml><?xml version="1.0" encoding="utf-8"?>
<formControlPr xmlns="http://schemas.microsoft.com/office/spreadsheetml/2009/9/main" objectType="CheckBox" fmlaLink="$D$33" lockText="1" noThreeD="1"/>
</file>

<file path=xl/ctrlProps/ctrlProp1329.xml><?xml version="1.0" encoding="utf-8"?>
<formControlPr xmlns="http://schemas.microsoft.com/office/spreadsheetml/2009/9/main" objectType="CheckBox" lockText="1" noThreeD="1"/>
</file>

<file path=xl/ctrlProps/ctrlProp1330.xml><?xml version="1.0" encoding="utf-8"?>
<formControlPr xmlns="http://schemas.microsoft.com/office/spreadsheetml/2009/9/main" objectType="CheckBox" lockText="1" noThreeD="1"/>
</file>

<file path=xl/ctrlProps/ctrlProp1331.xml><?xml version="1.0" encoding="utf-8"?>
<formControlPr xmlns="http://schemas.microsoft.com/office/spreadsheetml/2009/9/main" objectType="CheckBox" lockText="1" noThreeD="1"/>
</file>

<file path=xl/ctrlProps/ctrlProp1332.xml><?xml version="1.0" encoding="utf-8"?>
<formControlPr xmlns="http://schemas.microsoft.com/office/spreadsheetml/2009/9/main" objectType="CheckBox" lockText="1" noThreeD="1"/>
</file>

<file path=xl/ctrlProps/ctrlProp1333.xml><?xml version="1.0" encoding="utf-8"?>
<formControlPr xmlns="http://schemas.microsoft.com/office/spreadsheetml/2009/9/main" objectType="CheckBox" lockText="1" noThreeD="1"/>
</file>

<file path=xl/ctrlProps/ctrlProp1334.xml><?xml version="1.0" encoding="utf-8"?>
<formControlPr xmlns="http://schemas.microsoft.com/office/spreadsheetml/2009/9/main" objectType="CheckBox" lockText="1" noThreeD="1"/>
</file>

<file path=xl/ctrlProps/ctrlProp1335.xml><?xml version="1.0" encoding="utf-8"?>
<formControlPr xmlns="http://schemas.microsoft.com/office/spreadsheetml/2009/9/main" objectType="CheckBox" lockText="1" noThreeD="1"/>
</file>

<file path=xl/ctrlProps/ctrlProp1336.xml><?xml version="1.0" encoding="utf-8"?>
<formControlPr xmlns="http://schemas.microsoft.com/office/spreadsheetml/2009/9/main" objectType="CheckBox" fmlaLink="$A$43" lockText="1" noThreeD="1"/>
</file>

<file path=xl/ctrlProps/ctrlProp1337.xml><?xml version="1.0" encoding="utf-8"?>
<formControlPr xmlns="http://schemas.microsoft.com/office/spreadsheetml/2009/9/main" objectType="CheckBox" fmlaLink="$A$44" lockText="1" noThreeD="1"/>
</file>

<file path=xl/ctrlProps/ctrlProp1338.xml><?xml version="1.0" encoding="utf-8"?>
<formControlPr xmlns="http://schemas.microsoft.com/office/spreadsheetml/2009/9/main" objectType="CheckBox" fmlaLink="$A$45" lockText="1" noThreeD="1"/>
</file>

<file path=xl/ctrlProps/ctrlProp1339.xml><?xml version="1.0" encoding="utf-8"?>
<formControlPr xmlns="http://schemas.microsoft.com/office/spreadsheetml/2009/9/main" objectType="CheckBox" fmlaLink="$A$46" lockText="1" noThreeD="1"/>
</file>

<file path=xl/ctrlProps/ctrlProp1340.xml><?xml version="1.0" encoding="utf-8"?>
<formControlPr xmlns="http://schemas.microsoft.com/office/spreadsheetml/2009/9/main" objectType="CheckBox" fmlaLink="$A$47" lockText="1" noThreeD="1"/>
</file>

<file path=xl/ctrlProps/ctrlProp1341.xml><?xml version="1.0" encoding="utf-8"?>
<formControlPr xmlns="http://schemas.microsoft.com/office/spreadsheetml/2009/9/main" objectType="CheckBox" fmlaLink="$A$48" lockText="1" noThreeD="1"/>
</file>

<file path=xl/ctrlProps/ctrlProp1342.xml><?xml version="1.0" encoding="utf-8"?>
<formControlPr xmlns="http://schemas.microsoft.com/office/spreadsheetml/2009/9/main" objectType="CheckBox" fmlaLink="$A$49" lockText="1" noThreeD="1"/>
</file>

<file path=xl/ctrlProps/ctrlProp1343.xml><?xml version="1.0" encoding="utf-8"?>
<formControlPr xmlns="http://schemas.microsoft.com/office/spreadsheetml/2009/9/main" objectType="Button" lockText="1"/>
</file>

<file path=xl/ctrlProps/ctrlProp1344.xml><?xml version="1.0" encoding="utf-8"?>
<formControlPr xmlns="http://schemas.microsoft.com/office/spreadsheetml/2009/9/main" objectType="Button" lockText="1"/>
</file>

<file path=xl/ctrlProps/ctrlProp1345.xml><?xml version="1.0" encoding="utf-8"?>
<formControlPr xmlns="http://schemas.microsoft.com/office/spreadsheetml/2009/9/main" objectType="CheckBox" fmlaLink="$A$40" lockText="1" noThreeD="1"/>
</file>

<file path=xl/ctrlProps/ctrlProp1346.xml><?xml version="1.0" encoding="utf-8"?>
<formControlPr xmlns="http://schemas.microsoft.com/office/spreadsheetml/2009/9/main" objectType="Button" lockText="1"/>
</file>

<file path=xl/ctrlProps/ctrlProp1347.xml><?xml version="1.0" encoding="utf-8"?>
<formControlPr xmlns="http://schemas.microsoft.com/office/spreadsheetml/2009/9/main" objectType="Button" lockText="1"/>
</file>

<file path=xl/ctrlProps/ctrlProp1348.xml><?xml version="1.0" encoding="utf-8"?>
<formControlPr xmlns="http://schemas.microsoft.com/office/spreadsheetml/2009/9/main" objectType="Button" lockText="1"/>
</file>

<file path=xl/ctrlProps/ctrlProp1349.xml><?xml version="1.0" encoding="utf-8"?>
<formControlPr xmlns="http://schemas.microsoft.com/office/spreadsheetml/2009/9/main" objectType="Button" lockText="1"/>
</file>

<file path=xl/ctrlProps/ctrlProp1350.xml><?xml version="1.0" encoding="utf-8"?>
<formControlPr xmlns="http://schemas.microsoft.com/office/spreadsheetml/2009/9/main" objectType="CheckBox" fmlaLink="$A$49" lockText="1" noThreeD="1"/>
</file>

<file path=xl/ctrlProps/ctrlProp1351.xml><?xml version="1.0" encoding="utf-8"?>
<formControlPr xmlns="http://schemas.microsoft.com/office/spreadsheetml/2009/9/main" objectType="CheckBox" fmlaLink="$A$28" lockText="1" noThreeD="1"/>
</file>

<file path=xl/ctrlProps/ctrlProp1352.xml><?xml version="1.0" encoding="utf-8"?>
<formControlPr xmlns="http://schemas.microsoft.com/office/spreadsheetml/2009/9/main" objectType="CheckBox" fmlaLink="$A$29" lockText="1" noThreeD="1"/>
</file>

<file path=xl/ctrlProps/ctrlProp1353.xml><?xml version="1.0" encoding="utf-8"?>
<formControlPr xmlns="http://schemas.microsoft.com/office/spreadsheetml/2009/9/main" objectType="CheckBox" fmlaLink="$A$30" lockText="1" noThreeD="1"/>
</file>

<file path=xl/ctrlProps/ctrlProp1354.xml><?xml version="1.0" encoding="utf-8"?>
<formControlPr xmlns="http://schemas.microsoft.com/office/spreadsheetml/2009/9/main" objectType="CheckBox" fmlaLink="$A$31" lockText="1" noThreeD="1"/>
</file>

<file path=xl/ctrlProps/ctrlProp1355.xml><?xml version="1.0" encoding="utf-8"?>
<formControlPr xmlns="http://schemas.microsoft.com/office/spreadsheetml/2009/9/main" objectType="CheckBox" fmlaLink="$E$28" lockText="1" noThreeD="1"/>
</file>

<file path=xl/ctrlProps/ctrlProp1356.xml><?xml version="1.0" encoding="utf-8"?>
<formControlPr xmlns="http://schemas.microsoft.com/office/spreadsheetml/2009/9/main" objectType="CheckBox" fmlaLink="$E$29" lockText="1" noThreeD="1"/>
</file>

<file path=xl/ctrlProps/ctrlProp1357.xml><?xml version="1.0" encoding="utf-8"?>
<formControlPr xmlns="http://schemas.microsoft.com/office/spreadsheetml/2009/9/main" objectType="CheckBox" fmlaLink="$E$30" lockText="1" noThreeD="1"/>
</file>

<file path=xl/ctrlProps/ctrlProp1358.xml><?xml version="1.0" encoding="utf-8"?>
<formControlPr xmlns="http://schemas.microsoft.com/office/spreadsheetml/2009/9/main" objectType="CheckBox" fmlaLink="$A$33" lockText="1" noThreeD="1"/>
</file>

<file path=xl/ctrlProps/ctrlProp1359.xml><?xml version="1.0" encoding="utf-8"?>
<formControlPr xmlns="http://schemas.microsoft.com/office/spreadsheetml/2009/9/main" objectType="CheckBox" fmlaLink="$A$34" lockText="1" noThreeD="1"/>
</file>

<file path=xl/ctrlProps/ctrlProp1360.xml><?xml version="1.0" encoding="utf-8"?>
<formControlPr xmlns="http://schemas.microsoft.com/office/spreadsheetml/2009/9/main" objectType="CheckBox" fmlaLink="$A$35" lockText="1" noThreeD="1"/>
</file>

<file path=xl/ctrlProps/ctrlProp1361.xml><?xml version="1.0" encoding="utf-8"?>
<formControlPr xmlns="http://schemas.microsoft.com/office/spreadsheetml/2009/9/main" objectType="CheckBox" fmlaLink="$A$36" lockText="1" noThreeD="1"/>
</file>

<file path=xl/ctrlProps/ctrlProp1362.xml><?xml version="1.0" encoding="utf-8"?>
<formControlPr xmlns="http://schemas.microsoft.com/office/spreadsheetml/2009/9/main" objectType="CheckBox" fmlaLink="$A$37" lockText="1" noThreeD="1"/>
</file>

<file path=xl/ctrlProps/ctrlProp1363.xml><?xml version="1.0" encoding="utf-8"?>
<formControlPr xmlns="http://schemas.microsoft.com/office/spreadsheetml/2009/9/main" objectType="Button" lockText="1"/>
</file>

<file path=xl/ctrlProps/ctrlProp1364.xml><?xml version="1.0" encoding="utf-8"?>
<formControlPr xmlns="http://schemas.microsoft.com/office/spreadsheetml/2009/9/main" objectType="Button" lockText="1"/>
</file>

<file path=xl/ctrlProps/ctrlProp1365.xml><?xml version="1.0" encoding="utf-8"?>
<formControlPr xmlns="http://schemas.microsoft.com/office/spreadsheetml/2009/9/main" objectType="CheckBox" fmlaLink="$D$33" lockText="1" noThreeD="1"/>
</file>

<file path=xl/ctrlProps/ctrlProp1366.xml><?xml version="1.0" encoding="utf-8"?>
<formControlPr xmlns="http://schemas.microsoft.com/office/spreadsheetml/2009/9/main" objectType="CheckBox" lockText="1" noThreeD="1"/>
</file>

<file path=xl/ctrlProps/ctrlProp1367.xml><?xml version="1.0" encoding="utf-8"?>
<formControlPr xmlns="http://schemas.microsoft.com/office/spreadsheetml/2009/9/main" objectType="CheckBox" lockText="1" noThreeD="1"/>
</file>

<file path=xl/ctrlProps/ctrlProp1368.xml><?xml version="1.0" encoding="utf-8"?>
<formControlPr xmlns="http://schemas.microsoft.com/office/spreadsheetml/2009/9/main" objectType="CheckBox" lockText="1" noThreeD="1"/>
</file>

<file path=xl/ctrlProps/ctrlProp1369.xml><?xml version="1.0" encoding="utf-8"?>
<formControlPr xmlns="http://schemas.microsoft.com/office/spreadsheetml/2009/9/main" objectType="CheckBox" lockText="1" noThreeD="1"/>
</file>

<file path=xl/ctrlProps/ctrlProp1370.xml><?xml version="1.0" encoding="utf-8"?>
<formControlPr xmlns="http://schemas.microsoft.com/office/spreadsheetml/2009/9/main" objectType="CheckBox" lockText="1" noThreeD="1"/>
</file>

<file path=xl/ctrlProps/ctrlProp1371.xml><?xml version="1.0" encoding="utf-8"?>
<formControlPr xmlns="http://schemas.microsoft.com/office/spreadsheetml/2009/9/main" objectType="CheckBox" lockText="1" noThreeD="1"/>
</file>

<file path=xl/ctrlProps/ctrlProp1372.xml><?xml version="1.0" encoding="utf-8"?>
<formControlPr xmlns="http://schemas.microsoft.com/office/spreadsheetml/2009/9/main" objectType="CheckBox" lockText="1" noThreeD="1"/>
</file>

<file path=xl/ctrlProps/ctrlProp1373.xml><?xml version="1.0" encoding="utf-8"?>
<formControlPr xmlns="http://schemas.microsoft.com/office/spreadsheetml/2009/9/main" objectType="CheckBox" fmlaLink="$A$43" lockText="1" noThreeD="1"/>
</file>

<file path=xl/ctrlProps/ctrlProp1374.xml><?xml version="1.0" encoding="utf-8"?>
<formControlPr xmlns="http://schemas.microsoft.com/office/spreadsheetml/2009/9/main" objectType="CheckBox" fmlaLink="$A$44" lockText="1" noThreeD="1"/>
</file>

<file path=xl/ctrlProps/ctrlProp1375.xml><?xml version="1.0" encoding="utf-8"?>
<formControlPr xmlns="http://schemas.microsoft.com/office/spreadsheetml/2009/9/main" objectType="CheckBox" fmlaLink="$A$45" lockText="1" noThreeD="1"/>
</file>

<file path=xl/ctrlProps/ctrlProp1376.xml><?xml version="1.0" encoding="utf-8"?>
<formControlPr xmlns="http://schemas.microsoft.com/office/spreadsheetml/2009/9/main" objectType="CheckBox" fmlaLink="$A$46" lockText="1" noThreeD="1"/>
</file>

<file path=xl/ctrlProps/ctrlProp1377.xml><?xml version="1.0" encoding="utf-8"?>
<formControlPr xmlns="http://schemas.microsoft.com/office/spreadsheetml/2009/9/main" objectType="CheckBox" fmlaLink="$A$47" lockText="1" noThreeD="1"/>
</file>

<file path=xl/ctrlProps/ctrlProp1378.xml><?xml version="1.0" encoding="utf-8"?>
<formControlPr xmlns="http://schemas.microsoft.com/office/spreadsheetml/2009/9/main" objectType="CheckBox" fmlaLink="$A$48" lockText="1" noThreeD="1"/>
</file>

<file path=xl/ctrlProps/ctrlProp1379.xml><?xml version="1.0" encoding="utf-8"?>
<formControlPr xmlns="http://schemas.microsoft.com/office/spreadsheetml/2009/9/main" objectType="CheckBox" fmlaLink="$A$49" lockText="1" noThreeD="1"/>
</file>

<file path=xl/ctrlProps/ctrlProp1380.xml><?xml version="1.0" encoding="utf-8"?>
<formControlPr xmlns="http://schemas.microsoft.com/office/spreadsheetml/2009/9/main" objectType="Button" lockText="1"/>
</file>

<file path=xl/ctrlProps/ctrlProp1381.xml><?xml version="1.0" encoding="utf-8"?>
<formControlPr xmlns="http://schemas.microsoft.com/office/spreadsheetml/2009/9/main" objectType="Button" lockText="1"/>
</file>

<file path=xl/ctrlProps/ctrlProp1382.xml><?xml version="1.0" encoding="utf-8"?>
<formControlPr xmlns="http://schemas.microsoft.com/office/spreadsheetml/2009/9/main" objectType="CheckBox" fmlaLink="$A$40" lockText="1" noThreeD="1"/>
</file>

<file path=xl/ctrlProps/ctrlProp1383.xml><?xml version="1.0" encoding="utf-8"?>
<formControlPr xmlns="http://schemas.microsoft.com/office/spreadsheetml/2009/9/main" objectType="Button" lockText="1"/>
</file>

<file path=xl/ctrlProps/ctrlProp1384.xml><?xml version="1.0" encoding="utf-8"?>
<formControlPr xmlns="http://schemas.microsoft.com/office/spreadsheetml/2009/9/main" objectType="Button" lockText="1"/>
</file>

<file path=xl/ctrlProps/ctrlProp1385.xml><?xml version="1.0" encoding="utf-8"?>
<formControlPr xmlns="http://schemas.microsoft.com/office/spreadsheetml/2009/9/main" objectType="Button" lockText="1"/>
</file>

<file path=xl/ctrlProps/ctrlProp1386.xml><?xml version="1.0" encoding="utf-8"?>
<formControlPr xmlns="http://schemas.microsoft.com/office/spreadsheetml/2009/9/main" objectType="Button" lockText="1"/>
</file>

<file path=xl/ctrlProps/ctrlProp1387.xml><?xml version="1.0" encoding="utf-8"?>
<formControlPr xmlns="http://schemas.microsoft.com/office/spreadsheetml/2009/9/main" objectType="CheckBox" fmlaLink="$A$49" lockText="1" noThreeD="1"/>
</file>

<file path=xl/ctrlProps/ctrlProp1388.xml><?xml version="1.0" encoding="utf-8"?>
<formControlPr xmlns="http://schemas.microsoft.com/office/spreadsheetml/2009/9/main" objectType="CheckBox" fmlaLink="$A$28" lockText="1" noThreeD="1"/>
</file>

<file path=xl/ctrlProps/ctrlProp1389.xml><?xml version="1.0" encoding="utf-8"?>
<formControlPr xmlns="http://schemas.microsoft.com/office/spreadsheetml/2009/9/main" objectType="CheckBox" fmlaLink="$A$29" lockText="1" noThreeD="1"/>
</file>

<file path=xl/ctrlProps/ctrlProp1390.xml><?xml version="1.0" encoding="utf-8"?>
<formControlPr xmlns="http://schemas.microsoft.com/office/spreadsheetml/2009/9/main" objectType="CheckBox" fmlaLink="$A$30" lockText="1" noThreeD="1"/>
</file>

<file path=xl/ctrlProps/ctrlProp1391.xml><?xml version="1.0" encoding="utf-8"?>
<formControlPr xmlns="http://schemas.microsoft.com/office/spreadsheetml/2009/9/main" objectType="CheckBox" fmlaLink="$A$31" lockText="1" noThreeD="1"/>
</file>

<file path=xl/ctrlProps/ctrlProp1392.xml><?xml version="1.0" encoding="utf-8"?>
<formControlPr xmlns="http://schemas.microsoft.com/office/spreadsheetml/2009/9/main" objectType="CheckBox" fmlaLink="$E$28" lockText="1" noThreeD="1"/>
</file>

<file path=xl/ctrlProps/ctrlProp1393.xml><?xml version="1.0" encoding="utf-8"?>
<formControlPr xmlns="http://schemas.microsoft.com/office/spreadsheetml/2009/9/main" objectType="CheckBox" fmlaLink="$E$29" lockText="1" noThreeD="1"/>
</file>

<file path=xl/ctrlProps/ctrlProp1394.xml><?xml version="1.0" encoding="utf-8"?>
<formControlPr xmlns="http://schemas.microsoft.com/office/spreadsheetml/2009/9/main" objectType="CheckBox" fmlaLink="$E$30" lockText="1" noThreeD="1"/>
</file>

<file path=xl/ctrlProps/ctrlProp1395.xml><?xml version="1.0" encoding="utf-8"?>
<formControlPr xmlns="http://schemas.microsoft.com/office/spreadsheetml/2009/9/main" objectType="CheckBox" fmlaLink="$A$33" lockText="1" noThreeD="1"/>
</file>

<file path=xl/ctrlProps/ctrlProp1396.xml><?xml version="1.0" encoding="utf-8"?>
<formControlPr xmlns="http://schemas.microsoft.com/office/spreadsheetml/2009/9/main" objectType="CheckBox" fmlaLink="$A$34" lockText="1" noThreeD="1"/>
</file>

<file path=xl/ctrlProps/ctrlProp1397.xml><?xml version="1.0" encoding="utf-8"?>
<formControlPr xmlns="http://schemas.microsoft.com/office/spreadsheetml/2009/9/main" objectType="CheckBox" fmlaLink="$A$35" lockText="1" noThreeD="1"/>
</file>

<file path=xl/ctrlProps/ctrlProp1398.xml><?xml version="1.0" encoding="utf-8"?>
<formControlPr xmlns="http://schemas.microsoft.com/office/spreadsheetml/2009/9/main" objectType="CheckBox" fmlaLink="$A$36" lockText="1" noThreeD="1"/>
</file>

<file path=xl/ctrlProps/ctrlProp1399.xml><?xml version="1.0" encoding="utf-8"?>
<formControlPr xmlns="http://schemas.microsoft.com/office/spreadsheetml/2009/9/main" objectType="CheckBox" fmlaLink="$A$37" lockText="1" noThreeD="1"/>
</file>

<file path=xl/ctrlProps/ctrlProp1400.xml><?xml version="1.0" encoding="utf-8"?>
<formControlPr xmlns="http://schemas.microsoft.com/office/spreadsheetml/2009/9/main" objectType="Button" lockText="1"/>
</file>

<file path=xl/ctrlProps/ctrlProp1401.xml><?xml version="1.0" encoding="utf-8"?>
<formControlPr xmlns="http://schemas.microsoft.com/office/spreadsheetml/2009/9/main" objectType="Button" lockText="1"/>
</file>

<file path=xl/ctrlProps/ctrlProp1402.xml><?xml version="1.0" encoding="utf-8"?>
<formControlPr xmlns="http://schemas.microsoft.com/office/spreadsheetml/2009/9/main" objectType="CheckBox" fmlaLink="$D$33" lockText="1" noThreeD="1"/>
</file>

<file path=xl/ctrlProps/ctrlProp1403.xml><?xml version="1.0" encoding="utf-8"?>
<formControlPr xmlns="http://schemas.microsoft.com/office/spreadsheetml/2009/9/main" objectType="CheckBox" lockText="1" noThreeD="1"/>
</file>

<file path=xl/ctrlProps/ctrlProp1404.xml><?xml version="1.0" encoding="utf-8"?>
<formControlPr xmlns="http://schemas.microsoft.com/office/spreadsheetml/2009/9/main" objectType="CheckBox" lockText="1" noThreeD="1"/>
</file>

<file path=xl/ctrlProps/ctrlProp1405.xml><?xml version="1.0" encoding="utf-8"?>
<formControlPr xmlns="http://schemas.microsoft.com/office/spreadsheetml/2009/9/main" objectType="CheckBox" lockText="1" noThreeD="1"/>
</file>

<file path=xl/ctrlProps/ctrlProp1406.xml><?xml version="1.0" encoding="utf-8"?>
<formControlPr xmlns="http://schemas.microsoft.com/office/spreadsheetml/2009/9/main" objectType="CheckBox" lockText="1" noThreeD="1"/>
</file>

<file path=xl/ctrlProps/ctrlProp1407.xml><?xml version="1.0" encoding="utf-8"?>
<formControlPr xmlns="http://schemas.microsoft.com/office/spreadsheetml/2009/9/main" objectType="CheckBox" lockText="1" noThreeD="1"/>
</file>

<file path=xl/ctrlProps/ctrlProp1408.xml><?xml version="1.0" encoding="utf-8"?>
<formControlPr xmlns="http://schemas.microsoft.com/office/spreadsheetml/2009/9/main" objectType="CheckBox" lockText="1" noThreeD="1"/>
</file>

<file path=xl/ctrlProps/ctrlProp1409.xml><?xml version="1.0" encoding="utf-8"?>
<formControlPr xmlns="http://schemas.microsoft.com/office/spreadsheetml/2009/9/main" objectType="CheckBox" lockText="1" noThreeD="1"/>
</file>

<file path=xl/ctrlProps/ctrlProp1410.xml><?xml version="1.0" encoding="utf-8"?>
<formControlPr xmlns="http://schemas.microsoft.com/office/spreadsheetml/2009/9/main" objectType="CheckBox" fmlaLink="$A$43" lockText="1" noThreeD="1"/>
</file>

<file path=xl/ctrlProps/ctrlProp1411.xml><?xml version="1.0" encoding="utf-8"?>
<formControlPr xmlns="http://schemas.microsoft.com/office/spreadsheetml/2009/9/main" objectType="CheckBox" fmlaLink="$A$44" lockText="1" noThreeD="1"/>
</file>

<file path=xl/ctrlProps/ctrlProp1412.xml><?xml version="1.0" encoding="utf-8"?>
<formControlPr xmlns="http://schemas.microsoft.com/office/spreadsheetml/2009/9/main" objectType="CheckBox" fmlaLink="$A$45" lockText="1" noThreeD="1"/>
</file>

<file path=xl/ctrlProps/ctrlProp1413.xml><?xml version="1.0" encoding="utf-8"?>
<formControlPr xmlns="http://schemas.microsoft.com/office/spreadsheetml/2009/9/main" objectType="CheckBox" fmlaLink="$A$46" lockText="1" noThreeD="1"/>
</file>

<file path=xl/ctrlProps/ctrlProp1414.xml><?xml version="1.0" encoding="utf-8"?>
<formControlPr xmlns="http://schemas.microsoft.com/office/spreadsheetml/2009/9/main" objectType="CheckBox" fmlaLink="$A$47" lockText="1" noThreeD="1"/>
</file>

<file path=xl/ctrlProps/ctrlProp1415.xml><?xml version="1.0" encoding="utf-8"?>
<formControlPr xmlns="http://schemas.microsoft.com/office/spreadsheetml/2009/9/main" objectType="CheckBox" fmlaLink="$A$48" lockText="1" noThreeD="1"/>
</file>

<file path=xl/ctrlProps/ctrlProp1416.xml><?xml version="1.0" encoding="utf-8"?>
<formControlPr xmlns="http://schemas.microsoft.com/office/spreadsheetml/2009/9/main" objectType="CheckBox" fmlaLink="$A$49" lockText="1" noThreeD="1"/>
</file>

<file path=xl/ctrlProps/ctrlProp1417.xml><?xml version="1.0" encoding="utf-8"?>
<formControlPr xmlns="http://schemas.microsoft.com/office/spreadsheetml/2009/9/main" objectType="Button" lockText="1"/>
</file>

<file path=xl/ctrlProps/ctrlProp1418.xml><?xml version="1.0" encoding="utf-8"?>
<formControlPr xmlns="http://schemas.microsoft.com/office/spreadsheetml/2009/9/main" objectType="Button" lockText="1"/>
</file>

<file path=xl/ctrlProps/ctrlProp1419.xml><?xml version="1.0" encoding="utf-8"?>
<formControlPr xmlns="http://schemas.microsoft.com/office/spreadsheetml/2009/9/main" objectType="CheckBox" fmlaLink="$A$40" lockText="1" noThreeD="1"/>
</file>

<file path=xl/ctrlProps/ctrlProp1420.xml><?xml version="1.0" encoding="utf-8"?>
<formControlPr xmlns="http://schemas.microsoft.com/office/spreadsheetml/2009/9/main" objectType="Button" lockText="1"/>
</file>

<file path=xl/ctrlProps/ctrlProp1421.xml><?xml version="1.0" encoding="utf-8"?>
<formControlPr xmlns="http://schemas.microsoft.com/office/spreadsheetml/2009/9/main" objectType="Button" lockText="1"/>
</file>

<file path=xl/ctrlProps/ctrlProp1422.xml><?xml version="1.0" encoding="utf-8"?>
<formControlPr xmlns="http://schemas.microsoft.com/office/spreadsheetml/2009/9/main" objectType="Button" lockText="1"/>
</file>

<file path=xl/ctrlProps/ctrlProp1423.xml><?xml version="1.0" encoding="utf-8"?>
<formControlPr xmlns="http://schemas.microsoft.com/office/spreadsheetml/2009/9/main" objectType="Button" lockText="1"/>
</file>

<file path=xl/ctrlProps/ctrlProp1424.xml><?xml version="1.0" encoding="utf-8"?>
<formControlPr xmlns="http://schemas.microsoft.com/office/spreadsheetml/2009/9/main" objectType="CheckBox" fmlaLink="$A$49" lockText="1" noThreeD="1"/>
</file>

<file path=xl/ctrlProps/ctrlProp1425.xml><?xml version="1.0" encoding="utf-8"?>
<formControlPr xmlns="http://schemas.microsoft.com/office/spreadsheetml/2009/9/main" objectType="CheckBox" fmlaLink="$A$28" lockText="1" noThreeD="1"/>
</file>

<file path=xl/ctrlProps/ctrlProp1426.xml><?xml version="1.0" encoding="utf-8"?>
<formControlPr xmlns="http://schemas.microsoft.com/office/spreadsheetml/2009/9/main" objectType="CheckBox" fmlaLink="$A$29" lockText="1" noThreeD="1"/>
</file>

<file path=xl/ctrlProps/ctrlProp1427.xml><?xml version="1.0" encoding="utf-8"?>
<formControlPr xmlns="http://schemas.microsoft.com/office/spreadsheetml/2009/9/main" objectType="CheckBox" fmlaLink="$A$30" lockText="1" noThreeD="1"/>
</file>

<file path=xl/ctrlProps/ctrlProp1428.xml><?xml version="1.0" encoding="utf-8"?>
<formControlPr xmlns="http://schemas.microsoft.com/office/spreadsheetml/2009/9/main" objectType="CheckBox" fmlaLink="$A$31" lockText="1" noThreeD="1"/>
</file>

<file path=xl/ctrlProps/ctrlProp1429.xml><?xml version="1.0" encoding="utf-8"?>
<formControlPr xmlns="http://schemas.microsoft.com/office/spreadsheetml/2009/9/main" objectType="CheckBox" fmlaLink="$E$28" lockText="1" noThreeD="1"/>
</file>

<file path=xl/ctrlProps/ctrlProp1430.xml><?xml version="1.0" encoding="utf-8"?>
<formControlPr xmlns="http://schemas.microsoft.com/office/spreadsheetml/2009/9/main" objectType="CheckBox" fmlaLink="$E$29" lockText="1" noThreeD="1"/>
</file>

<file path=xl/ctrlProps/ctrlProp1431.xml><?xml version="1.0" encoding="utf-8"?>
<formControlPr xmlns="http://schemas.microsoft.com/office/spreadsheetml/2009/9/main" objectType="CheckBox" fmlaLink="$E$30" lockText="1" noThreeD="1"/>
</file>

<file path=xl/ctrlProps/ctrlProp1432.xml><?xml version="1.0" encoding="utf-8"?>
<formControlPr xmlns="http://schemas.microsoft.com/office/spreadsheetml/2009/9/main" objectType="CheckBox" fmlaLink="$A$33" lockText="1" noThreeD="1"/>
</file>

<file path=xl/ctrlProps/ctrlProp1433.xml><?xml version="1.0" encoding="utf-8"?>
<formControlPr xmlns="http://schemas.microsoft.com/office/spreadsheetml/2009/9/main" objectType="CheckBox" fmlaLink="$A$34" lockText="1" noThreeD="1"/>
</file>

<file path=xl/ctrlProps/ctrlProp1434.xml><?xml version="1.0" encoding="utf-8"?>
<formControlPr xmlns="http://schemas.microsoft.com/office/spreadsheetml/2009/9/main" objectType="CheckBox" fmlaLink="$A$35" lockText="1" noThreeD="1"/>
</file>

<file path=xl/ctrlProps/ctrlProp1435.xml><?xml version="1.0" encoding="utf-8"?>
<formControlPr xmlns="http://schemas.microsoft.com/office/spreadsheetml/2009/9/main" objectType="CheckBox" fmlaLink="$A$36" lockText="1" noThreeD="1"/>
</file>

<file path=xl/ctrlProps/ctrlProp1436.xml><?xml version="1.0" encoding="utf-8"?>
<formControlPr xmlns="http://schemas.microsoft.com/office/spreadsheetml/2009/9/main" objectType="CheckBox" fmlaLink="$A$37" lockText="1" noThreeD="1"/>
</file>

<file path=xl/ctrlProps/ctrlProp1437.xml><?xml version="1.0" encoding="utf-8"?>
<formControlPr xmlns="http://schemas.microsoft.com/office/spreadsheetml/2009/9/main" objectType="Button" lockText="1"/>
</file>

<file path=xl/ctrlProps/ctrlProp1438.xml><?xml version="1.0" encoding="utf-8"?>
<formControlPr xmlns="http://schemas.microsoft.com/office/spreadsheetml/2009/9/main" objectType="Button" lockText="1"/>
</file>

<file path=xl/ctrlProps/ctrlProp1439.xml><?xml version="1.0" encoding="utf-8"?>
<formControlPr xmlns="http://schemas.microsoft.com/office/spreadsheetml/2009/9/main" objectType="CheckBox" fmlaLink="$D$33" lockText="1" noThreeD="1"/>
</file>

<file path=xl/ctrlProps/ctrlProp1440.xml><?xml version="1.0" encoding="utf-8"?>
<formControlPr xmlns="http://schemas.microsoft.com/office/spreadsheetml/2009/9/main" objectType="CheckBox" lockText="1" noThreeD="1"/>
</file>

<file path=xl/ctrlProps/ctrlProp1441.xml><?xml version="1.0" encoding="utf-8"?>
<formControlPr xmlns="http://schemas.microsoft.com/office/spreadsheetml/2009/9/main" objectType="CheckBox" lockText="1" noThreeD="1"/>
</file>

<file path=xl/ctrlProps/ctrlProp1442.xml><?xml version="1.0" encoding="utf-8"?>
<formControlPr xmlns="http://schemas.microsoft.com/office/spreadsheetml/2009/9/main" objectType="CheckBox" lockText="1" noThreeD="1"/>
</file>

<file path=xl/ctrlProps/ctrlProp1443.xml><?xml version="1.0" encoding="utf-8"?>
<formControlPr xmlns="http://schemas.microsoft.com/office/spreadsheetml/2009/9/main" objectType="CheckBox" lockText="1" noThreeD="1"/>
</file>

<file path=xl/ctrlProps/ctrlProp1444.xml><?xml version="1.0" encoding="utf-8"?>
<formControlPr xmlns="http://schemas.microsoft.com/office/spreadsheetml/2009/9/main" objectType="CheckBox" lockText="1" noThreeD="1"/>
</file>

<file path=xl/ctrlProps/ctrlProp1445.xml><?xml version="1.0" encoding="utf-8"?>
<formControlPr xmlns="http://schemas.microsoft.com/office/spreadsheetml/2009/9/main" objectType="CheckBox" lockText="1" noThreeD="1"/>
</file>

<file path=xl/ctrlProps/ctrlProp1446.xml><?xml version="1.0" encoding="utf-8"?>
<formControlPr xmlns="http://schemas.microsoft.com/office/spreadsheetml/2009/9/main" objectType="CheckBox" lockText="1" noThreeD="1"/>
</file>

<file path=xl/ctrlProps/ctrlProp1447.xml><?xml version="1.0" encoding="utf-8"?>
<formControlPr xmlns="http://schemas.microsoft.com/office/spreadsheetml/2009/9/main" objectType="CheckBox" fmlaLink="$A$43" lockText="1" noThreeD="1"/>
</file>

<file path=xl/ctrlProps/ctrlProp1448.xml><?xml version="1.0" encoding="utf-8"?>
<formControlPr xmlns="http://schemas.microsoft.com/office/spreadsheetml/2009/9/main" objectType="CheckBox" fmlaLink="$A$44" lockText="1" noThreeD="1"/>
</file>

<file path=xl/ctrlProps/ctrlProp1449.xml><?xml version="1.0" encoding="utf-8"?>
<formControlPr xmlns="http://schemas.microsoft.com/office/spreadsheetml/2009/9/main" objectType="CheckBox" fmlaLink="$A$45" lockText="1" noThreeD="1"/>
</file>

<file path=xl/ctrlProps/ctrlProp1450.xml><?xml version="1.0" encoding="utf-8"?>
<formControlPr xmlns="http://schemas.microsoft.com/office/spreadsheetml/2009/9/main" objectType="CheckBox" fmlaLink="$A$46" lockText="1" noThreeD="1"/>
</file>

<file path=xl/ctrlProps/ctrlProp1451.xml><?xml version="1.0" encoding="utf-8"?>
<formControlPr xmlns="http://schemas.microsoft.com/office/spreadsheetml/2009/9/main" objectType="CheckBox" fmlaLink="$A$47" lockText="1" noThreeD="1"/>
</file>

<file path=xl/ctrlProps/ctrlProp1452.xml><?xml version="1.0" encoding="utf-8"?>
<formControlPr xmlns="http://schemas.microsoft.com/office/spreadsheetml/2009/9/main" objectType="CheckBox" fmlaLink="$A$48" lockText="1" noThreeD="1"/>
</file>

<file path=xl/ctrlProps/ctrlProp1453.xml><?xml version="1.0" encoding="utf-8"?>
<formControlPr xmlns="http://schemas.microsoft.com/office/spreadsheetml/2009/9/main" objectType="CheckBox" fmlaLink="$A$49" lockText="1" noThreeD="1"/>
</file>

<file path=xl/ctrlProps/ctrlProp1454.xml><?xml version="1.0" encoding="utf-8"?>
<formControlPr xmlns="http://schemas.microsoft.com/office/spreadsheetml/2009/9/main" objectType="Button" lockText="1"/>
</file>

<file path=xl/ctrlProps/ctrlProp1455.xml><?xml version="1.0" encoding="utf-8"?>
<formControlPr xmlns="http://schemas.microsoft.com/office/spreadsheetml/2009/9/main" objectType="Button" lockText="1"/>
</file>

<file path=xl/ctrlProps/ctrlProp1456.xml><?xml version="1.0" encoding="utf-8"?>
<formControlPr xmlns="http://schemas.microsoft.com/office/spreadsheetml/2009/9/main" objectType="CheckBox" fmlaLink="$A$40" lockText="1" noThreeD="1"/>
</file>

<file path=xl/ctrlProps/ctrlProp1457.xml><?xml version="1.0" encoding="utf-8"?>
<formControlPr xmlns="http://schemas.microsoft.com/office/spreadsheetml/2009/9/main" objectType="Button" lockText="1"/>
</file>

<file path=xl/ctrlProps/ctrlProp1458.xml><?xml version="1.0" encoding="utf-8"?>
<formControlPr xmlns="http://schemas.microsoft.com/office/spreadsheetml/2009/9/main" objectType="Button" lockText="1"/>
</file>

<file path=xl/ctrlProps/ctrlProp1459.xml><?xml version="1.0" encoding="utf-8"?>
<formControlPr xmlns="http://schemas.microsoft.com/office/spreadsheetml/2009/9/main" objectType="Button" lockText="1"/>
</file>

<file path=xl/ctrlProps/ctrlProp1460.xml><?xml version="1.0" encoding="utf-8"?>
<formControlPr xmlns="http://schemas.microsoft.com/office/spreadsheetml/2009/9/main" objectType="Button" lockText="1"/>
</file>

<file path=xl/ctrlProps/ctrlProp1461.xml><?xml version="1.0" encoding="utf-8"?>
<formControlPr xmlns="http://schemas.microsoft.com/office/spreadsheetml/2009/9/main" objectType="CheckBox" fmlaLink="$A$49" lockText="1" noThreeD="1"/>
</file>

<file path=xl/ctrlProps/ctrlProp1462.xml><?xml version="1.0" encoding="utf-8"?>
<formControlPr xmlns="http://schemas.microsoft.com/office/spreadsheetml/2009/9/main" objectType="CheckBox" checked="Checked" fmlaLink="$A$28" lockText="1" noThreeD="1"/>
</file>

<file path=xl/ctrlProps/ctrlProp1463.xml><?xml version="1.0" encoding="utf-8"?>
<formControlPr xmlns="http://schemas.microsoft.com/office/spreadsheetml/2009/9/main" objectType="CheckBox" checked="Checked" fmlaLink="$A$29" lockText="1" noThreeD="1"/>
</file>

<file path=xl/ctrlProps/ctrlProp1464.xml><?xml version="1.0" encoding="utf-8"?>
<formControlPr xmlns="http://schemas.microsoft.com/office/spreadsheetml/2009/9/main" objectType="CheckBox" checked="Checked" fmlaLink="$A$30" lockText="1" noThreeD="1"/>
</file>

<file path=xl/ctrlProps/ctrlProp1465.xml><?xml version="1.0" encoding="utf-8"?>
<formControlPr xmlns="http://schemas.microsoft.com/office/spreadsheetml/2009/9/main" objectType="CheckBox" checked="Checked" fmlaLink="$A$31" lockText="1" noThreeD="1"/>
</file>

<file path=xl/ctrlProps/ctrlProp1466.xml><?xml version="1.0" encoding="utf-8"?>
<formControlPr xmlns="http://schemas.microsoft.com/office/spreadsheetml/2009/9/main" objectType="CheckBox" checked="Checked" fmlaLink="$E$28" lockText="1" noThreeD="1"/>
</file>

<file path=xl/ctrlProps/ctrlProp1467.xml><?xml version="1.0" encoding="utf-8"?>
<formControlPr xmlns="http://schemas.microsoft.com/office/spreadsheetml/2009/9/main" objectType="CheckBox" checked="Checked" fmlaLink="$E$29" lockText="1" noThreeD="1"/>
</file>

<file path=xl/ctrlProps/ctrlProp1468.xml><?xml version="1.0" encoding="utf-8"?>
<formControlPr xmlns="http://schemas.microsoft.com/office/spreadsheetml/2009/9/main" objectType="CheckBox" checked="Checked" fmlaLink="$E$30" lockText="1" noThreeD="1"/>
</file>

<file path=xl/ctrlProps/ctrlProp1469.xml><?xml version="1.0" encoding="utf-8"?>
<formControlPr xmlns="http://schemas.microsoft.com/office/spreadsheetml/2009/9/main" objectType="CheckBox" checked="Checked" fmlaLink="$A$33" lockText="1" noThreeD="1"/>
</file>

<file path=xl/ctrlProps/ctrlProp1470.xml><?xml version="1.0" encoding="utf-8"?>
<formControlPr xmlns="http://schemas.microsoft.com/office/spreadsheetml/2009/9/main" objectType="CheckBox" checked="Checked" fmlaLink="$A$34" lockText="1" noThreeD="1"/>
</file>

<file path=xl/ctrlProps/ctrlProp1471.xml><?xml version="1.0" encoding="utf-8"?>
<formControlPr xmlns="http://schemas.microsoft.com/office/spreadsheetml/2009/9/main" objectType="CheckBox" checked="Checked" fmlaLink="$A$35" lockText="1" noThreeD="1"/>
</file>

<file path=xl/ctrlProps/ctrlProp1472.xml><?xml version="1.0" encoding="utf-8"?>
<formControlPr xmlns="http://schemas.microsoft.com/office/spreadsheetml/2009/9/main" objectType="CheckBox" checked="Checked" fmlaLink="$A$36" lockText="1" noThreeD="1"/>
</file>

<file path=xl/ctrlProps/ctrlProp1473.xml><?xml version="1.0" encoding="utf-8"?>
<formControlPr xmlns="http://schemas.microsoft.com/office/spreadsheetml/2009/9/main" objectType="CheckBox" checked="Checked" fmlaLink="$A$37" lockText="1" noThreeD="1"/>
</file>

<file path=xl/ctrlProps/ctrlProp1474.xml><?xml version="1.0" encoding="utf-8"?>
<formControlPr xmlns="http://schemas.microsoft.com/office/spreadsheetml/2009/9/main" objectType="Button" lockText="1"/>
</file>

<file path=xl/ctrlProps/ctrlProp1475.xml><?xml version="1.0" encoding="utf-8"?>
<formControlPr xmlns="http://schemas.microsoft.com/office/spreadsheetml/2009/9/main" objectType="Button" lockText="1"/>
</file>

<file path=xl/ctrlProps/ctrlProp1476.xml><?xml version="1.0" encoding="utf-8"?>
<formControlPr xmlns="http://schemas.microsoft.com/office/spreadsheetml/2009/9/main" objectType="CheckBox" checked="Checked" fmlaLink="$D$33" lockText="1" noThreeD="1"/>
</file>

<file path=xl/ctrlProps/ctrlProp1477.xml><?xml version="1.0" encoding="utf-8"?>
<formControlPr xmlns="http://schemas.microsoft.com/office/spreadsheetml/2009/9/main" objectType="CheckBox" checked="Checked" lockText="1" noThreeD="1"/>
</file>

<file path=xl/ctrlProps/ctrlProp1478.xml><?xml version="1.0" encoding="utf-8"?>
<formControlPr xmlns="http://schemas.microsoft.com/office/spreadsheetml/2009/9/main" objectType="CheckBox" checked="Checked" lockText="1" noThreeD="1"/>
</file>

<file path=xl/ctrlProps/ctrlProp1479.xml><?xml version="1.0" encoding="utf-8"?>
<formControlPr xmlns="http://schemas.microsoft.com/office/spreadsheetml/2009/9/main" objectType="CheckBox" checked="Checked" lockText="1" noThreeD="1"/>
</file>

<file path=xl/ctrlProps/ctrlProp1480.xml><?xml version="1.0" encoding="utf-8"?>
<formControlPr xmlns="http://schemas.microsoft.com/office/spreadsheetml/2009/9/main" objectType="CheckBox" checked="Checked" lockText="1" noThreeD="1"/>
</file>

<file path=xl/ctrlProps/ctrlProp1481.xml><?xml version="1.0" encoding="utf-8"?>
<formControlPr xmlns="http://schemas.microsoft.com/office/spreadsheetml/2009/9/main" objectType="CheckBox" checked="Checked" lockText="1" noThreeD="1"/>
</file>

<file path=xl/ctrlProps/ctrlProp1482.xml><?xml version="1.0" encoding="utf-8"?>
<formControlPr xmlns="http://schemas.microsoft.com/office/spreadsheetml/2009/9/main" objectType="CheckBox" checked="Checked" lockText="1" noThreeD="1"/>
</file>

<file path=xl/ctrlProps/ctrlProp1483.xml><?xml version="1.0" encoding="utf-8"?>
<formControlPr xmlns="http://schemas.microsoft.com/office/spreadsheetml/2009/9/main" objectType="CheckBox" checked="Checked" lockText="1" noThreeD="1"/>
</file>

<file path=xl/ctrlProps/ctrlProp1484.xml><?xml version="1.0" encoding="utf-8"?>
<formControlPr xmlns="http://schemas.microsoft.com/office/spreadsheetml/2009/9/main" objectType="CheckBox" fmlaLink="$A$43" lockText="1" noThreeD="1"/>
</file>

<file path=xl/ctrlProps/ctrlProp1485.xml><?xml version="1.0" encoding="utf-8"?>
<formControlPr xmlns="http://schemas.microsoft.com/office/spreadsheetml/2009/9/main" objectType="CheckBox" fmlaLink="$A$44" lockText="1" noThreeD="1"/>
</file>

<file path=xl/ctrlProps/ctrlProp1486.xml><?xml version="1.0" encoding="utf-8"?>
<formControlPr xmlns="http://schemas.microsoft.com/office/spreadsheetml/2009/9/main" objectType="CheckBox" fmlaLink="$A$45" lockText="1" noThreeD="1"/>
</file>

<file path=xl/ctrlProps/ctrlProp1487.xml><?xml version="1.0" encoding="utf-8"?>
<formControlPr xmlns="http://schemas.microsoft.com/office/spreadsheetml/2009/9/main" objectType="CheckBox" fmlaLink="$A$46" lockText="1" noThreeD="1"/>
</file>

<file path=xl/ctrlProps/ctrlProp1488.xml><?xml version="1.0" encoding="utf-8"?>
<formControlPr xmlns="http://schemas.microsoft.com/office/spreadsheetml/2009/9/main" objectType="CheckBox" fmlaLink="$A$47" lockText="1" noThreeD="1"/>
</file>

<file path=xl/ctrlProps/ctrlProp1489.xml><?xml version="1.0" encoding="utf-8"?>
<formControlPr xmlns="http://schemas.microsoft.com/office/spreadsheetml/2009/9/main" objectType="CheckBox" fmlaLink="$A$48" lockText="1" noThreeD="1"/>
</file>

<file path=xl/ctrlProps/ctrlProp1490.xml><?xml version="1.0" encoding="utf-8"?>
<formControlPr xmlns="http://schemas.microsoft.com/office/spreadsheetml/2009/9/main" objectType="CheckBox" fmlaLink="$A$49" lockText="1" noThreeD="1"/>
</file>

<file path=xl/ctrlProps/ctrlProp1491.xml><?xml version="1.0" encoding="utf-8"?>
<formControlPr xmlns="http://schemas.microsoft.com/office/spreadsheetml/2009/9/main" objectType="Button" lockText="1"/>
</file>

<file path=xl/ctrlProps/ctrlProp1492.xml><?xml version="1.0" encoding="utf-8"?>
<formControlPr xmlns="http://schemas.microsoft.com/office/spreadsheetml/2009/9/main" objectType="Button" lockText="1"/>
</file>

<file path=xl/ctrlProps/ctrlProp1493.xml><?xml version="1.0" encoding="utf-8"?>
<formControlPr xmlns="http://schemas.microsoft.com/office/spreadsheetml/2009/9/main" objectType="CheckBox" fmlaLink="$A$40" lockText="1" noThreeD="1"/>
</file>

<file path=xl/ctrlProps/ctrlProp1494.xml><?xml version="1.0" encoding="utf-8"?>
<formControlPr xmlns="http://schemas.microsoft.com/office/spreadsheetml/2009/9/main" objectType="Button" lockText="1"/>
</file>

<file path=xl/ctrlProps/ctrlProp1495.xml><?xml version="1.0" encoding="utf-8"?>
<formControlPr xmlns="http://schemas.microsoft.com/office/spreadsheetml/2009/9/main" objectType="Button" lockText="1"/>
</file>

<file path=xl/ctrlProps/ctrlProp1496.xml><?xml version="1.0" encoding="utf-8"?>
<formControlPr xmlns="http://schemas.microsoft.com/office/spreadsheetml/2009/9/main" objectType="Button" lockText="1"/>
</file>

<file path=xl/ctrlProps/ctrlProp1497.xml><?xml version="1.0" encoding="utf-8"?>
<formControlPr xmlns="http://schemas.microsoft.com/office/spreadsheetml/2009/9/main" objectType="Button" lockText="1"/>
</file>

<file path=xl/ctrlProps/ctrlProp1498.xml><?xml version="1.0" encoding="utf-8"?>
<formControlPr xmlns="http://schemas.microsoft.com/office/spreadsheetml/2009/9/main" objectType="CheckBox" fmlaLink="$A$49" lockText="1" noThreeD="1"/>
</file>

<file path=xl/ctrlProps/ctrlProp1499.xml><?xml version="1.0" encoding="utf-8"?>
<formControlPr xmlns="http://schemas.microsoft.com/office/spreadsheetml/2009/9/main" objectType="CheckBox" fmlaLink="$A$28" lockText="1" noThreeD="1"/>
</file>

<file path=xl/ctrlProps/ctrlProp1500.xml><?xml version="1.0" encoding="utf-8"?>
<formControlPr xmlns="http://schemas.microsoft.com/office/spreadsheetml/2009/9/main" objectType="CheckBox" fmlaLink="$A$29" lockText="1" noThreeD="1"/>
</file>

<file path=xl/ctrlProps/ctrlProp1501.xml><?xml version="1.0" encoding="utf-8"?>
<formControlPr xmlns="http://schemas.microsoft.com/office/spreadsheetml/2009/9/main" objectType="CheckBox" fmlaLink="$A$30" lockText="1" noThreeD="1"/>
</file>

<file path=xl/ctrlProps/ctrlProp1502.xml><?xml version="1.0" encoding="utf-8"?>
<formControlPr xmlns="http://schemas.microsoft.com/office/spreadsheetml/2009/9/main" objectType="CheckBox" fmlaLink="$A$31" lockText="1" noThreeD="1"/>
</file>

<file path=xl/ctrlProps/ctrlProp1503.xml><?xml version="1.0" encoding="utf-8"?>
<formControlPr xmlns="http://schemas.microsoft.com/office/spreadsheetml/2009/9/main" objectType="CheckBox" fmlaLink="$E$28" lockText="1" noThreeD="1"/>
</file>

<file path=xl/ctrlProps/ctrlProp1504.xml><?xml version="1.0" encoding="utf-8"?>
<formControlPr xmlns="http://schemas.microsoft.com/office/spreadsheetml/2009/9/main" objectType="CheckBox" fmlaLink="$E$29" lockText="1" noThreeD="1"/>
</file>

<file path=xl/ctrlProps/ctrlProp1505.xml><?xml version="1.0" encoding="utf-8"?>
<formControlPr xmlns="http://schemas.microsoft.com/office/spreadsheetml/2009/9/main" objectType="CheckBox" fmlaLink="$E$30" lockText="1" noThreeD="1"/>
</file>

<file path=xl/ctrlProps/ctrlProp1506.xml><?xml version="1.0" encoding="utf-8"?>
<formControlPr xmlns="http://schemas.microsoft.com/office/spreadsheetml/2009/9/main" objectType="CheckBox" fmlaLink="$A$33" lockText="1" noThreeD="1"/>
</file>

<file path=xl/ctrlProps/ctrlProp1507.xml><?xml version="1.0" encoding="utf-8"?>
<formControlPr xmlns="http://schemas.microsoft.com/office/spreadsheetml/2009/9/main" objectType="CheckBox" fmlaLink="$A$34" lockText="1" noThreeD="1"/>
</file>

<file path=xl/ctrlProps/ctrlProp1508.xml><?xml version="1.0" encoding="utf-8"?>
<formControlPr xmlns="http://schemas.microsoft.com/office/spreadsheetml/2009/9/main" objectType="CheckBox" fmlaLink="$A$35" lockText="1" noThreeD="1"/>
</file>

<file path=xl/ctrlProps/ctrlProp1509.xml><?xml version="1.0" encoding="utf-8"?>
<formControlPr xmlns="http://schemas.microsoft.com/office/spreadsheetml/2009/9/main" objectType="CheckBox" fmlaLink="$A$36" lockText="1" noThreeD="1"/>
</file>

<file path=xl/ctrlProps/ctrlProp1510.xml><?xml version="1.0" encoding="utf-8"?>
<formControlPr xmlns="http://schemas.microsoft.com/office/spreadsheetml/2009/9/main" objectType="CheckBox" fmlaLink="$A$37" lockText="1" noThreeD="1"/>
</file>

<file path=xl/ctrlProps/ctrlProp1511.xml><?xml version="1.0" encoding="utf-8"?>
<formControlPr xmlns="http://schemas.microsoft.com/office/spreadsheetml/2009/9/main" objectType="Button" lockText="1"/>
</file>

<file path=xl/ctrlProps/ctrlProp1512.xml><?xml version="1.0" encoding="utf-8"?>
<formControlPr xmlns="http://schemas.microsoft.com/office/spreadsheetml/2009/9/main" objectType="Button" lockText="1"/>
</file>

<file path=xl/ctrlProps/ctrlProp1513.xml><?xml version="1.0" encoding="utf-8"?>
<formControlPr xmlns="http://schemas.microsoft.com/office/spreadsheetml/2009/9/main" objectType="CheckBox" fmlaLink="$D$33" lockText="1" noThreeD="1"/>
</file>

<file path=xl/ctrlProps/ctrlProp1514.xml><?xml version="1.0" encoding="utf-8"?>
<formControlPr xmlns="http://schemas.microsoft.com/office/spreadsheetml/2009/9/main" objectType="CheckBox" lockText="1" noThreeD="1"/>
</file>

<file path=xl/ctrlProps/ctrlProp1515.xml><?xml version="1.0" encoding="utf-8"?>
<formControlPr xmlns="http://schemas.microsoft.com/office/spreadsheetml/2009/9/main" objectType="CheckBox" lockText="1" noThreeD="1"/>
</file>

<file path=xl/ctrlProps/ctrlProp1516.xml><?xml version="1.0" encoding="utf-8"?>
<formControlPr xmlns="http://schemas.microsoft.com/office/spreadsheetml/2009/9/main" objectType="CheckBox" lockText="1" noThreeD="1"/>
</file>

<file path=xl/ctrlProps/ctrlProp1517.xml><?xml version="1.0" encoding="utf-8"?>
<formControlPr xmlns="http://schemas.microsoft.com/office/spreadsheetml/2009/9/main" objectType="CheckBox" lockText="1" noThreeD="1"/>
</file>

<file path=xl/ctrlProps/ctrlProp1518.xml><?xml version="1.0" encoding="utf-8"?>
<formControlPr xmlns="http://schemas.microsoft.com/office/spreadsheetml/2009/9/main" objectType="CheckBox" lockText="1" noThreeD="1"/>
</file>

<file path=xl/ctrlProps/ctrlProp1519.xml><?xml version="1.0" encoding="utf-8"?>
<formControlPr xmlns="http://schemas.microsoft.com/office/spreadsheetml/2009/9/main" objectType="CheckBox" lockText="1" noThreeD="1"/>
</file>

<file path=xl/ctrlProps/ctrlProp1520.xml><?xml version="1.0" encoding="utf-8"?>
<formControlPr xmlns="http://schemas.microsoft.com/office/spreadsheetml/2009/9/main" objectType="CheckBox" lockText="1" noThreeD="1"/>
</file>

<file path=xl/ctrlProps/ctrlProp1521.xml><?xml version="1.0" encoding="utf-8"?>
<formControlPr xmlns="http://schemas.microsoft.com/office/spreadsheetml/2009/9/main" objectType="CheckBox" fmlaLink="$A$43" lockText="1" noThreeD="1"/>
</file>

<file path=xl/ctrlProps/ctrlProp1522.xml><?xml version="1.0" encoding="utf-8"?>
<formControlPr xmlns="http://schemas.microsoft.com/office/spreadsheetml/2009/9/main" objectType="CheckBox" fmlaLink="$A$44" lockText="1" noThreeD="1"/>
</file>

<file path=xl/ctrlProps/ctrlProp1523.xml><?xml version="1.0" encoding="utf-8"?>
<formControlPr xmlns="http://schemas.microsoft.com/office/spreadsheetml/2009/9/main" objectType="CheckBox" fmlaLink="$A$45" lockText="1" noThreeD="1"/>
</file>

<file path=xl/ctrlProps/ctrlProp1524.xml><?xml version="1.0" encoding="utf-8"?>
<formControlPr xmlns="http://schemas.microsoft.com/office/spreadsheetml/2009/9/main" objectType="CheckBox" fmlaLink="$A$46" lockText="1" noThreeD="1"/>
</file>

<file path=xl/ctrlProps/ctrlProp1525.xml><?xml version="1.0" encoding="utf-8"?>
<formControlPr xmlns="http://schemas.microsoft.com/office/spreadsheetml/2009/9/main" objectType="CheckBox" fmlaLink="$A$47" lockText="1" noThreeD="1"/>
</file>

<file path=xl/ctrlProps/ctrlProp1526.xml><?xml version="1.0" encoding="utf-8"?>
<formControlPr xmlns="http://schemas.microsoft.com/office/spreadsheetml/2009/9/main" objectType="CheckBox" fmlaLink="$A$48" lockText="1" noThreeD="1"/>
</file>

<file path=xl/ctrlProps/ctrlProp1527.xml><?xml version="1.0" encoding="utf-8"?>
<formControlPr xmlns="http://schemas.microsoft.com/office/spreadsheetml/2009/9/main" objectType="CheckBox" fmlaLink="$A$49" lockText="1" noThreeD="1"/>
</file>

<file path=xl/ctrlProps/ctrlProp1528.xml><?xml version="1.0" encoding="utf-8"?>
<formControlPr xmlns="http://schemas.microsoft.com/office/spreadsheetml/2009/9/main" objectType="Button" lockText="1"/>
</file>

<file path=xl/ctrlProps/ctrlProp1529.xml><?xml version="1.0" encoding="utf-8"?>
<formControlPr xmlns="http://schemas.microsoft.com/office/spreadsheetml/2009/9/main" objectType="Button" lockText="1"/>
</file>

<file path=xl/ctrlProps/ctrlProp1530.xml><?xml version="1.0" encoding="utf-8"?>
<formControlPr xmlns="http://schemas.microsoft.com/office/spreadsheetml/2009/9/main" objectType="CheckBox" fmlaLink="$A$40" lockText="1" noThreeD="1"/>
</file>

<file path=xl/ctrlProps/ctrlProp1531.xml><?xml version="1.0" encoding="utf-8"?>
<formControlPr xmlns="http://schemas.microsoft.com/office/spreadsheetml/2009/9/main" objectType="Button" lockText="1"/>
</file>

<file path=xl/ctrlProps/ctrlProp1532.xml><?xml version="1.0" encoding="utf-8"?>
<formControlPr xmlns="http://schemas.microsoft.com/office/spreadsheetml/2009/9/main" objectType="Button" lockText="1"/>
</file>

<file path=xl/ctrlProps/ctrlProp1533.xml><?xml version="1.0" encoding="utf-8"?>
<formControlPr xmlns="http://schemas.microsoft.com/office/spreadsheetml/2009/9/main" objectType="Button" lockText="1"/>
</file>

<file path=xl/ctrlProps/ctrlProp1534.xml><?xml version="1.0" encoding="utf-8"?>
<formControlPr xmlns="http://schemas.microsoft.com/office/spreadsheetml/2009/9/main" objectType="Button" lockText="1"/>
</file>

<file path=xl/ctrlProps/ctrlProp1535.xml><?xml version="1.0" encoding="utf-8"?>
<formControlPr xmlns="http://schemas.microsoft.com/office/spreadsheetml/2009/9/main" objectType="CheckBox" fmlaLink="$A$49" lockText="1" noThreeD="1"/>
</file>

<file path=xl/ctrlProps/ctrlProp1536.xml><?xml version="1.0" encoding="utf-8"?>
<formControlPr xmlns="http://schemas.microsoft.com/office/spreadsheetml/2009/9/main" objectType="CheckBox" fmlaLink="$A$28" lockText="1" noThreeD="1"/>
</file>

<file path=xl/ctrlProps/ctrlProp1537.xml><?xml version="1.0" encoding="utf-8"?>
<formControlPr xmlns="http://schemas.microsoft.com/office/spreadsheetml/2009/9/main" objectType="CheckBox" fmlaLink="$A$29" lockText="1" noThreeD="1"/>
</file>

<file path=xl/ctrlProps/ctrlProp1538.xml><?xml version="1.0" encoding="utf-8"?>
<formControlPr xmlns="http://schemas.microsoft.com/office/spreadsheetml/2009/9/main" objectType="CheckBox" fmlaLink="$A$30" lockText="1" noThreeD="1"/>
</file>

<file path=xl/ctrlProps/ctrlProp1539.xml><?xml version="1.0" encoding="utf-8"?>
<formControlPr xmlns="http://schemas.microsoft.com/office/spreadsheetml/2009/9/main" objectType="CheckBox" fmlaLink="$A$31" lockText="1" noThreeD="1"/>
</file>

<file path=xl/ctrlProps/ctrlProp1540.xml><?xml version="1.0" encoding="utf-8"?>
<formControlPr xmlns="http://schemas.microsoft.com/office/spreadsheetml/2009/9/main" objectType="CheckBox" fmlaLink="$E$28" lockText="1" noThreeD="1"/>
</file>

<file path=xl/ctrlProps/ctrlProp1541.xml><?xml version="1.0" encoding="utf-8"?>
<formControlPr xmlns="http://schemas.microsoft.com/office/spreadsheetml/2009/9/main" objectType="CheckBox" fmlaLink="$E$29" lockText="1" noThreeD="1"/>
</file>

<file path=xl/ctrlProps/ctrlProp1542.xml><?xml version="1.0" encoding="utf-8"?>
<formControlPr xmlns="http://schemas.microsoft.com/office/spreadsheetml/2009/9/main" objectType="CheckBox" fmlaLink="$E$30" lockText="1" noThreeD="1"/>
</file>

<file path=xl/ctrlProps/ctrlProp1543.xml><?xml version="1.0" encoding="utf-8"?>
<formControlPr xmlns="http://schemas.microsoft.com/office/spreadsheetml/2009/9/main" objectType="CheckBox" fmlaLink="$A$33" lockText="1" noThreeD="1"/>
</file>

<file path=xl/ctrlProps/ctrlProp1544.xml><?xml version="1.0" encoding="utf-8"?>
<formControlPr xmlns="http://schemas.microsoft.com/office/spreadsheetml/2009/9/main" objectType="CheckBox" fmlaLink="$A$34" lockText="1" noThreeD="1"/>
</file>

<file path=xl/ctrlProps/ctrlProp1545.xml><?xml version="1.0" encoding="utf-8"?>
<formControlPr xmlns="http://schemas.microsoft.com/office/spreadsheetml/2009/9/main" objectType="CheckBox" fmlaLink="$A$35" lockText="1" noThreeD="1"/>
</file>

<file path=xl/ctrlProps/ctrlProp1546.xml><?xml version="1.0" encoding="utf-8"?>
<formControlPr xmlns="http://schemas.microsoft.com/office/spreadsheetml/2009/9/main" objectType="CheckBox" fmlaLink="$A$36" lockText="1" noThreeD="1"/>
</file>

<file path=xl/ctrlProps/ctrlProp1547.xml><?xml version="1.0" encoding="utf-8"?>
<formControlPr xmlns="http://schemas.microsoft.com/office/spreadsheetml/2009/9/main" objectType="CheckBox" fmlaLink="$A$37" lockText="1" noThreeD="1"/>
</file>

<file path=xl/ctrlProps/ctrlProp1548.xml><?xml version="1.0" encoding="utf-8"?>
<formControlPr xmlns="http://schemas.microsoft.com/office/spreadsheetml/2009/9/main" objectType="Button" lockText="1"/>
</file>

<file path=xl/ctrlProps/ctrlProp1549.xml><?xml version="1.0" encoding="utf-8"?>
<formControlPr xmlns="http://schemas.microsoft.com/office/spreadsheetml/2009/9/main" objectType="Button" lockText="1"/>
</file>

<file path=xl/ctrlProps/ctrlProp1550.xml><?xml version="1.0" encoding="utf-8"?>
<formControlPr xmlns="http://schemas.microsoft.com/office/spreadsheetml/2009/9/main" objectType="CheckBox" fmlaLink="$D$33" lockText="1" noThreeD="1"/>
</file>

<file path=xl/ctrlProps/ctrlProp1551.xml><?xml version="1.0" encoding="utf-8"?>
<formControlPr xmlns="http://schemas.microsoft.com/office/spreadsheetml/2009/9/main" objectType="CheckBox" lockText="1" noThreeD="1"/>
</file>

<file path=xl/ctrlProps/ctrlProp1552.xml><?xml version="1.0" encoding="utf-8"?>
<formControlPr xmlns="http://schemas.microsoft.com/office/spreadsheetml/2009/9/main" objectType="CheckBox" lockText="1" noThreeD="1"/>
</file>

<file path=xl/ctrlProps/ctrlProp1553.xml><?xml version="1.0" encoding="utf-8"?>
<formControlPr xmlns="http://schemas.microsoft.com/office/spreadsheetml/2009/9/main" objectType="CheckBox" lockText="1" noThreeD="1"/>
</file>

<file path=xl/ctrlProps/ctrlProp1554.xml><?xml version="1.0" encoding="utf-8"?>
<formControlPr xmlns="http://schemas.microsoft.com/office/spreadsheetml/2009/9/main" objectType="CheckBox" lockText="1" noThreeD="1"/>
</file>

<file path=xl/ctrlProps/ctrlProp1555.xml><?xml version="1.0" encoding="utf-8"?>
<formControlPr xmlns="http://schemas.microsoft.com/office/spreadsheetml/2009/9/main" objectType="CheckBox" lockText="1" noThreeD="1"/>
</file>

<file path=xl/ctrlProps/ctrlProp1556.xml><?xml version="1.0" encoding="utf-8"?>
<formControlPr xmlns="http://schemas.microsoft.com/office/spreadsheetml/2009/9/main" objectType="CheckBox" lockText="1" noThreeD="1"/>
</file>

<file path=xl/ctrlProps/ctrlProp1557.xml><?xml version="1.0" encoding="utf-8"?>
<formControlPr xmlns="http://schemas.microsoft.com/office/spreadsheetml/2009/9/main" objectType="CheckBox" lockText="1" noThreeD="1"/>
</file>

<file path=xl/ctrlProps/ctrlProp1558.xml><?xml version="1.0" encoding="utf-8"?>
<formControlPr xmlns="http://schemas.microsoft.com/office/spreadsheetml/2009/9/main" objectType="CheckBox" fmlaLink="$A$43" lockText="1" noThreeD="1"/>
</file>

<file path=xl/ctrlProps/ctrlProp1559.xml><?xml version="1.0" encoding="utf-8"?>
<formControlPr xmlns="http://schemas.microsoft.com/office/spreadsheetml/2009/9/main" objectType="CheckBox" fmlaLink="$A$44" lockText="1" noThreeD="1"/>
</file>

<file path=xl/ctrlProps/ctrlProp1560.xml><?xml version="1.0" encoding="utf-8"?>
<formControlPr xmlns="http://schemas.microsoft.com/office/spreadsheetml/2009/9/main" objectType="CheckBox" fmlaLink="$A$45" lockText="1" noThreeD="1"/>
</file>

<file path=xl/ctrlProps/ctrlProp1561.xml><?xml version="1.0" encoding="utf-8"?>
<formControlPr xmlns="http://schemas.microsoft.com/office/spreadsheetml/2009/9/main" objectType="CheckBox" fmlaLink="$A$46" lockText="1" noThreeD="1"/>
</file>

<file path=xl/ctrlProps/ctrlProp1562.xml><?xml version="1.0" encoding="utf-8"?>
<formControlPr xmlns="http://schemas.microsoft.com/office/spreadsheetml/2009/9/main" objectType="CheckBox" fmlaLink="$A$47" lockText="1" noThreeD="1"/>
</file>

<file path=xl/ctrlProps/ctrlProp1563.xml><?xml version="1.0" encoding="utf-8"?>
<formControlPr xmlns="http://schemas.microsoft.com/office/spreadsheetml/2009/9/main" objectType="CheckBox" fmlaLink="$A$48" lockText="1" noThreeD="1"/>
</file>

<file path=xl/ctrlProps/ctrlProp1564.xml><?xml version="1.0" encoding="utf-8"?>
<formControlPr xmlns="http://schemas.microsoft.com/office/spreadsheetml/2009/9/main" objectType="CheckBox" fmlaLink="$A$49" lockText="1" noThreeD="1"/>
</file>

<file path=xl/ctrlProps/ctrlProp1565.xml><?xml version="1.0" encoding="utf-8"?>
<formControlPr xmlns="http://schemas.microsoft.com/office/spreadsheetml/2009/9/main" objectType="Button" lockText="1"/>
</file>

<file path=xl/ctrlProps/ctrlProp1566.xml><?xml version="1.0" encoding="utf-8"?>
<formControlPr xmlns="http://schemas.microsoft.com/office/spreadsheetml/2009/9/main" objectType="Button" lockText="1"/>
</file>

<file path=xl/ctrlProps/ctrlProp1567.xml><?xml version="1.0" encoding="utf-8"?>
<formControlPr xmlns="http://schemas.microsoft.com/office/spreadsheetml/2009/9/main" objectType="CheckBox" fmlaLink="$A$40" lockText="1" noThreeD="1"/>
</file>

<file path=xl/ctrlProps/ctrlProp1568.xml><?xml version="1.0" encoding="utf-8"?>
<formControlPr xmlns="http://schemas.microsoft.com/office/spreadsheetml/2009/9/main" objectType="Button" lockText="1"/>
</file>

<file path=xl/ctrlProps/ctrlProp1569.xml><?xml version="1.0" encoding="utf-8"?>
<formControlPr xmlns="http://schemas.microsoft.com/office/spreadsheetml/2009/9/main" objectType="Button" lockText="1"/>
</file>

<file path=xl/ctrlProps/ctrlProp1570.xml><?xml version="1.0" encoding="utf-8"?>
<formControlPr xmlns="http://schemas.microsoft.com/office/spreadsheetml/2009/9/main" objectType="Button" lockText="1"/>
</file>

<file path=xl/ctrlProps/ctrlProp1571.xml><?xml version="1.0" encoding="utf-8"?>
<formControlPr xmlns="http://schemas.microsoft.com/office/spreadsheetml/2009/9/main" objectType="Button" lockText="1"/>
</file>

<file path=xl/ctrlProps/ctrlProp1572.xml><?xml version="1.0" encoding="utf-8"?>
<formControlPr xmlns="http://schemas.microsoft.com/office/spreadsheetml/2009/9/main" objectType="CheckBox" fmlaLink="$A$49" lockText="1" noThreeD="1"/>
</file>

<file path=xl/ctrlProps/ctrlProp1573.xml><?xml version="1.0" encoding="utf-8"?>
<formControlPr xmlns="http://schemas.microsoft.com/office/spreadsheetml/2009/9/main" objectType="CheckBox" checked="Checked" fmlaLink="$A$28" lockText="1" noThreeD="1"/>
</file>

<file path=xl/ctrlProps/ctrlProp1574.xml><?xml version="1.0" encoding="utf-8"?>
<formControlPr xmlns="http://schemas.microsoft.com/office/spreadsheetml/2009/9/main" objectType="CheckBox" checked="Checked" fmlaLink="$A$29" lockText="1" noThreeD="1"/>
</file>

<file path=xl/ctrlProps/ctrlProp1575.xml><?xml version="1.0" encoding="utf-8"?>
<formControlPr xmlns="http://schemas.microsoft.com/office/spreadsheetml/2009/9/main" objectType="CheckBox" checked="Checked" fmlaLink="$A$30" lockText="1" noThreeD="1"/>
</file>

<file path=xl/ctrlProps/ctrlProp1576.xml><?xml version="1.0" encoding="utf-8"?>
<formControlPr xmlns="http://schemas.microsoft.com/office/spreadsheetml/2009/9/main" objectType="CheckBox" checked="Checked" fmlaLink="$A$31" lockText="1" noThreeD="1"/>
</file>

<file path=xl/ctrlProps/ctrlProp1577.xml><?xml version="1.0" encoding="utf-8"?>
<formControlPr xmlns="http://schemas.microsoft.com/office/spreadsheetml/2009/9/main" objectType="CheckBox" checked="Checked" fmlaLink="$E$28" lockText="1" noThreeD="1"/>
</file>

<file path=xl/ctrlProps/ctrlProp1578.xml><?xml version="1.0" encoding="utf-8"?>
<formControlPr xmlns="http://schemas.microsoft.com/office/spreadsheetml/2009/9/main" objectType="CheckBox" checked="Checked" fmlaLink="$E$29" lockText="1" noThreeD="1"/>
</file>

<file path=xl/ctrlProps/ctrlProp1579.xml><?xml version="1.0" encoding="utf-8"?>
<formControlPr xmlns="http://schemas.microsoft.com/office/spreadsheetml/2009/9/main" objectType="CheckBox" checked="Checked" fmlaLink="$E$30" lockText="1" noThreeD="1"/>
</file>

<file path=xl/ctrlProps/ctrlProp1580.xml><?xml version="1.0" encoding="utf-8"?>
<formControlPr xmlns="http://schemas.microsoft.com/office/spreadsheetml/2009/9/main" objectType="CheckBox" checked="Checked" fmlaLink="$A$33" lockText="1" noThreeD="1"/>
</file>

<file path=xl/ctrlProps/ctrlProp1581.xml><?xml version="1.0" encoding="utf-8"?>
<formControlPr xmlns="http://schemas.microsoft.com/office/spreadsheetml/2009/9/main" objectType="CheckBox" checked="Checked" fmlaLink="$A$34" lockText="1" noThreeD="1"/>
</file>

<file path=xl/ctrlProps/ctrlProp1582.xml><?xml version="1.0" encoding="utf-8"?>
<formControlPr xmlns="http://schemas.microsoft.com/office/spreadsheetml/2009/9/main" objectType="CheckBox" checked="Checked" fmlaLink="$A$35" lockText="1" noThreeD="1"/>
</file>

<file path=xl/ctrlProps/ctrlProp1583.xml><?xml version="1.0" encoding="utf-8"?>
<formControlPr xmlns="http://schemas.microsoft.com/office/spreadsheetml/2009/9/main" objectType="CheckBox" checked="Checked" fmlaLink="$A$36" lockText="1" noThreeD="1"/>
</file>

<file path=xl/ctrlProps/ctrlProp1584.xml><?xml version="1.0" encoding="utf-8"?>
<formControlPr xmlns="http://schemas.microsoft.com/office/spreadsheetml/2009/9/main" objectType="CheckBox" checked="Checked" fmlaLink="$A$37" lockText="1" noThreeD="1"/>
</file>

<file path=xl/ctrlProps/ctrlProp1585.xml><?xml version="1.0" encoding="utf-8"?>
<formControlPr xmlns="http://schemas.microsoft.com/office/spreadsheetml/2009/9/main" objectType="Button" lockText="1"/>
</file>

<file path=xl/ctrlProps/ctrlProp1586.xml><?xml version="1.0" encoding="utf-8"?>
<formControlPr xmlns="http://schemas.microsoft.com/office/spreadsheetml/2009/9/main" objectType="Button" lockText="1"/>
</file>

<file path=xl/ctrlProps/ctrlProp1587.xml><?xml version="1.0" encoding="utf-8"?>
<formControlPr xmlns="http://schemas.microsoft.com/office/spreadsheetml/2009/9/main" objectType="CheckBox" checked="Checked" fmlaLink="$D$33" lockText="1" noThreeD="1"/>
</file>

<file path=xl/ctrlProps/ctrlProp1588.xml><?xml version="1.0" encoding="utf-8"?>
<formControlPr xmlns="http://schemas.microsoft.com/office/spreadsheetml/2009/9/main" objectType="CheckBox" checked="Checked" lockText="1" noThreeD="1"/>
</file>

<file path=xl/ctrlProps/ctrlProp1589.xml><?xml version="1.0" encoding="utf-8"?>
<formControlPr xmlns="http://schemas.microsoft.com/office/spreadsheetml/2009/9/main" objectType="CheckBox" checked="Checked" lockText="1" noThreeD="1"/>
</file>

<file path=xl/ctrlProps/ctrlProp1590.xml><?xml version="1.0" encoding="utf-8"?>
<formControlPr xmlns="http://schemas.microsoft.com/office/spreadsheetml/2009/9/main" objectType="CheckBox" checked="Checked" lockText="1" noThreeD="1"/>
</file>

<file path=xl/ctrlProps/ctrlProp1591.xml><?xml version="1.0" encoding="utf-8"?>
<formControlPr xmlns="http://schemas.microsoft.com/office/spreadsheetml/2009/9/main" objectType="CheckBox" checked="Checked" lockText="1" noThreeD="1"/>
</file>

<file path=xl/ctrlProps/ctrlProp1592.xml><?xml version="1.0" encoding="utf-8"?>
<formControlPr xmlns="http://schemas.microsoft.com/office/spreadsheetml/2009/9/main" objectType="CheckBox" checked="Checked" lockText="1" noThreeD="1"/>
</file>

<file path=xl/ctrlProps/ctrlProp1593.xml><?xml version="1.0" encoding="utf-8"?>
<formControlPr xmlns="http://schemas.microsoft.com/office/spreadsheetml/2009/9/main" objectType="CheckBox" checked="Checked" lockText="1" noThreeD="1"/>
</file>

<file path=xl/ctrlProps/ctrlProp1594.xml><?xml version="1.0" encoding="utf-8"?>
<formControlPr xmlns="http://schemas.microsoft.com/office/spreadsheetml/2009/9/main" objectType="CheckBox" checked="Checked" lockText="1" noThreeD="1"/>
</file>

<file path=xl/ctrlProps/ctrlProp1595.xml><?xml version="1.0" encoding="utf-8"?>
<formControlPr xmlns="http://schemas.microsoft.com/office/spreadsheetml/2009/9/main" objectType="CheckBox" fmlaLink="$A$43" lockText="1" noThreeD="1"/>
</file>

<file path=xl/ctrlProps/ctrlProp1596.xml><?xml version="1.0" encoding="utf-8"?>
<formControlPr xmlns="http://schemas.microsoft.com/office/spreadsheetml/2009/9/main" objectType="CheckBox" fmlaLink="$A$44" lockText="1" noThreeD="1"/>
</file>

<file path=xl/ctrlProps/ctrlProp1597.xml><?xml version="1.0" encoding="utf-8"?>
<formControlPr xmlns="http://schemas.microsoft.com/office/spreadsheetml/2009/9/main" objectType="CheckBox" fmlaLink="$A$45" lockText="1" noThreeD="1"/>
</file>

<file path=xl/ctrlProps/ctrlProp1598.xml><?xml version="1.0" encoding="utf-8"?>
<formControlPr xmlns="http://schemas.microsoft.com/office/spreadsheetml/2009/9/main" objectType="CheckBox" fmlaLink="$A$46" lockText="1" noThreeD="1"/>
</file>

<file path=xl/ctrlProps/ctrlProp1599.xml><?xml version="1.0" encoding="utf-8"?>
<formControlPr xmlns="http://schemas.microsoft.com/office/spreadsheetml/2009/9/main" objectType="CheckBox" fmlaLink="$A$47" lockText="1" noThreeD="1"/>
</file>

<file path=xl/ctrlProps/ctrlProp1600.xml><?xml version="1.0" encoding="utf-8"?>
<formControlPr xmlns="http://schemas.microsoft.com/office/spreadsheetml/2009/9/main" objectType="CheckBox" fmlaLink="$A$48" lockText="1" noThreeD="1"/>
</file>

<file path=xl/ctrlProps/ctrlProp1601.xml><?xml version="1.0" encoding="utf-8"?>
<formControlPr xmlns="http://schemas.microsoft.com/office/spreadsheetml/2009/9/main" objectType="CheckBox" fmlaLink="$A$49" lockText="1" noThreeD="1"/>
</file>

<file path=xl/ctrlProps/ctrlProp1602.xml><?xml version="1.0" encoding="utf-8"?>
<formControlPr xmlns="http://schemas.microsoft.com/office/spreadsheetml/2009/9/main" objectType="Button" lockText="1"/>
</file>

<file path=xl/ctrlProps/ctrlProp1603.xml><?xml version="1.0" encoding="utf-8"?>
<formControlPr xmlns="http://schemas.microsoft.com/office/spreadsheetml/2009/9/main" objectType="Button" lockText="1"/>
</file>

<file path=xl/ctrlProps/ctrlProp1604.xml><?xml version="1.0" encoding="utf-8"?>
<formControlPr xmlns="http://schemas.microsoft.com/office/spreadsheetml/2009/9/main" objectType="CheckBox" fmlaLink="$A$40" lockText="1" noThreeD="1"/>
</file>

<file path=xl/ctrlProps/ctrlProp1605.xml><?xml version="1.0" encoding="utf-8"?>
<formControlPr xmlns="http://schemas.microsoft.com/office/spreadsheetml/2009/9/main" objectType="Button" lockText="1"/>
</file>

<file path=xl/ctrlProps/ctrlProp1606.xml><?xml version="1.0" encoding="utf-8"?>
<formControlPr xmlns="http://schemas.microsoft.com/office/spreadsheetml/2009/9/main" objectType="Button" lockText="1"/>
</file>

<file path=xl/ctrlProps/ctrlProp1607.xml><?xml version="1.0" encoding="utf-8"?>
<formControlPr xmlns="http://schemas.microsoft.com/office/spreadsheetml/2009/9/main" objectType="Button" lockText="1"/>
</file>

<file path=xl/ctrlProps/ctrlProp1608.xml><?xml version="1.0" encoding="utf-8"?>
<formControlPr xmlns="http://schemas.microsoft.com/office/spreadsheetml/2009/9/main" objectType="Button" lockText="1"/>
</file>

<file path=xl/ctrlProps/ctrlProp1609.xml><?xml version="1.0" encoding="utf-8"?>
<formControlPr xmlns="http://schemas.microsoft.com/office/spreadsheetml/2009/9/main" objectType="CheckBox" fmlaLink="$A$49" lockText="1" noThreeD="1"/>
</file>

<file path=xl/ctrlProps/ctrlProp1610.xml><?xml version="1.0" encoding="utf-8"?>
<formControlPr xmlns="http://schemas.microsoft.com/office/spreadsheetml/2009/9/main" objectType="CheckBox" fmlaLink="$A$28" lockText="1" noThreeD="1"/>
</file>

<file path=xl/ctrlProps/ctrlProp1611.xml><?xml version="1.0" encoding="utf-8"?>
<formControlPr xmlns="http://schemas.microsoft.com/office/spreadsheetml/2009/9/main" objectType="CheckBox" fmlaLink="$A$29" lockText="1" noThreeD="1"/>
</file>

<file path=xl/ctrlProps/ctrlProp1612.xml><?xml version="1.0" encoding="utf-8"?>
<formControlPr xmlns="http://schemas.microsoft.com/office/spreadsheetml/2009/9/main" objectType="CheckBox" fmlaLink="$A$30" lockText="1" noThreeD="1"/>
</file>

<file path=xl/ctrlProps/ctrlProp1613.xml><?xml version="1.0" encoding="utf-8"?>
<formControlPr xmlns="http://schemas.microsoft.com/office/spreadsheetml/2009/9/main" objectType="CheckBox" fmlaLink="$A$31" lockText="1" noThreeD="1"/>
</file>

<file path=xl/ctrlProps/ctrlProp1614.xml><?xml version="1.0" encoding="utf-8"?>
<formControlPr xmlns="http://schemas.microsoft.com/office/spreadsheetml/2009/9/main" objectType="CheckBox" fmlaLink="$E$28" lockText="1" noThreeD="1"/>
</file>

<file path=xl/ctrlProps/ctrlProp1615.xml><?xml version="1.0" encoding="utf-8"?>
<formControlPr xmlns="http://schemas.microsoft.com/office/spreadsheetml/2009/9/main" objectType="CheckBox" fmlaLink="$E$29" lockText="1" noThreeD="1"/>
</file>

<file path=xl/ctrlProps/ctrlProp1616.xml><?xml version="1.0" encoding="utf-8"?>
<formControlPr xmlns="http://schemas.microsoft.com/office/spreadsheetml/2009/9/main" objectType="CheckBox" fmlaLink="$E$30" lockText="1" noThreeD="1"/>
</file>

<file path=xl/ctrlProps/ctrlProp1617.xml><?xml version="1.0" encoding="utf-8"?>
<formControlPr xmlns="http://schemas.microsoft.com/office/spreadsheetml/2009/9/main" objectType="CheckBox" checked="Checked" fmlaLink="$A$33" lockText="1" noThreeD="1"/>
</file>

<file path=xl/ctrlProps/ctrlProp1618.xml><?xml version="1.0" encoding="utf-8"?>
<formControlPr xmlns="http://schemas.microsoft.com/office/spreadsheetml/2009/9/main" objectType="CheckBox" checked="Checked" fmlaLink="$A$34" lockText="1" noThreeD="1"/>
</file>

<file path=xl/ctrlProps/ctrlProp1619.xml><?xml version="1.0" encoding="utf-8"?>
<formControlPr xmlns="http://schemas.microsoft.com/office/spreadsheetml/2009/9/main" objectType="CheckBox" checked="Checked" fmlaLink="$A$35" lockText="1" noThreeD="1"/>
</file>

<file path=xl/ctrlProps/ctrlProp1620.xml><?xml version="1.0" encoding="utf-8"?>
<formControlPr xmlns="http://schemas.microsoft.com/office/spreadsheetml/2009/9/main" objectType="CheckBox" checked="Checked" fmlaLink="$A$36" lockText="1" noThreeD="1"/>
</file>

<file path=xl/ctrlProps/ctrlProp1621.xml><?xml version="1.0" encoding="utf-8"?>
<formControlPr xmlns="http://schemas.microsoft.com/office/spreadsheetml/2009/9/main" objectType="CheckBox" checked="Checked" fmlaLink="$A$37" lockText="1" noThreeD="1"/>
</file>

<file path=xl/ctrlProps/ctrlProp1622.xml><?xml version="1.0" encoding="utf-8"?>
<formControlPr xmlns="http://schemas.microsoft.com/office/spreadsheetml/2009/9/main" objectType="Button" lockText="1"/>
</file>

<file path=xl/ctrlProps/ctrlProp1623.xml><?xml version="1.0" encoding="utf-8"?>
<formControlPr xmlns="http://schemas.microsoft.com/office/spreadsheetml/2009/9/main" objectType="Button" lockText="1"/>
</file>

<file path=xl/ctrlProps/ctrlProp1624.xml><?xml version="1.0" encoding="utf-8"?>
<formControlPr xmlns="http://schemas.microsoft.com/office/spreadsheetml/2009/9/main" objectType="CheckBox" checked="Checked" fmlaLink="$D$33" lockText="1" noThreeD="1"/>
</file>

<file path=xl/ctrlProps/ctrlProp1625.xml><?xml version="1.0" encoding="utf-8"?>
<formControlPr xmlns="http://schemas.microsoft.com/office/spreadsheetml/2009/9/main" objectType="CheckBox" checked="Checked" lockText="1" noThreeD="1"/>
</file>

<file path=xl/ctrlProps/ctrlProp1626.xml><?xml version="1.0" encoding="utf-8"?>
<formControlPr xmlns="http://schemas.microsoft.com/office/spreadsheetml/2009/9/main" objectType="CheckBox" checked="Checked" lockText="1" noThreeD="1"/>
</file>

<file path=xl/ctrlProps/ctrlProp1627.xml><?xml version="1.0" encoding="utf-8"?>
<formControlPr xmlns="http://schemas.microsoft.com/office/spreadsheetml/2009/9/main" objectType="CheckBox" checked="Checked" lockText="1" noThreeD="1"/>
</file>

<file path=xl/ctrlProps/ctrlProp1628.xml><?xml version="1.0" encoding="utf-8"?>
<formControlPr xmlns="http://schemas.microsoft.com/office/spreadsheetml/2009/9/main" objectType="CheckBox" checked="Checked" lockText="1" noThreeD="1"/>
</file>

<file path=xl/ctrlProps/ctrlProp1629.xml><?xml version="1.0" encoding="utf-8"?>
<formControlPr xmlns="http://schemas.microsoft.com/office/spreadsheetml/2009/9/main" objectType="CheckBox" checked="Checked" lockText="1" noThreeD="1"/>
</file>

<file path=xl/ctrlProps/ctrlProp1630.xml><?xml version="1.0" encoding="utf-8"?>
<formControlPr xmlns="http://schemas.microsoft.com/office/spreadsheetml/2009/9/main" objectType="CheckBox" checked="Checked" lockText="1" noThreeD="1"/>
</file>

<file path=xl/ctrlProps/ctrlProp1631.xml><?xml version="1.0" encoding="utf-8"?>
<formControlPr xmlns="http://schemas.microsoft.com/office/spreadsheetml/2009/9/main" objectType="CheckBox" lockText="1" noThreeD="1"/>
</file>

<file path=xl/ctrlProps/ctrlProp1632.xml><?xml version="1.0" encoding="utf-8"?>
<formControlPr xmlns="http://schemas.microsoft.com/office/spreadsheetml/2009/9/main" objectType="CheckBox" fmlaLink="$A$43" lockText="1" noThreeD="1"/>
</file>

<file path=xl/ctrlProps/ctrlProp1633.xml><?xml version="1.0" encoding="utf-8"?>
<formControlPr xmlns="http://schemas.microsoft.com/office/spreadsheetml/2009/9/main" objectType="CheckBox" fmlaLink="$A$44" lockText="1" noThreeD="1"/>
</file>

<file path=xl/ctrlProps/ctrlProp1634.xml><?xml version="1.0" encoding="utf-8"?>
<formControlPr xmlns="http://schemas.microsoft.com/office/spreadsheetml/2009/9/main" objectType="CheckBox" fmlaLink="$A$45" lockText="1" noThreeD="1"/>
</file>

<file path=xl/ctrlProps/ctrlProp1635.xml><?xml version="1.0" encoding="utf-8"?>
<formControlPr xmlns="http://schemas.microsoft.com/office/spreadsheetml/2009/9/main" objectType="CheckBox" fmlaLink="$A$46" lockText="1" noThreeD="1"/>
</file>

<file path=xl/ctrlProps/ctrlProp1636.xml><?xml version="1.0" encoding="utf-8"?>
<formControlPr xmlns="http://schemas.microsoft.com/office/spreadsheetml/2009/9/main" objectType="CheckBox" fmlaLink="$A$47" lockText="1" noThreeD="1"/>
</file>

<file path=xl/ctrlProps/ctrlProp1637.xml><?xml version="1.0" encoding="utf-8"?>
<formControlPr xmlns="http://schemas.microsoft.com/office/spreadsheetml/2009/9/main" objectType="CheckBox" fmlaLink="$A$48" lockText="1" noThreeD="1"/>
</file>

<file path=xl/ctrlProps/ctrlProp1638.xml><?xml version="1.0" encoding="utf-8"?>
<formControlPr xmlns="http://schemas.microsoft.com/office/spreadsheetml/2009/9/main" objectType="CheckBox" fmlaLink="$A$49" lockText="1" noThreeD="1"/>
</file>

<file path=xl/ctrlProps/ctrlProp1639.xml><?xml version="1.0" encoding="utf-8"?>
<formControlPr xmlns="http://schemas.microsoft.com/office/spreadsheetml/2009/9/main" objectType="Button" lockText="1"/>
</file>

<file path=xl/ctrlProps/ctrlProp1640.xml><?xml version="1.0" encoding="utf-8"?>
<formControlPr xmlns="http://schemas.microsoft.com/office/spreadsheetml/2009/9/main" objectType="Button" lockText="1"/>
</file>

<file path=xl/ctrlProps/ctrlProp1641.xml><?xml version="1.0" encoding="utf-8"?>
<formControlPr xmlns="http://schemas.microsoft.com/office/spreadsheetml/2009/9/main" objectType="CheckBox" fmlaLink="$A$40" lockText="1" noThreeD="1"/>
</file>

<file path=xl/ctrlProps/ctrlProp1642.xml><?xml version="1.0" encoding="utf-8"?>
<formControlPr xmlns="http://schemas.microsoft.com/office/spreadsheetml/2009/9/main" objectType="Button" lockText="1"/>
</file>

<file path=xl/ctrlProps/ctrlProp1643.xml><?xml version="1.0" encoding="utf-8"?>
<formControlPr xmlns="http://schemas.microsoft.com/office/spreadsheetml/2009/9/main" objectType="Button" lockText="1"/>
</file>

<file path=xl/ctrlProps/ctrlProp1644.xml><?xml version="1.0" encoding="utf-8"?>
<formControlPr xmlns="http://schemas.microsoft.com/office/spreadsheetml/2009/9/main" objectType="Button" lockText="1"/>
</file>

<file path=xl/ctrlProps/ctrlProp1645.xml><?xml version="1.0" encoding="utf-8"?>
<formControlPr xmlns="http://schemas.microsoft.com/office/spreadsheetml/2009/9/main" objectType="Button" lockText="1"/>
</file>

<file path=xl/ctrlProps/ctrlProp1646.xml><?xml version="1.0" encoding="utf-8"?>
<formControlPr xmlns="http://schemas.microsoft.com/office/spreadsheetml/2009/9/main" objectType="CheckBox" fmlaLink="$A$49" lockText="1" noThreeD="1"/>
</file>

<file path=xl/ctrlProps/ctrlProp1647.xml><?xml version="1.0" encoding="utf-8"?>
<formControlPr xmlns="http://schemas.microsoft.com/office/spreadsheetml/2009/9/main" objectType="CheckBox" fmlaLink="$A$28" lockText="1" noThreeD="1"/>
</file>

<file path=xl/ctrlProps/ctrlProp1648.xml><?xml version="1.0" encoding="utf-8"?>
<formControlPr xmlns="http://schemas.microsoft.com/office/spreadsheetml/2009/9/main" objectType="CheckBox" fmlaLink="$A$29" lockText="1" noThreeD="1"/>
</file>

<file path=xl/ctrlProps/ctrlProp1649.xml><?xml version="1.0" encoding="utf-8"?>
<formControlPr xmlns="http://schemas.microsoft.com/office/spreadsheetml/2009/9/main" objectType="CheckBox" fmlaLink="$A$30" lockText="1" noThreeD="1"/>
</file>

<file path=xl/ctrlProps/ctrlProp1650.xml><?xml version="1.0" encoding="utf-8"?>
<formControlPr xmlns="http://schemas.microsoft.com/office/spreadsheetml/2009/9/main" objectType="CheckBox" fmlaLink="$A$31" lockText="1" noThreeD="1"/>
</file>

<file path=xl/ctrlProps/ctrlProp1651.xml><?xml version="1.0" encoding="utf-8"?>
<formControlPr xmlns="http://schemas.microsoft.com/office/spreadsheetml/2009/9/main" objectType="CheckBox" fmlaLink="$E$28" lockText="1" noThreeD="1"/>
</file>

<file path=xl/ctrlProps/ctrlProp1652.xml><?xml version="1.0" encoding="utf-8"?>
<formControlPr xmlns="http://schemas.microsoft.com/office/spreadsheetml/2009/9/main" objectType="CheckBox" fmlaLink="$E$29" lockText="1" noThreeD="1"/>
</file>

<file path=xl/ctrlProps/ctrlProp1653.xml><?xml version="1.0" encoding="utf-8"?>
<formControlPr xmlns="http://schemas.microsoft.com/office/spreadsheetml/2009/9/main" objectType="CheckBox" fmlaLink="$E$30" lockText="1" noThreeD="1"/>
</file>

<file path=xl/ctrlProps/ctrlProp1654.xml><?xml version="1.0" encoding="utf-8"?>
<formControlPr xmlns="http://schemas.microsoft.com/office/spreadsheetml/2009/9/main" objectType="CheckBox" checked="Checked" fmlaLink="$A$33" lockText="1" noThreeD="1"/>
</file>

<file path=xl/ctrlProps/ctrlProp1655.xml><?xml version="1.0" encoding="utf-8"?>
<formControlPr xmlns="http://schemas.microsoft.com/office/spreadsheetml/2009/9/main" objectType="CheckBox" checked="Checked" fmlaLink="$A$34" lockText="1" noThreeD="1"/>
</file>

<file path=xl/ctrlProps/ctrlProp1656.xml><?xml version="1.0" encoding="utf-8"?>
<formControlPr xmlns="http://schemas.microsoft.com/office/spreadsheetml/2009/9/main" objectType="CheckBox" checked="Checked" fmlaLink="$A$35" lockText="1" noThreeD="1"/>
</file>

<file path=xl/ctrlProps/ctrlProp1657.xml><?xml version="1.0" encoding="utf-8"?>
<formControlPr xmlns="http://schemas.microsoft.com/office/spreadsheetml/2009/9/main" objectType="CheckBox" checked="Checked" fmlaLink="$A$36" lockText="1" noThreeD="1"/>
</file>

<file path=xl/ctrlProps/ctrlProp1658.xml><?xml version="1.0" encoding="utf-8"?>
<formControlPr xmlns="http://schemas.microsoft.com/office/spreadsheetml/2009/9/main" objectType="CheckBox" checked="Checked" fmlaLink="$A$37" lockText="1" noThreeD="1"/>
</file>

<file path=xl/ctrlProps/ctrlProp1659.xml><?xml version="1.0" encoding="utf-8"?>
<formControlPr xmlns="http://schemas.microsoft.com/office/spreadsheetml/2009/9/main" objectType="Button" lockText="1"/>
</file>

<file path=xl/ctrlProps/ctrlProp1660.xml><?xml version="1.0" encoding="utf-8"?>
<formControlPr xmlns="http://schemas.microsoft.com/office/spreadsheetml/2009/9/main" objectType="Button" lockText="1"/>
</file>

<file path=xl/ctrlProps/ctrlProp1661.xml><?xml version="1.0" encoding="utf-8"?>
<formControlPr xmlns="http://schemas.microsoft.com/office/spreadsheetml/2009/9/main" objectType="CheckBox" checked="Checked" fmlaLink="$D$33" lockText="1" noThreeD="1"/>
</file>

<file path=xl/ctrlProps/ctrlProp1662.xml><?xml version="1.0" encoding="utf-8"?>
<formControlPr xmlns="http://schemas.microsoft.com/office/spreadsheetml/2009/9/main" objectType="CheckBox" checked="Checked" lockText="1" noThreeD="1"/>
</file>

<file path=xl/ctrlProps/ctrlProp1663.xml><?xml version="1.0" encoding="utf-8"?>
<formControlPr xmlns="http://schemas.microsoft.com/office/spreadsheetml/2009/9/main" objectType="CheckBox" checked="Checked" lockText="1" noThreeD="1"/>
</file>

<file path=xl/ctrlProps/ctrlProp1664.xml><?xml version="1.0" encoding="utf-8"?>
<formControlPr xmlns="http://schemas.microsoft.com/office/spreadsheetml/2009/9/main" objectType="CheckBox" checked="Checked" lockText="1" noThreeD="1"/>
</file>

<file path=xl/ctrlProps/ctrlProp1665.xml><?xml version="1.0" encoding="utf-8"?>
<formControlPr xmlns="http://schemas.microsoft.com/office/spreadsheetml/2009/9/main" objectType="CheckBox" checked="Checked" lockText="1" noThreeD="1"/>
</file>

<file path=xl/ctrlProps/ctrlProp1666.xml><?xml version="1.0" encoding="utf-8"?>
<formControlPr xmlns="http://schemas.microsoft.com/office/spreadsheetml/2009/9/main" objectType="CheckBox" checked="Checked" lockText="1" noThreeD="1"/>
</file>

<file path=xl/ctrlProps/ctrlProp1667.xml><?xml version="1.0" encoding="utf-8"?>
<formControlPr xmlns="http://schemas.microsoft.com/office/spreadsheetml/2009/9/main" objectType="CheckBox" checked="Checked" lockText="1" noThreeD="1"/>
</file>

<file path=xl/ctrlProps/ctrlProp1668.xml><?xml version="1.0" encoding="utf-8"?>
<formControlPr xmlns="http://schemas.microsoft.com/office/spreadsheetml/2009/9/main" objectType="CheckBox" checked="Checked" lockText="1" noThreeD="1"/>
</file>

<file path=xl/ctrlProps/ctrlProp1669.xml><?xml version="1.0" encoding="utf-8"?>
<formControlPr xmlns="http://schemas.microsoft.com/office/spreadsheetml/2009/9/main" objectType="CheckBox" fmlaLink="$A$43" lockText="1" noThreeD="1"/>
</file>

<file path=xl/ctrlProps/ctrlProp1670.xml><?xml version="1.0" encoding="utf-8"?>
<formControlPr xmlns="http://schemas.microsoft.com/office/spreadsheetml/2009/9/main" objectType="CheckBox" fmlaLink="$A$44" lockText="1" noThreeD="1"/>
</file>

<file path=xl/ctrlProps/ctrlProp1671.xml><?xml version="1.0" encoding="utf-8"?>
<formControlPr xmlns="http://schemas.microsoft.com/office/spreadsheetml/2009/9/main" objectType="CheckBox" fmlaLink="$A$45" lockText="1" noThreeD="1"/>
</file>

<file path=xl/ctrlProps/ctrlProp1672.xml><?xml version="1.0" encoding="utf-8"?>
<formControlPr xmlns="http://schemas.microsoft.com/office/spreadsheetml/2009/9/main" objectType="CheckBox" fmlaLink="$A$46" lockText="1" noThreeD="1"/>
</file>

<file path=xl/ctrlProps/ctrlProp1673.xml><?xml version="1.0" encoding="utf-8"?>
<formControlPr xmlns="http://schemas.microsoft.com/office/spreadsheetml/2009/9/main" objectType="CheckBox" fmlaLink="$A$47" lockText="1" noThreeD="1"/>
</file>

<file path=xl/ctrlProps/ctrlProp1674.xml><?xml version="1.0" encoding="utf-8"?>
<formControlPr xmlns="http://schemas.microsoft.com/office/spreadsheetml/2009/9/main" objectType="CheckBox" fmlaLink="$A$48" lockText="1" noThreeD="1"/>
</file>

<file path=xl/ctrlProps/ctrlProp1675.xml><?xml version="1.0" encoding="utf-8"?>
<formControlPr xmlns="http://schemas.microsoft.com/office/spreadsheetml/2009/9/main" objectType="CheckBox" fmlaLink="$A$49" lockText="1" noThreeD="1"/>
</file>

<file path=xl/ctrlProps/ctrlProp1676.xml><?xml version="1.0" encoding="utf-8"?>
<formControlPr xmlns="http://schemas.microsoft.com/office/spreadsheetml/2009/9/main" objectType="Button" lockText="1"/>
</file>

<file path=xl/ctrlProps/ctrlProp1677.xml><?xml version="1.0" encoding="utf-8"?>
<formControlPr xmlns="http://schemas.microsoft.com/office/spreadsheetml/2009/9/main" objectType="Button" lockText="1"/>
</file>

<file path=xl/ctrlProps/ctrlProp1678.xml><?xml version="1.0" encoding="utf-8"?>
<formControlPr xmlns="http://schemas.microsoft.com/office/spreadsheetml/2009/9/main" objectType="CheckBox" fmlaLink="$A$40" lockText="1" noThreeD="1"/>
</file>

<file path=xl/ctrlProps/ctrlProp1679.xml><?xml version="1.0" encoding="utf-8"?>
<formControlPr xmlns="http://schemas.microsoft.com/office/spreadsheetml/2009/9/main" objectType="Button" lockText="1"/>
</file>

<file path=xl/ctrlProps/ctrlProp1680.xml><?xml version="1.0" encoding="utf-8"?>
<formControlPr xmlns="http://schemas.microsoft.com/office/spreadsheetml/2009/9/main" objectType="Button" lockText="1"/>
</file>

<file path=xl/ctrlProps/ctrlProp1681.xml><?xml version="1.0" encoding="utf-8"?>
<formControlPr xmlns="http://schemas.microsoft.com/office/spreadsheetml/2009/9/main" objectType="Button" lockText="1"/>
</file>

<file path=xl/ctrlProps/ctrlProp1682.xml><?xml version="1.0" encoding="utf-8"?>
<formControlPr xmlns="http://schemas.microsoft.com/office/spreadsheetml/2009/9/main" objectType="Button" lockText="1"/>
</file>

<file path=xl/ctrlProps/ctrlProp1683.xml><?xml version="1.0" encoding="utf-8"?>
<formControlPr xmlns="http://schemas.microsoft.com/office/spreadsheetml/2009/9/main" objectType="CheckBox" fmlaLink="$A$49" lockText="1" noThreeD="1"/>
</file>

<file path=xl/ctrlProps/ctrlProp1684.xml><?xml version="1.0" encoding="utf-8"?>
<formControlPr xmlns="http://schemas.microsoft.com/office/spreadsheetml/2009/9/main" objectType="CheckBox" checked="Checked" fmlaLink="$A$28" lockText="1" noThreeD="1"/>
</file>

<file path=xl/ctrlProps/ctrlProp1685.xml><?xml version="1.0" encoding="utf-8"?>
<formControlPr xmlns="http://schemas.microsoft.com/office/spreadsheetml/2009/9/main" objectType="CheckBox" fmlaLink="$A$29" lockText="1" noThreeD="1"/>
</file>

<file path=xl/ctrlProps/ctrlProp1686.xml><?xml version="1.0" encoding="utf-8"?>
<formControlPr xmlns="http://schemas.microsoft.com/office/spreadsheetml/2009/9/main" objectType="CheckBox" fmlaLink="$A$30" lockText="1" noThreeD="1"/>
</file>

<file path=xl/ctrlProps/ctrlProp1687.xml><?xml version="1.0" encoding="utf-8"?>
<formControlPr xmlns="http://schemas.microsoft.com/office/spreadsheetml/2009/9/main" objectType="CheckBox" fmlaLink="$A$31" lockText="1" noThreeD="1"/>
</file>

<file path=xl/ctrlProps/ctrlProp1688.xml><?xml version="1.0" encoding="utf-8"?>
<formControlPr xmlns="http://schemas.microsoft.com/office/spreadsheetml/2009/9/main" objectType="CheckBox" checked="Checked" fmlaLink="$E$28" lockText="1" noThreeD="1"/>
</file>

<file path=xl/ctrlProps/ctrlProp1689.xml><?xml version="1.0" encoding="utf-8"?>
<formControlPr xmlns="http://schemas.microsoft.com/office/spreadsheetml/2009/9/main" objectType="CheckBox" checked="Checked" fmlaLink="$E$29" lockText="1" noThreeD="1"/>
</file>

<file path=xl/ctrlProps/ctrlProp1690.xml><?xml version="1.0" encoding="utf-8"?>
<formControlPr xmlns="http://schemas.microsoft.com/office/spreadsheetml/2009/9/main" objectType="CheckBox" checked="Checked" fmlaLink="$E$30" lockText="1" noThreeD="1"/>
</file>

<file path=xl/ctrlProps/ctrlProp1691.xml><?xml version="1.0" encoding="utf-8"?>
<formControlPr xmlns="http://schemas.microsoft.com/office/spreadsheetml/2009/9/main" objectType="CheckBox" fmlaLink="$A$33" lockText="1" noThreeD="1"/>
</file>

<file path=xl/ctrlProps/ctrlProp1692.xml><?xml version="1.0" encoding="utf-8"?>
<formControlPr xmlns="http://schemas.microsoft.com/office/spreadsheetml/2009/9/main" objectType="CheckBox" fmlaLink="$A$34" lockText="1" noThreeD="1"/>
</file>

<file path=xl/ctrlProps/ctrlProp1693.xml><?xml version="1.0" encoding="utf-8"?>
<formControlPr xmlns="http://schemas.microsoft.com/office/spreadsheetml/2009/9/main" objectType="CheckBox" fmlaLink="$A$35" lockText="1" noThreeD="1"/>
</file>

<file path=xl/ctrlProps/ctrlProp1694.xml><?xml version="1.0" encoding="utf-8"?>
<formControlPr xmlns="http://schemas.microsoft.com/office/spreadsheetml/2009/9/main" objectType="CheckBox" fmlaLink="$A$36" lockText="1" noThreeD="1"/>
</file>

<file path=xl/ctrlProps/ctrlProp1695.xml><?xml version="1.0" encoding="utf-8"?>
<formControlPr xmlns="http://schemas.microsoft.com/office/spreadsheetml/2009/9/main" objectType="CheckBox" fmlaLink="$A$37" lockText="1" noThreeD="1"/>
</file>

<file path=xl/ctrlProps/ctrlProp1696.xml><?xml version="1.0" encoding="utf-8"?>
<formControlPr xmlns="http://schemas.microsoft.com/office/spreadsheetml/2009/9/main" objectType="Button" lockText="1"/>
</file>

<file path=xl/ctrlProps/ctrlProp1697.xml><?xml version="1.0" encoding="utf-8"?>
<formControlPr xmlns="http://schemas.microsoft.com/office/spreadsheetml/2009/9/main" objectType="Button" lockText="1"/>
</file>

<file path=xl/ctrlProps/ctrlProp1698.xml><?xml version="1.0" encoding="utf-8"?>
<formControlPr xmlns="http://schemas.microsoft.com/office/spreadsheetml/2009/9/main" objectType="CheckBox" fmlaLink="$D$33" lockText="1" noThreeD="1"/>
</file>

<file path=xl/ctrlProps/ctrlProp1699.xml><?xml version="1.0" encoding="utf-8"?>
<formControlPr xmlns="http://schemas.microsoft.com/office/spreadsheetml/2009/9/main" objectType="CheckBox" lockText="1" noThreeD="1"/>
</file>

<file path=xl/ctrlProps/ctrlProp1700.xml><?xml version="1.0" encoding="utf-8"?>
<formControlPr xmlns="http://schemas.microsoft.com/office/spreadsheetml/2009/9/main" objectType="CheckBox" lockText="1" noThreeD="1"/>
</file>

<file path=xl/ctrlProps/ctrlProp1701.xml><?xml version="1.0" encoding="utf-8"?>
<formControlPr xmlns="http://schemas.microsoft.com/office/spreadsheetml/2009/9/main" objectType="CheckBox" lockText="1" noThreeD="1"/>
</file>

<file path=xl/ctrlProps/ctrlProp1702.xml><?xml version="1.0" encoding="utf-8"?>
<formControlPr xmlns="http://schemas.microsoft.com/office/spreadsheetml/2009/9/main" objectType="CheckBox" lockText="1" noThreeD="1"/>
</file>

<file path=xl/ctrlProps/ctrlProp1703.xml><?xml version="1.0" encoding="utf-8"?>
<formControlPr xmlns="http://schemas.microsoft.com/office/spreadsheetml/2009/9/main" objectType="CheckBox" lockText="1" noThreeD="1"/>
</file>

<file path=xl/ctrlProps/ctrlProp1704.xml><?xml version="1.0" encoding="utf-8"?>
<formControlPr xmlns="http://schemas.microsoft.com/office/spreadsheetml/2009/9/main" objectType="CheckBox" lockText="1" noThreeD="1"/>
</file>

<file path=xl/ctrlProps/ctrlProp1705.xml><?xml version="1.0" encoding="utf-8"?>
<formControlPr xmlns="http://schemas.microsoft.com/office/spreadsheetml/2009/9/main" objectType="CheckBox" lockText="1" noThreeD="1"/>
</file>

<file path=xl/ctrlProps/ctrlProp1706.xml><?xml version="1.0" encoding="utf-8"?>
<formControlPr xmlns="http://schemas.microsoft.com/office/spreadsheetml/2009/9/main" objectType="CheckBox" fmlaLink="$A$43" lockText="1" noThreeD="1"/>
</file>

<file path=xl/ctrlProps/ctrlProp1707.xml><?xml version="1.0" encoding="utf-8"?>
<formControlPr xmlns="http://schemas.microsoft.com/office/spreadsheetml/2009/9/main" objectType="CheckBox" fmlaLink="$A$44" lockText="1" noThreeD="1"/>
</file>

<file path=xl/ctrlProps/ctrlProp1708.xml><?xml version="1.0" encoding="utf-8"?>
<formControlPr xmlns="http://schemas.microsoft.com/office/spreadsheetml/2009/9/main" objectType="CheckBox" fmlaLink="$A$45" lockText="1" noThreeD="1"/>
</file>

<file path=xl/ctrlProps/ctrlProp1709.xml><?xml version="1.0" encoding="utf-8"?>
<formControlPr xmlns="http://schemas.microsoft.com/office/spreadsheetml/2009/9/main" objectType="CheckBox" fmlaLink="$A$46" lockText="1" noThreeD="1"/>
</file>

<file path=xl/ctrlProps/ctrlProp1710.xml><?xml version="1.0" encoding="utf-8"?>
<formControlPr xmlns="http://schemas.microsoft.com/office/spreadsheetml/2009/9/main" objectType="CheckBox" fmlaLink="$A$47" lockText="1" noThreeD="1"/>
</file>

<file path=xl/ctrlProps/ctrlProp1711.xml><?xml version="1.0" encoding="utf-8"?>
<formControlPr xmlns="http://schemas.microsoft.com/office/spreadsheetml/2009/9/main" objectType="CheckBox" fmlaLink="$A$48" lockText="1" noThreeD="1"/>
</file>

<file path=xl/ctrlProps/ctrlProp1712.xml><?xml version="1.0" encoding="utf-8"?>
<formControlPr xmlns="http://schemas.microsoft.com/office/spreadsheetml/2009/9/main" objectType="CheckBox" fmlaLink="$A$49" lockText="1" noThreeD="1"/>
</file>

<file path=xl/ctrlProps/ctrlProp1713.xml><?xml version="1.0" encoding="utf-8"?>
<formControlPr xmlns="http://schemas.microsoft.com/office/spreadsheetml/2009/9/main" objectType="Button" lockText="1"/>
</file>

<file path=xl/ctrlProps/ctrlProp1714.xml><?xml version="1.0" encoding="utf-8"?>
<formControlPr xmlns="http://schemas.microsoft.com/office/spreadsheetml/2009/9/main" objectType="Button" lockText="1"/>
</file>

<file path=xl/ctrlProps/ctrlProp1715.xml><?xml version="1.0" encoding="utf-8"?>
<formControlPr xmlns="http://schemas.microsoft.com/office/spreadsheetml/2009/9/main" objectType="CheckBox" fmlaLink="$A$40" lockText="1" noThreeD="1"/>
</file>

<file path=xl/ctrlProps/ctrlProp1716.xml><?xml version="1.0" encoding="utf-8"?>
<formControlPr xmlns="http://schemas.microsoft.com/office/spreadsheetml/2009/9/main" objectType="Button" lockText="1"/>
</file>

<file path=xl/ctrlProps/ctrlProp1717.xml><?xml version="1.0" encoding="utf-8"?>
<formControlPr xmlns="http://schemas.microsoft.com/office/spreadsheetml/2009/9/main" objectType="Button" lockText="1"/>
</file>

<file path=xl/ctrlProps/ctrlProp1718.xml><?xml version="1.0" encoding="utf-8"?>
<formControlPr xmlns="http://schemas.microsoft.com/office/spreadsheetml/2009/9/main" objectType="Button" lockText="1"/>
</file>

<file path=xl/ctrlProps/ctrlProp1719.xml><?xml version="1.0" encoding="utf-8"?>
<formControlPr xmlns="http://schemas.microsoft.com/office/spreadsheetml/2009/9/main" objectType="Button" lockText="1"/>
</file>

<file path=xl/ctrlProps/ctrlProp1720.xml><?xml version="1.0" encoding="utf-8"?>
<formControlPr xmlns="http://schemas.microsoft.com/office/spreadsheetml/2009/9/main" objectType="CheckBox" fmlaLink="$A$49" lockText="1" noThreeD="1"/>
</file>

<file path=xl/ctrlProps/ctrlProp1721.xml><?xml version="1.0" encoding="utf-8"?>
<formControlPr xmlns="http://schemas.microsoft.com/office/spreadsheetml/2009/9/main" objectType="CheckBox" fmlaLink="$A$28" lockText="1" noThreeD="1"/>
</file>

<file path=xl/ctrlProps/ctrlProp1722.xml><?xml version="1.0" encoding="utf-8"?>
<formControlPr xmlns="http://schemas.microsoft.com/office/spreadsheetml/2009/9/main" objectType="CheckBox" fmlaLink="$A$29" lockText="1" noThreeD="1"/>
</file>

<file path=xl/ctrlProps/ctrlProp1723.xml><?xml version="1.0" encoding="utf-8"?>
<formControlPr xmlns="http://schemas.microsoft.com/office/spreadsheetml/2009/9/main" objectType="CheckBox" fmlaLink="$A$30" lockText="1" noThreeD="1"/>
</file>

<file path=xl/ctrlProps/ctrlProp1724.xml><?xml version="1.0" encoding="utf-8"?>
<formControlPr xmlns="http://schemas.microsoft.com/office/spreadsheetml/2009/9/main" objectType="CheckBox" fmlaLink="$A$31" lockText="1" noThreeD="1"/>
</file>

<file path=xl/ctrlProps/ctrlProp1725.xml><?xml version="1.0" encoding="utf-8"?>
<formControlPr xmlns="http://schemas.microsoft.com/office/spreadsheetml/2009/9/main" objectType="CheckBox" fmlaLink="$E$28" lockText="1" noThreeD="1"/>
</file>

<file path=xl/ctrlProps/ctrlProp1726.xml><?xml version="1.0" encoding="utf-8"?>
<formControlPr xmlns="http://schemas.microsoft.com/office/spreadsheetml/2009/9/main" objectType="CheckBox" fmlaLink="$E$29" lockText="1" noThreeD="1"/>
</file>

<file path=xl/ctrlProps/ctrlProp1727.xml><?xml version="1.0" encoding="utf-8"?>
<formControlPr xmlns="http://schemas.microsoft.com/office/spreadsheetml/2009/9/main" objectType="CheckBox" fmlaLink="$E$30" lockText="1" noThreeD="1"/>
</file>

<file path=xl/ctrlProps/ctrlProp1728.xml><?xml version="1.0" encoding="utf-8"?>
<formControlPr xmlns="http://schemas.microsoft.com/office/spreadsheetml/2009/9/main" objectType="CheckBox" checked="Checked" fmlaLink="$A$33" lockText="1" noThreeD="1"/>
</file>

<file path=xl/ctrlProps/ctrlProp1729.xml><?xml version="1.0" encoding="utf-8"?>
<formControlPr xmlns="http://schemas.microsoft.com/office/spreadsheetml/2009/9/main" objectType="CheckBox" checked="Checked" fmlaLink="$A$34" lockText="1" noThreeD="1"/>
</file>

<file path=xl/ctrlProps/ctrlProp1730.xml><?xml version="1.0" encoding="utf-8"?>
<formControlPr xmlns="http://schemas.microsoft.com/office/spreadsheetml/2009/9/main" objectType="CheckBox" checked="Checked" fmlaLink="$A$35" lockText="1" noThreeD="1"/>
</file>

<file path=xl/ctrlProps/ctrlProp1731.xml><?xml version="1.0" encoding="utf-8"?>
<formControlPr xmlns="http://schemas.microsoft.com/office/spreadsheetml/2009/9/main" objectType="CheckBox" checked="Checked" fmlaLink="$A$36" lockText="1" noThreeD="1"/>
</file>

<file path=xl/ctrlProps/ctrlProp1732.xml><?xml version="1.0" encoding="utf-8"?>
<formControlPr xmlns="http://schemas.microsoft.com/office/spreadsheetml/2009/9/main" objectType="CheckBox" fmlaLink="$A$37" lockText="1" noThreeD="1"/>
</file>

<file path=xl/ctrlProps/ctrlProp1733.xml><?xml version="1.0" encoding="utf-8"?>
<formControlPr xmlns="http://schemas.microsoft.com/office/spreadsheetml/2009/9/main" objectType="Button" lockText="1"/>
</file>

<file path=xl/ctrlProps/ctrlProp1734.xml><?xml version="1.0" encoding="utf-8"?>
<formControlPr xmlns="http://schemas.microsoft.com/office/spreadsheetml/2009/9/main" objectType="Button" lockText="1"/>
</file>

<file path=xl/ctrlProps/ctrlProp1735.xml><?xml version="1.0" encoding="utf-8"?>
<formControlPr xmlns="http://schemas.microsoft.com/office/spreadsheetml/2009/9/main" objectType="CheckBox" checked="Checked" fmlaLink="$D$33" lockText="1" noThreeD="1"/>
</file>

<file path=xl/ctrlProps/ctrlProp1736.xml><?xml version="1.0" encoding="utf-8"?>
<formControlPr xmlns="http://schemas.microsoft.com/office/spreadsheetml/2009/9/main" objectType="CheckBox" checked="Checked" lockText="1" noThreeD="1"/>
</file>

<file path=xl/ctrlProps/ctrlProp1737.xml><?xml version="1.0" encoding="utf-8"?>
<formControlPr xmlns="http://schemas.microsoft.com/office/spreadsheetml/2009/9/main" objectType="CheckBox" checked="Checked" lockText="1" noThreeD="1"/>
</file>

<file path=xl/ctrlProps/ctrlProp1738.xml><?xml version="1.0" encoding="utf-8"?>
<formControlPr xmlns="http://schemas.microsoft.com/office/spreadsheetml/2009/9/main" objectType="CheckBox" checked="Checked" lockText="1" noThreeD="1"/>
</file>

<file path=xl/ctrlProps/ctrlProp1739.xml><?xml version="1.0" encoding="utf-8"?>
<formControlPr xmlns="http://schemas.microsoft.com/office/spreadsheetml/2009/9/main" objectType="CheckBox" checked="Checked" lockText="1" noThreeD="1"/>
</file>

<file path=xl/ctrlProps/ctrlProp1740.xml><?xml version="1.0" encoding="utf-8"?>
<formControlPr xmlns="http://schemas.microsoft.com/office/spreadsheetml/2009/9/main" objectType="CheckBox" checked="Checked" lockText="1" noThreeD="1"/>
</file>

<file path=xl/ctrlProps/ctrlProp1741.xml><?xml version="1.0" encoding="utf-8"?>
<formControlPr xmlns="http://schemas.microsoft.com/office/spreadsheetml/2009/9/main" objectType="CheckBox" checked="Checked" lockText="1" noThreeD="1"/>
</file>

<file path=xl/ctrlProps/ctrlProp1742.xml><?xml version="1.0" encoding="utf-8"?>
<formControlPr xmlns="http://schemas.microsoft.com/office/spreadsheetml/2009/9/main" objectType="CheckBox" lockText="1" noThreeD="1"/>
</file>

<file path=xl/ctrlProps/ctrlProp1743.xml><?xml version="1.0" encoding="utf-8"?>
<formControlPr xmlns="http://schemas.microsoft.com/office/spreadsheetml/2009/9/main" objectType="CheckBox" fmlaLink="$A$43" lockText="1" noThreeD="1"/>
</file>

<file path=xl/ctrlProps/ctrlProp1744.xml><?xml version="1.0" encoding="utf-8"?>
<formControlPr xmlns="http://schemas.microsoft.com/office/spreadsheetml/2009/9/main" objectType="CheckBox" fmlaLink="$A$44" lockText="1" noThreeD="1"/>
</file>

<file path=xl/ctrlProps/ctrlProp1745.xml><?xml version="1.0" encoding="utf-8"?>
<formControlPr xmlns="http://schemas.microsoft.com/office/spreadsheetml/2009/9/main" objectType="CheckBox" fmlaLink="$A$45" lockText="1" noThreeD="1"/>
</file>

<file path=xl/ctrlProps/ctrlProp1746.xml><?xml version="1.0" encoding="utf-8"?>
<formControlPr xmlns="http://schemas.microsoft.com/office/spreadsheetml/2009/9/main" objectType="CheckBox" fmlaLink="$A$46" lockText="1" noThreeD="1"/>
</file>

<file path=xl/ctrlProps/ctrlProp1747.xml><?xml version="1.0" encoding="utf-8"?>
<formControlPr xmlns="http://schemas.microsoft.com/office/spreadsheetml/2009/9/main" objectType="CheckBox" fmlaLink="$A$47" lockText="1" noThreeD="1"/>
</file>

<file path=xl/ctrlProps/ctrlProp1748.xml><?xml version="1.0" encoding="utf-8"?>
<formControlPr xmlns="http://schemas.microsoft.com/office/spreadsheetml/2009/9/main" objectType="CheckBox" fmlaLink="$A$48" lockText="1" noThreeD="1"/>
</file>

<file path=xl/ctrlProps/ctrlProp1749.xml><?xml version="1.0" encoding="utf-8"?>
<formControlPr xmlns="http://schemas.microsoft.com/office/spreadsheetml/2009/9/main" objectType="CheckBox" fmlaLink="$A$49" lockText="1" noThreeD="1"/>
</file>

<file path=xl/ctrlProps/ctrlProp1750.xml><?xml version="1.0" encoding="utf-8"?>
<formControlPr xmlns="http://schemas.microsoft.com/office/spreadsheetml/2009/9/main" objectType="Button" lockText="1"/>
</file>

<file path=xl/ctrlProps/ctrlProp1751.xml><?xml version="1.0" encoding="utf-8"?>
<formControlPr xmlns="http://schemas.microsoft.com/office/spreadsheetml/2009/9/main" objectType="Button" lockText="1"/>
</file>

<file path=xl/ctrlProps/ctrlProp1752.xml><?xml version="1.0" encoding="utf-8"?>
<formControlPr xmlns="http://schemas.microsoft.com/office/spreadsheetml/2009/9/main" objectType="CheckBox" fmlaLink="$A$40" lockText="1" noThreeD="1"/>
</file>

<file path=xl/ctrlProps/ctrlProp1753.xml><?xml version="1.0" encoding="utf-8"?>
<formControlPr xmlns="http://schemas.microsoft.com/office/spreadsheetml/2009/9/main" objectType="Button" lockText="1"/>
</file>

<file path=xl/ctrlProps/ctrlProp1754.xml><?xml version="1.0" encoding="utf-8"?>
<formControlPr xmlns="http://schemas.microsoft.com/office/spreadsheetml/2009/9/main" objectType="Button" lockText="1"/>
</file>

<file path=xl/ctrlProps/ctrlProp1755.xml><?xml version="1.0" encoding="utf-8"?>
<formControlPr xmlns="http://schemas.microsoft.com/office/spreadsheetml/2009/9/main" objectType="Button" lockText="1"/>
</file>

<file path=xl/ctrlProps/ctrlProp1756.xml><?xml version="1.0" encoding="utf-8"?>
<formControlPr xmlns="http://schemas.microsoft.com/office/spreadsheetml/2009/9/main" objectType="Button" lockText="1"/>
</file>

<file path=xl/ctrlProps/ctrlProp1757.xml><?xml version="1.0" encoding="utf-8"?>
<formControlPr xmlns="http://schemas.microsoft.com/office/spreadsheetml/2009/9/main" objectType="CheckBox" fmlaLink="$A$49" lockText="1" noThreeD="1"/>
</file>

<file path=xl/ctrlProps/ctrlProp1758.xml><?xml version="1.0" encoding="utf-8"?>
<formControlPr xmlns="http://schemas.microsoft.com/office/spreadsheetml/2009/9/main" objectType="CheckBox" fmlaLink="$A$28" lockText="1" noThreeD="1"/>
</file>

<file path=xl/ctrlProps/ctrlProp1759.xml><?xml version="1.0" encoding="utf-8"?>
<formControlPr xmlns="http://schemas.microsoft.com/office/spreadsheetml/2009/9/main" objectType="CheckBox" fmlaLink="$A$29" lockText="1" noThreeD="1"/>
</file>

<file path=xl/ctrlProps/ctrlProp1760.xml><?xml version="1.0" encoding="utf-8"?>
<formControlPr xmlns="http://schemas.microsoft.com/office/spreadsheetml/2009/9/main" objectType="CheckBox" fmlaLink="$A$30" lockText="1" noThreeD="1"/>
</file>

<file path=xl/ctrlProps/ctrlProp1761.xml><?xml version="1.0" encoding="utf-8"?>
<formControlPr xmlns="http://schemas.microsoft.com/office/spreadsheetml/2009/9/main" objectType="CheckBox" fmlaLink="$A$31" lockText="1" noThreeD="1"/>
</file>

<file path=xl/ctrlProps/ctrlProp1762.xml><?xml version="1.0" encoding="utf-8"?>
<formControlPr xmlns="http://schemas.microsoft.com/office/spreadsheetml/2009/9/main" objectType="CheckBox" fmlaLink="$E$28" lockText="1" noThreeD="1"/>
</file>

<file path=xl/ctrlProps/ctrlProp1763.xml><?xml version="1.0" encoding="utf-8"?>
<formControlPr xmlns="http://schemas.microsoft.com/office/spreadsheetml/2009/9/main" objectType="CheckBox" fmlaLink="$E$29" lockText="1" noThreeD="1"/>
</file>

<file path=xl/ctrlProps/ctrlProp1764.xml><?xml version="1.0" encoding="utf-8"?>
<formControlPr xmlns="http://schemas.microsoft.com/office/spreadsheetml/2009/9/main" objectType="CheckBox" fmlaLink="$E$30" lockText="1" noThreeD="1"/>
</file>

<file path=xl/ctrlProps/ctrlProp1765.xml><?xml version="1.0" encoding="utf-8"?>
<formControlPr xmlns="http://schemas.microsoft.com/office/spreadsheetml/2009/9/main" objectType="CheckBox" fmlaLink="$A$33" lockText="1" noThreeD="1"/>
</file>

<file path=xl/ctrlProps/ctrlProp1766.xml><?xml version="1.0" encoding="utf-8"?>
<formControlPr xmlns="http://schemas.microsoft.com/office/spreadsheetml/2009/9/main" objectType="CheckBox" fmlaLink="$A$34" lockText="1" noThreeD="1"/>
</file>

<file path=xl/ctrlProps/ctrlProp1767.xml><?xml version="1.0" encoding="utf-8"?>
<formControlPr xmlns="http://schemas.microsoft.com/office/spreadsheetml/2009/9/main" objectType="CheckBox" fmlaLink="$A$35" lockText="1" noThreeD="1"/>
</file>

<file path=xl/ctrlProps/ctrlProp1768.xml><?xml version="1.0" encoding="utf-8"?>
<formControlPr xmlns="http://schemas.microsoft.com/office/spreadsheetml/2009/9/main" objectType="CheckBox" fmlaLink="$A$36" lockText="1" noThreeD="1"/>
</file>

<file path=xl/ctrlProps/ctrlProp1769.xml><?xml version="1.0" encoding="utf-8"?>
<formControlPr xmlns="http://schemas.microsoft.com/office/spreadsheetml/2009/9/main" objectType="CheckBox" fmlaLink="$A$37" lockText="1" noThreeD="1"/>
</file>

<file path=xl/ctrlProps/ctrlProp1770.xml><?xml version="1.0" encoding="utf-8"?>
<formControlPr xmlns="http://schemas.microsoft.com/office/spreadsheetml/2009/9/main" objectType="Button" lockText="1"/>
</file>

<file path=xl/ctrlProps/ctrlProp1771.xml><?xml version="1.0" encoding="utf-8"?>
<formControlPr xmlns="http://schemas.microsoft.com/office/spreadsheetml/2009/9/main" objectType="Button" lockText="1"/>
</file>

<file path=xl/ctrlProps/ctrlProp1772.xml><?xml version="1.0" encoding="utf-8"?>
<formControlPr xmlns="http://schemas.microsoft.com/office/spreadsheetml/2009/9/main" objectType="CheckBox" fmlaLink="$D$33" lockText="1" noThreeD="1"/>
</file>

<file path=xl/ctrlProps/ctrlProp1773.xml><?xml version="1.0" encoding="utf-8"?>
<formControlPr xmlns="http://schemas.microsoft.com/office/spreadsheetml/2009/9/main" objectType="CheckBox" lockText="1" noThreeD="1"/>
</file>

<file path=xl/ctrlProps/ctrlProp1774.xml><?xml version="1.0" encoding="utf-8"?>
<formControlPr xmlns="http://schemas.microsoft.com/office/spreadsheetml/2009/9/main" objectType="CheckBox" lockText="1" noThreeD="1"/>
</file>

<file path=xl/ctrlProps/ctrlProp1775.xml><?xml version="1.0" encoding="utf-8"?>
<formControlPr xmlns="http://schemas.microsoft.com/office/spreadsheetml/2009/9/main" objectType="CheckBox" lockText="1" noThreeD="1"/>
</file>

<file path=xl/ctrlProps/ctrlProp1776.xml><?xml version="1.0" encoding="utf-8"?>
<formControlPr xmlns="http://schemas.microsoft.com/office/spreadsheetml/2009/9/main" objectType="CheckBox" lockText="1" noThreeD="1"/>
</file>

<file path=xl/ctrlProps/ctrlProp1777.xml><?xml version="1.0" encoding="utf-8"?>
<formControlPr xmlns="http://schemas.microsoft.com/office/spreadsheetml/2009/9/main" objectType="CheckBox" lockText="1" noThreeD="1"/>
</file>

<file path=xl/ctrlProps/ctrlProp1778.xml><?xml version="1.0" encoding="utf-8"?>
<formControlPr xmlns="http://schemas.microsoft.com/office/spreadsheetml/2009/9/main" objectType="CheckBox" lockText="1" noThreeD="1"/>
</file>

<file path=xl/ctrlProps/ctrlProp1779.xml><?xml version="1.0" encoding="utf-8"?>
<formControlPr xmlns="http://schemas.microsoft.com/office/spreadsheetml/2009/9/main" objectType="CheckBox" lockText="1" noThreeD="1"/>
</file>

<file path=xl/ctrlProps/ctrlProp1780.xml><?xml version="1.0" encoding="utf-8"?>
<formControlPr xmlns="http://schemas.microsoft.com/office/spreadsheetml/2009/9/main" objectType="CheckBox" fmlaLink="$A$43" lockText="1" noThreeD="1"/>
</file>

<file path=xl/ctrlProps/ctrlProp1781.xml><?xml version="1.0" encoding="utf-8"?>
<formControlPr xmlns="http://schemas.microsoft.com/office/spreadsheetml/2009/9/main" objectType="CheckBox" fmlaLink="$A$44" lockText="1" noThreeD="1"/>
</file>

<file path=xl/ctrlProps/ctrlProp1782.xml><?xml version="1.0" encoding="utf-8"?>
<formControlPr xmlns="http://schemas.microsoft.com/office/spreadsheetml/2009/9/main" objectType="CheckBox" fmlaLink="$A$45" lockText="1" noThreeD="1"/>
</file>

<file path=xl/ctrlProps/ctrlProp1783.xml><?xml version="1.0" encoding="utf-8"?>
<formControlPr xmlns="http://schemas.microsoft.com/office/spreadsheetml/2009/9/main" objectType="CheckBox" fmlaLink="$A$46" lockText="1" noThreeD="1"/>
</file>

<file path=xl/ctrlProps/ctrlProp1784.xml><?xml version="1.0" encoding="utf-8"?>
<formControlPr xmlns="http://schemas.microsoft.com/office/spreadsheetml/2009/9/main" objectType="CheckBox" fmlaLink="$A$47" lockText="1" noThreeD="1"/>
</file>

<file path=xl/ctrlProps/ctrlProp1785.xml><?xml version="1.0" encoding="utf-8"?>
<formControlPr xmlns="http://schemas.microsoft.com/office/spreadsheetml/2009/9/main" objectType="CheckBox" fmlaLink="$A$48" lockText="1" noThreeD="1"/>
</file>

<file path=xl/ctrlProps/ctrlProp1786.xml><?xml version="1.0" encoding="utf-8"?>
<formControlPr xmlns="http://schemas.microsoft.com/office/spreadsheetml/2009/9/main" objectType="CheckBox" fmlaLink="$A$49" lockText="1" noThreeD="1"/>
</file>

<file path=xl/ctrlProps/ctrlProp1787.xml><?xml version="1.0" encoding="utf-8"?>
<formControlPr xmlns="http://schemas.microsoft.com/office/spreadsheetml/2009/9/main" objectType="Button" lockText="1"/>
</file>

<file path=xl/ctrlProps/ctrlProp1788.xml><?xml version="1.0" encoding="utf-8"?>
<formControlPr xmlns="http://schemas.microsoft.com/office/spreadsheetml/2009/9/main" objectType="Button" lockText="1"/>
</file>

<file path=xl/ctrlProps/ctrlProp1789.xml><?xml version="1.0" encoding="utf-8"?>
<formControlPr xmlns="http://schemas.microsoft.com/office/spreadsheetml/2009/9/main" objectType="CheckBox" fmlaLink="$A$40" lockText="1" noThreeD="1"/>
</file>

<file path=xl/ctrlProps/ctrlProp1790.xml><?xml version="1.0" encoding="utf-8"?>
<formControlPr xmlns="http://schemas.microsoft.com/office/spreadsheetml/2009/9/main" objectType="Button" lockText="1"/>
</file>

<file path=xl/ctrlProps/ctrlProp1791.xml><?xml version="1.0" encoding="utf-8"?>
<formControlPr xmlns="http://schemas.microsoft.com/office/spreadsheetml/2009/9/main" objectType="Button" lockText="1"/>
</file>

<file path=xl/ctrlProps/ctrlProp1792.xml><?xml version="1.0" encoding="utf-8"?>
<formControlPr xmlns="http://schemas.microsoft.com/office/spreadsheetml/2009/9/main" objectType="Button" lockText="1"/>
</file>

<file path=xl/ctrlProps/ctrlProp1793.xml><?xml version="1.0" encoding="utf-8"?>
<formControlPr xmlns="http://schemas.microsoft.com/office/spreadsheetml/2009/9/main" objectType="Button" lockText="1"/>
</file>

<file path=xl/ctrlProps/ctrlProp1794.xml><?xml version="1.0" encoding="utf-8"?>
<formControlPr xmlns="http://schemas.microsoft.com/office/spreadsheetml/2009/9/main" objectType="CheckBox" fmlaLink="$A$49" lockText="1" noThreeD="1"/>
</file>

<file path=xl/ctrlProps/ctrlProp1795.xml><?xml version="1.0" encoding="utf-8"?>
<formControlPr xmlns="http://schemas.microsoft.com/office/spreadsheetml/2009/9/main" objectType="CheckBox" checked="Checked" fmlaLink="$A$28" lockText="1" noThreeD="1"/>
</file>

<file path=xl/ctrlProps/ctrlProp1796.xml><?xml version="1.0" encoding="utf-8"?>
<formControlPr xmlns="http://schemas.microsoft.com/office/spreadsheetml/2009/9/main" objectType="CheckBox" fmlaLink="$A$29" lockText="1" noThreeD="1"/>
</file>

<file path=xl/ctrlProps/ctrlProp1797.xml><?xml version="1.0" encoding="utf-8"?>
<formControlPr xmlns="http://schemas.microsoft.com/office/spreadsheetml/2009/9/main" objectType="CheckBox" fmlaLink="$A$30" lockText="1" noThreeD="1"/>
</file>

<file path=xl/ctrlProps/ctrlProp1798.xml><?xml version="1.0" encoding="utf-8"?>
<formControlPr xmlns="http://schemas.microsoft.com/office/spreadsheetml/2009/9/main" objectType="CheckBox" fmlaLink="$A$31" lockText="1" noThreeD="1"/>
</file>

<file path=xl/ctrlProps/ctrlProp1799.xml><?xml version="1.0" encoding="utf-8"?>
<formControlPr xmlns="http://schemas.microsoft.com/office/spreadsheetml/2009/9/main" objectType="CheckBox" fmlaLink="$E$28" lockText="1" noThreeD="1"/>
</file>

<file path=xl/ctrlProps/ctrlProp1800.xml><?xml version="1.0" encoding="utf-8"?>
<formControlPr xmlns="http://schemas.microsoft.com/office/spreadsheetml/2009/9/main" objectType="CheckBox" checked="Checked" fmlaLink="$E$29" lockText="1" noThreeD="1"/>
</file>

<file path=xl/ctrlProps/ctrlProp1801.xml><?xml version="1.0" encoding="utf-8"?>
<formControlPr xmlns="http://schemas.microsoft.com/office/spreadsheetml/2009/9/main" objectType="CheckBox" fmlaLink="$E$30" lockText="1" noThreeD="1"/>
</file>

<file path=xl/ctrlProps/ctrlProp1802.xml><?xml version="1.0" encoding="utf-8"?>
<formControlPr xmlns="http://schemas.microsoft.com/office/spreadsheetml/2009/9/main" objectType="CheckBox" checked="Checked" fmlaLink="$A$33" lockText="1" noThreeD="1"/>
</file>

<file path=xl/ctrlProps/ctrlProp1803.xml><?xml version="1.0" encoding="utf-8"?>
<formControlPr xmlns="http://schemas.microsoft.com/office/spreadsheetml/2009/9/main" objectType="CheckBox" checked="Checked" fmlaLink="$A$34" lockText="1" noThreeD="1"/>
</file>

<file path=xl/ctrlProps/ctrlProp1804.xml><?xml version="1.0" encoding="utf-8"?>
<formControlPr xmlns="http://schemas.microsoft.com/office/spreadsheetml/2009/9/main" objectType="CheckBox" checked="Checked" fmlaLink="$A$35" lockText="1" noThreeD="1"/>
</file>

<file path=xl/ctrlProps/ctrlProp1805.xml><?xml version="1.0" encoding="utf-8"?>
<formControlPr xmlns="http://schemas.microsoft.com/office/spreadsheetml/2009/9/main" objectType="CheckBox" checked="Checked" fmlaLink="$A$36" lockText="1" noThreeD="1"/>
</file>

<file path=xl/ctrlProps/ctrlProp1806.xml><?xml version="1.0" encoding="utf-8"?>
<formControlPr xmlns="http://schemas.microsoft.com/office/spreadsheetml/2009/9/main" objectType="CheckBox" fmlaLink="$A$37" lockText="1" noThreeD="1"/>
</file>

<file path=xl/ctrlProps/ctrlProp1807.xml><?xml version="1.0" encoding="utf-8"?>
<formControlPr xmlns="http://schemas.microsoft.com/office/spreadsheetml/2009/9/main" objectType="Button" lockText="1"/>
</file>

<file path=xl/ctrlProps/ctrlProp1808.xml><?xml version="1.0" encoding="utf-8"?>
<formControlPr xmlns="http://schemas.microsoft.com/office/spreadsheetml/2009/9/main" objectType="Button" lockText="1"/>
</file>

<file path=xl/ctrlProps/ctrlProp1809.xml><?xml version="1.0" encoding="utf-8"?>
<formControlPr xmlns="http://schemas.microsoft.com/office/spreadsheetml/2009/9/main" objectType="CheckBox" checked="Checked" fmlaLink="$D$33" lockText="1" noThreeD="1"/>
</file>

<file path=xl/ctrlProps/ctrlProp1810.xml><?xml version="1.0" encoding="utf-8"?>
<formControlPr xmlns="http://schemas.microsoft.com/office/spreadsheetml/2009/9/main" objectType="CheckBox" checked="Checked" lockText="1" noThreeD="1"/>
</file>

<file path=xl/ctrlProps/ctrlProp1811.xml><?xml version="1.0" encoding="utf-8"?>
<formControlPr xmlns="http://schemas.microsoft.com/office/spreadsheetml/2009/9/main" objectType="CheckBox" checked="Checked" lockText="1" noThreeD="1"/>
</file>

<file path=xl/ctrlProps/ctrlProp1812.xml><?xml version="1.0" encoding="utf-8"?>
<formControlPr xmlns="http://schemas.microsoft.com/office/spreadsheetml/2009/9/main" objectType="CheckBox" checked="Checked" lockText="1" noThreeD="1"/>
</file>

<file path=xl/ctrlProps/ctrlProp1813.xml><?xml version="1.0" encoding="utf-8"?>
<formControlPr xmlns="http://schemas.microsoft.com/office/spreadsheetml/2009/9/main" objectType="CheckBox" checked="Checked" lockText="1" noThreeD="1"/>
</file>

<file path=xl/ctrlProps/ctrlProp1814.xml><?xml version="1.0" encoding="utf-8"?>
<formControlPr xmlns="http://schemas.microsoft.com/office/spreadsheetml/2009/9/main" objectType="CheckBox" checked="Checked" lockText="1" noThreeD="1"/>
</file>

<file path=xl/ctrlProps/ctrlProp1815.xml><?xml version="1.0" encoding="utf-8"?>
<formControlPr xmlns="http://schemas.microsoft.com/office/spreadsheetml/2009/9/main" objectType="CheckBox" checked="Checked" lockText="1" noThreeD="1"/>
</file>

<file path=xl/ctrlProps/ctrlProp1816.xml><?xml version="1.0" encoding="utf-8"?>
<formControlPr xmlns="http://schemas.microsoft.com/office/spreadsheetml/2009/9/main" objectType="CheckBox" lockText="1" noThreeD="1"/>
</file>

<file path=xl/ctrlProps/ctrlProp1817.xml><?xml version="1.0" encoding="utf-8"?>
<formControlPr xmlns="http://schemas.microsoft.com/office/spreadsheetml/2009/9/main" objectType="CheckBox" fmlaLink="$A$43" lockText="1" noThreeD="1"/>
</file>

<file path=xl/ctrlProps/ctrlProp1818.xml><?xml version="1.0" encoding="utf-8"?>
<formControlPr xmlns="http://schemas.microsoft.com/office/spreadsheetml/2009/9/main" objectType="CheckBox" fmlaLink="$A$44" lockText="1" noThreeD="1"/>
</file>

<file path=xl/ctrlProps/ctrlProp1819.xml><?xml version="1.0" encoding="utf-8"?>
<formControlPr xmlns="http://schemas.microsoft.com/office/spreadsheetml/2009/9/main" objectType="CheckBox" fmlaLink="$A$45" lockText="1" noThreeD="1"/>
</file>

<file path=xl/ctrlProps/ctrlProp1820.xml><?xml version="1.0" encoding="utf-8"?>
<formControlPr xmlns="http://schemas.microsoft.com/office/spreadsheetml/2009/9/main" objectType="CheckBox" fmlaLink="$A$46" lockText="1" noThreeD="1"/>
</file>

<file path=xl/ctrlProps/ctrlProp1821.xml><?xml version="1.0" encoding="utf-8"?>
<formControlPr xmlns="http://schemas.microsoft.com/office/spreadsheetml/2009/9/main" objectType="CheckBox" fmlaLink="$A$47" lockText="1" noThreeD="1"/>
</file>

<file path=xl/ctrlProps/ctrlProp1822.xml><?xml version="1.0" encoding="utf-8"?>
<formControlPr xmlns="http://schemas.microsoft.com/office/spreadsheetml/2009/9/main" objectType="CheckBox" fmlaLink="$A$48" lockText="1" noThreeD="1"/>
</file>

<file path=xl/ctrlProps/ctrlProp1823.xml><?xml version="1.0" encoding="utf-8"?>
<formControlPr xmlns="http://schemas.microsoft.com/office/spreadsheetml/2009/9/main" objectType="CheckBox" fmlaLink="$A$49" lockText="1" noThreeD="1"/>
</file>

<file path=xl/ctrlProps/ctrlProp1824.xml><?xml version="1.0" encoding="utf-8"?>
<formControlPr xmlns="http://schemas.microsoft.com/office/spreadsheetml/2009/9/main" objectType="Button" lockText="1"/>
</file>

<file path=xl/ctrlProps/ctrlProp1825.xml><?xml version="1.0" encoding="utf-8"?>
<formControlPr xmlns="http://schemas.microsoft.com/office/spreadsheetml/2009/9/main" objectType="Button" lockText="1"/>
</file>

<file path=xl/ctrlProps/ctrlProp1826.xml><?xml version="1.0" encoding="utf-8"?>
<formControlPr xmlns="http://schemas.microsoft.com/office/spreadsheetml/2009/9/main" objectType="CheckBox" fmlaLink="$A$40" lockText="1" noThreeD="1"/>
</file>

<file path=xl/ctrlProps/ctrlProp1827.xml><?xml version="1.0" encoding="utf-8"?>
<formControlPr xmlns="http://schemas.microsoft.com/office/spreadsheetml/2009/9/main" objectType="Button" lockText="1"/>
</file>

<file path=xl/ctrlProps/ctrlProp1828.xml><?xml version="1.0" encoding="utf-8"?>
<formControlPr xmlns="http://schemas.microsoft.com/office/spreadsheetml/2009/9/main" objectType="Button" lockText="1"/>
</file>

<file path=xl/ctrlProps/ctrlProp1829.xml><?xml version="1.0" encoding="utf-8"?>
<formControlPr xmlns="http://schemas.microsoft.com/office/spreadsheetml/2009/9/main" objectType="Button" lockText="1"/>
</file>

<file path=xl/ctrlProps/ctrlProp1830.xml><?xml version="1.0" encoding="utf-8"?>
<formControlPr xmlns="http://schemas.microsoft.com/office/spreadsheetml/2009/9/main" objectType="Button" lockText="1"/>
</file>

<file path=xl/ctrlProps/ctrlProp1831.xml><?xml version="1.0" encoding="utf-8"?>
<formControlPr xmlns="http://schemas.microsoft.com/office/spreadsheetml/2009/9/main" objectType="CheckBox" fmlaLink="$A$49" lockText="1" noThreeD="1"/>
</file>

<file path=xl/ctrlProps/ctrlProp1832.xml><?xml version="1.0" encoding="utf-8"?>
<formControlPr xmlns="http://schemas.microsoft.com/office/spreadsheetml/2009/9/main" objectType="CheckBox" checked="Checked" fmlaLink="$A$28" lockText="1" noThreeD="1"/>
</file>

<file path=xl/ctrlProps/ctrlProp1833.xml><?xml version="1.0" encoding="utf-8"?>
<formControlPr xmlns="http://schemas.microsoft.com/office/spreadsheetml/2009/9/main" objectType="CheckBox" checked="Checked" fmlaLink="$A$29" lockText="1" noThreeD="1"/>
</file>

<file path=xl/ctrlProps/ctrlProp1834.xml><?xml version="1.0" encoding="utf-8"?>
<formControlPr xmlns="http://schemas.microsoft.com/office/spreadsheetml/2009/9/main" objectType="CheckBox" checked="Checked" fmlaLink="$A$30" lockText="1" noThreeD="1"/>
</file>

<file path=xl/ctrlProps/ctrlProp1835.xml><?xml version="1.0" encoding="utf-8"?>
<formControlPr xmlns="http://schemas.microsoft.com/office/spreadsheetml/2009/9/main" objectType="CheckBox" checked="Checked" fmlaLink="$A$31" lockText="1" noThreeD="1"/>
</file>

<file path=xl/ctrlProps/ctrlProp1836.xml><?xml version="1.0" encoding="utf-8"?>
<formControlPr xmlns="http://schemas.microsoft.com/office/spreadsheetml/2009/9/main" objectType="CheckBox" checked="Checked" fmlaLink="$E$28" lockText="1" noThreeD="1"/>
</file>

<file path=xl/ctrlProps/ctrlProp1837.xml><?xml version="1.0" encoding="utf-8"?>
<formControlPr xmlns="http://schemas.microsoft.com/office/spreadsheetml/2009/9/main" objectType="CheckBox" checked="Checked" fmlaLink="$E$29" lockText="1" noThreeD="1"/>
</file>

<file path=xl/ctrlProps/ctrlProp1838.xml><?xml version="1.0" encoding="utf-8"?>
<formControlPr xmlns="http://schemas.microsoft.com/office/spreadsheetml/2009/9/main" objectType="CheckBox" checked="Checked" fmlaLink="$E$30" lockText="1" noThreeD="1"/>
</file>

<file path=xl/ctrlProps/ctrlProp1839.xml><?xml version="1.0" encoding="utf-8"?>
<formControlPr xmlns="http://schemas.microsoft.com/office/spreadsheetml/2009/9/main" objectType="CheckBox" checked="Checked" fmlaLink="$A$33" lockText="1" noThreeD="1"/>
</file>

<file path=xl/ctrlProps/ctrlProp1840.xml><?xml version="1.0" encoding="utf-8"?>
<formControlPr xmlns="http://schemas.microsoft.com/office/spreadsheetml/2009/9/main" objectType="CheckBox" checked="Checked" fmlaLink="$A$34" lockText="1" noThreeD="1"/>
</file>

<file path=xl/ctrlProps/ctrlProp1841.xml><?xml version="1.0" encoding="utf-8"?>
<formControlPr xmlns="http://schemas.microsoft.com/office/spreadsheetml/2009/9/main" objectType="CheckBox" checked="Checked" fmlaLink="$A$35" lockText="1" noThreeD="1"/>
</file>

<file path=xl/ctrlProps/ctrlProp1842.xml><?xml version="1.0" encoding="utf-8"?>
<formControlPr xmlns="http://schemas.microsoft.com/office/spreadsheetml/2009/9/main" objectType="CheckBox" checked="Checked" fmlaLink="$A$36" lockText="1" noThreeD="1"/>
</file>

<file path=xl/ctrlProps/ctrlProp1843.xml><?xml version="1.0" encoding="utf-8"?>
<formControlPr xmlns="http://schemas.microsoft.com/office/spreadsheetml/2009/9/main" objectType="CheckBox" fmlaLink="$A$37" lockText="1" noThreeD="1"/>
</file>

<file path=xl/ctrlProps/ctrlProp1844.xml><?xml version="1.0" encoding="utf-8"?>
<formControlPr xmlns="http://schemas.microsoft.com/office/spreadsheetml/2009/9/main" objectType="Button" lockText="1"/>
</file>

<file path=xl/ctrlProps/ctrlProp1845.xml><?xml version="1.0" encoding="utf-8"?>
<formControlPr xmlns="http://schemas.microsoft.com/office/spreadsheetml/2009/9/main" objectType="Button" lockText="1"/>
</file>

<file path=xl/ctrlProps/ctrlProp1846.xml><?xml version="1.0" encoding="utf-8"?>
<formControlPr xmlns="http://schemas.microsoft.com/office/spreadsheetml/2009/9/main" objectType="CheckBox" checked="Checked" fmlaLink="$D$33" lockText="1" noThreeD="1"/>
</file>

<file path=xl/ctrlProps/ctrlProp1847.xml><?xml version="1.0" encoding="utf-8"?>
<formControlPr xmlns="http://schemas.microsoft.com/office/spreadsheetml/2009/9/main" objectType="CheckBox" checked="Checked" lockText="1" noThreeD="1"/>
</file>

<file path=xl/ctrlProps/ctrlProp1848.xml><?xml version="1.0" encoding="utf-8"?>
<formControlPr xmlns="http://schemas.microsoft.com/office/spreadsheetml/2009/9/main" objectType="CheckBox" checked="Checked" lockText="1" noThreeD="1"/>
</file>

<file path=xl/ctrlProps/ctrlProp1849.xml><?xml version="1.0" encoding="utf-8"?>
<formControlPr xmlns="http://schemas.microsoft.com/office/spreadsheetml/2009/9/main" objectType="CheckBox" checked="Checked" lockText="1" noThreeD="1"/>
</file>

<file path=xl/ctrlProps/ctrlProp1850.xml><?xml version="1.0" encoding="utf-8"?>
<formControlPr xmlns="http://schemas.microsoft.com/office/spreadsheetml/2009/9/main" objectType="CheckBox" checked="Checked" lockText="1" noThreeD="1"/>
</file>

<file path=xl/ctrlProps/ctrlProp1851.xml><?xml version="1.0" encoding="utf-8"?>
<formControlPr xmlns="http://schemas.microsoft.com/office/spreadsheetml/2009/9/main" objectType="CheckBox" checked="Checked" lockText="1" noThreeD="1"/>
</file>

<file path=xl/ctrlProps/ctrlProp1852.xml><?xml version="1.0" encoding="utf-8"?>
<formControlPr xmlns="http://schemas.microsoft.com/office/spreadsheetml/2009/9/main" objectType="CheckBox" checked="Checked" lockText="1" noThreeD="1"/>
</file>

<file path=xl/ctrlProps/ctrlProp1853.xml><?xml version="1.0" encoding="utf-8"?>
<formControlPr xmlns="http://schemas.microsoft.com/office/spreadsheetml/2009/9/main" objectType="CheckBox" lockText="1" noThreeD="1"/>
</file>

<file path=xl/ctrlProps/ctrlProp1854.xml><?xml version="1.0" encoding="utf-8"?>
<formControlPr xmlns="http://schemas.microsoft.com/office/spreadsheetml/2009/9/main" objectType="CheckBox" fmlaLink="$A$43" lockText="1" noThreeD="1"/>
</file>

<file path=xl/ctrlProps/ctrlProp1855.xml><?xml version="1.0" encoding="utf-8"?>
<formControlPr xmlns="http://schemas.microsoft.com/office/spreadsheetml/2009/9/main" objectType="CheckBox" fmlaLink="$A$44" lockText="1" noThreeD="1"/>
</file>

<file path=xl/ctrlProps/ctrlProp1856.xml><?xml version="1.0" encoding="utf-8"?>
<formControlPr xmlns="http://schemas.microsoft.com/office/spreadsheetml/2009/9/main" objectType="CheckBox" fmlaLink="$A$45" lockText="1" noThreeD="1"/>
</file>

<file path=xl/ctrlProps/ctrlProp1857.xml><?xml version="1.0" encoding="utf-8"?>
<formControlPr xmlns="http://schemas.microsoft.com/office/spreadsheetml/2009/9/main" objectType="CheckBox" fmlaLink="$A$46" lockText="1" noThreeD="1"/>
</file>

<file path=xl/ctrlProps/ctrlProp1858.xml><?xml version="1.0" encoding="utf-8"?>
<formControlPr xmlns="http://schemas.microsoft.com/office/spreadsheetml/2009/9/main" objectType="CheckBox" fmlaLink="$A$47" lockText="1" noThreeD="1"/>
</file>

<file path=xl/ctrlProps/ctrlProp1859.xml><?xml version="1.0" encoding="utf-8"?>
<formControlPr xmlns="http://schemas.microsoft.com/office/spreadsheetml/2009/9/main" objectType="CheckBox" fmlaLink="$A$48" lockText="1" noThreeD="1"/>
</file>

<file path=xl/ctrlProps/ctrlProp1860.xml><?xml version="1.0" encoding="utf-8"?>
<formControlPr xmlns="http://schemas.microsoft.com/office/spreadsheetml/2009/9/main" objectType="CheckBox" fmlaLink="$A$49" lockText="1" noThreeD="1"/>
</file>

<file path=xl/ctrlProps/ctrlProp1861.xml><?xml version="1.0" encoding="utf-8"?>
<formControlPr xmlns="http://schemas.microsoft.com/office/spreadsheetml/2009/9/main" objectType="Button" lockText="1"/>
</file>

<file path=xl/ctrlProps/ctrlProp1862.xml><?xml version="1.0" encoding="utf-8"?>
<formControlPr xmlns="http://schemas.microsoft.com/office/spreadsheetml/2009/9/main" objectType="Button" lockText="1"/>
</file>

<file path=xl/ctrlProps/ctrlProp1863.xml><?xml version="1.0" encoding="utf-8"?>
<formControlPr xmlns="http://schemas.microsoft.com/office/spreadsheetml/2009/9/main" objectType="CheckBox" fmlaLink="$A$40" lockText="1" noThreeD="1"/>
</file>

<file path=xl/ctrlProps/ctrlProp1864.xml><?xml version="1.0" encoding="utf-8"?>
<formControlPr xmlns="http://schemas.microsoft.com/office/spreadsheetml/2009/9/main" objectType="Button" lockText="1"/>
</file>

<file path=xl/ctrlProps/ctrlProp1865.xml><?xml version="1.0" encoding="utf-8"?>
<formControlPr xmlns="http://schemas.microsoft.com/office/spreadsheetml/2009/9/main" objectType="Button" lockText="1"/>
</file>

<file path=xl/ctrlProps/ctrlProp1866.xml><?xml version="1.0" encoding="utf-8"?>
<formControlPr xmlns="http://schemas.microsoft.com/office/spreadsheetml/2009/9/main" objectType="Button" lockText="1"/>
</file>

<file path=xl/ctrlProps/ctrlProp1867.xml><?xml version="1.0" encoding="utf-8"?>
<formControlPr xmlns="http://schemas.microsoft.com/office/spreadsheetml/2009/9/main" objectType="Button" lockText="1"/>
</file>

<file path=xl/ctrlProps/ctrlProp1868.xml><?xml version="1.0" encoding="utf-8"?>
<formControlPr xmlns="http://schemas.microsoft.com/office/spreadsheetml/2009/9/main" objectType="CheckBox" fmlaLink="$A$49" lockText="1" noThreeD="1"/>
</file>

<file path=xl/ctrlProps/ctrlProp1869.xml><?xml version="1.0" encoding="utf-8"?>
<formControlPr xmlns="http://schemas.microsoft.com/office/spreadsheetml/2009/9/main" objectType="CheckBox" checked="Checked" fmlaLink="$A$28" lockText="1" noThreeD="1"/>
</file>

<file path=xl/ctrlProps/ctrlProp1870.xml><?xml version="1.0" encoding="utf-8"?>
<formControlPr xmlns="http://schemas.microsoft.com/office/spreadsheetml/2009/9/main" objectType="CheckBox" checked="Checked" fmlaLink="$A$29" lockText="1" noThreeD="1"/>
</file>

<file path=xl/ctrlProps/ctrlProp1871.xml><?xml version="1.0" encoding="utf-8"?>
<formControlPr xmlns="http://schemas.microsoft.com/office/spreadsheetml/2009/9/main" objectType="CheckBox" checked="Checked" fmlaLink="$A$30" lockText="1" noThreeD="1"/>
</file>

<file path=xl/ctrlProps/ctrlProp1872.xml><?xml version="1.0" encoding="utf-8"?>
<formControlPr xmlns="http://schemas.microsoft.com/office/spreadsheetml/2009/9/main" objectType="CheckBox" checked="Checked" fmlaLink="$A$31" lockText="1" noThreeD="1"/>
</file>

<file path=xl/ctrlProps/ctrlProp1873.xml><?xml version="1.0" encoding="utf-8"?>
<formControlPr xmlns="http://schemas.microsoft.com/office/spreadsheetml/2009/9/main" objectType="CheckBox" checked="Checked" fmlaLink="$E$28" lockText="1" noThreeD="1"/>
</file>

<file path=xl/ctrlProps/ctrlProp1874.xml><?xml version="1.0" encoding="utf-8"?>
<formControlPr xmlns="http://schemas.microsoft.com/office/spreadsheetml/2009/9/main" objectType="CheckBox" checked="Checked" fmlaLink="$E$29" lockText="1" noThreeD="1"/>
</file>

<file path=xl/ctrlProps/ctrlProp1875.xml><?xml version="1.0" encoding="utf-8"?>
<formControlPr xmlns="http://schemas.microsoft.com/office/spreadsheetml/2009/9/main" objectType="CheckBox" checked="Checked" fmlaLink="$E$30" lockText="1" noThreeD="1"/>
</file>

<file path=xl/ctrlProps/ctrlProp1876.xml><?xml version="1.0" encoding="utf-8"?>
<formControlPr xmlns="http://schemas.microsoft.com/office/spreadsheetml/2009/9/main" objectType="CheckBox" checked="Checked" fmlaLink="$A$33" lockText="1" noThreeD="1"/>
</file>

<file path=xl/ctrlProps/ctrlProp1877.xml><?xml version="1.0" encoding="utf-8"?>
<formControlPr xmlns="http://schemas.microsoft.com/office/spreadsheetml/2009/9/main" objectType="CheckBox" checked="Checked" fmlaLink="$A$34" lockText="1" noThreeD="1"/>
</file>

<file path=xl/ctrlProps/ctrlProp1878.xml><?xml version="1.0" encoding="utf-8"?>
<formControlPr xmlns="http://schemas.microsoft.com/office/spreadsheetml/2009/9/main" objectType="CheckBox" checked="Checked" fmlaLink="$A$35" lockText="1" noThreeD="1"/>
</file>

<file path=xl/ctrlProps/ctrlProp1879.xml><?xml version="1.0" encoding="utf-8"?>
<formControlPr xmlns="http://schemas.microsoft.com/office/spreadsheetml/2009/9/main" objectType="CheckBox" checked="Checked" fmlaLink="$A$36" lockText="1" noThreeD="1"/>
</file>

<file path=xl/ctrlProps/ctrlProp1880.xml><?xml version="1.0" encoding="utf-8"?>
<formControlPr xmlns="http://schemas.microsoft.com/office/spreadsheetml/2009/9/main" objectType="CheckBox" fmlaLink="$A$37" lockText="1" noThreeD="1"/>
</file>

<file path=xl/ctrlProps/ctrlProp1881.xml><?xml version="1.0" encoding="utf-8"?>
<formControlPr xmlns="http://schemas.microsoft.com/office/spreadsheetml/2009/9/main" objectType="Button" lockText="1"/>
</file>

<file path=xl/ctrlProps/ctrlProp1882.xml><?xml version="1.0" encoding="utf-8"?>
<formControlPr xmlns="http://schemas.microsoft.com/office/spreadsheetml/2009/9/main" objectType="Button" lockText="1"/>
</file>

<file path=xl/ctrlProps/ctrlProp1883.xml><?xml version="1.0" encoding="utf-8"?>
<formControlPr xmlns="http://schemas.microsoft.com/office/spreadsheetml/2009/9/main" objectType="CheckBox" checked="Checked" fmlaLink="$D$33" lockText="1" noThreeD="1"/>
</file>

<file path=xl/ctrlProps/ctrlProp1884.xml><?xml version="1.0" encoding="utf-8"?>
<formControlPr xmlns="http://schemas.microsoft.com/office/spreadsheetml/2009/9/main" objectType="CheckBox" checked="Checked" lockText="1" noThreeD="1"/>
</file>

<file path=xl/ctrlProps/ctrlProp1885.xml><?xml version="1.0" encoding="utf-8"?>
<formControlPr xmlns="http://schemas.microsoft.com/office/spreadsheetml/2009/9/main" objectType="CheckBox" checked="Checked" lockText="1" noThreeD="1"/>
</file>

<file path=xl/ctrlProps/ctrlProp1886.xml><?xml version="1.0" encoding="utf-8"?>
<formControlPr xmlns="http://schemas.microsoft.com/office/spreadsheetml/2009/9/main" objectType="CheckBox" checked="Checked" lockText="1" noThreeD="1"/>
</file>

<file path=xl/ctrlProps/ctrlProp1887.xml><?xml version="1.0" encoding="utf-8"?>
<formControlPr xmlns="http://schemas.microsoft.com/office/spreadsheetml/2009/9/main" objectType="CheckBox" checked="Checked" lockText="1" noThreeD="1"/>
</file>

<file path=xl/ctrlProps/ctrlProp1888.xml><?xml version="1.0" encoding="utf-8"?>
<formControlPr xmlns="http://schemas.microsoft.com/office/spreadsheetml/2009/9/main" objectType="CheckBox" checked="Checked" lockText="1" noThreeD="1"/>
</file>

<file path=xl/ctrlProps/ctrlProp1889.xml><?xml version="1.0" encoding="utf-8"?>
<formControlPr xmlns="http://schemas.microsoft.com/office/spreadsheetml/2009/9/main" objectType="CheckBox" checked="Checked" lockText="1" noThreeD="1"/>
</file>

<file path=xl/ctrlProps/ctrlProp1890.xml><?xml version="1.0" encoding="utf-8"?>
<formControlPr xmlns="http://schemas.microsoft.com/office/spreadsheetml/2009/9/main" objectType="CheckBox" lockText="1" noThreeD="1"/>
</file>

<file path=xl/ctrlProps/ctrlProp1891.xml><?xml version="1.0" encoding="utf-8"?>
<formControlPr xmlns="http://schemas.microsoft.com/office/spreadsheetml/2009/9/main" objectType="CheckBox" fmlaLink="$A$43" lockText="1" noThreeD="1"/>
</file>

<file path=xl/ctrlProps/ctrlProp1892.xml><?xml version="1.0" encoding="utf-8"?>
<formControlPr xmlns="http://schemas.microsoft.com/office/spreadsheetml/2009/9/main" objectType="CheckBox" fmlaLink="$A$44" lockText="1" noThreeD="1"/>
</file>

<file path=xl/ctrlProps/ctrlProp1893.xml><?xml version="1.0" encoding="utf-8"?>
<formControlPr xmlns="http://schemas.microsoft.com/office/spreadsheetml/2009/9/main" objectType="CheckBox" fmlaLink="$A$45" lockText="1" noThreeD="1"/>
</file>

<file path=xl/ctrlProps/ctrlProp1894.xml><?xml version="1.0" encoding="utf-8"?>
<formControlPr xmlns="http://schemas.microsoft.com/office/spreadsheetml/2009/9/main" objectType="CheckBox" fmlaLink="$A$46" lockText="1" noThreeD="1"/>
</file>

<file path=xl/ctrlProps/ctrlProp1895.xml><?xml version="1.0" encoding="utf-8"?>
<formControlPr xmlns="http://schemas.microsoft.com/office/spreadsheetml/2009/9/main" objectType="CheckBox" fmlaLink="$A$47" lockText="1" noThreeD="1"/>
</file>

<file path=xl/ctrlProps/ctrlProp1896.xml><?xml version="1.0" encoding="utf-8"?>
<formControlPr xmlns="http://schemas.microsoft.com/office/spreadsheetml/2009/9/main" objectType="CheckBox" fmlaLink="$A$48" lockText="1" noThreeD="1"/>
</file>

<file path=xl/ctrlProps/ctrlProp1897.xml><?xml version="1.0" encoding="utf-8"?>
<formControlPr xmlns="http://schemas.microsoft.com/office/spreadsheetml/2009/9/main" objectType="CheckBox" fmlaLink="$A$49" lockText="1" noThreeD="1"/>
</file>

<file path=xl/ctrlProps/ctrlProp1898.xml><?xml version="1.0" encoding="utf-8"?>
<formControlPr xmlns="http://schemas.microsoft.com/office/spreadsheetml/2009/9/main" objectType="Button" lockText="1"/>
</file>

<file path=xl/ctrlProps/ctrlProp1899.xml><?xml version="1.0" encoding="utf-8"?>
<formControlPr xmlns="http://schemas.microsoft.com/office/spreadsheetml/2009/9/main" objectType="Button" lockText="1"/>
</file>

<file path=xl/ctrlProps/ctrlProp1900.xml><?xml version="1.0" encoding="utf-8"?>
<formControlPr xmlns="http://schemas.microsoft.com/office/spreadsheetml/2009/9/main" objectType="CheckBox" fmlaLink="$A$40" lockText="1" noThreeD="1"/>
</file>

<file path=xl/ctrlProps/ctrlProp1901.xml><?xml version="1.0" encoding="utf-8"?>
<formControlPr xmlns="http://schemas.microsoft.com/office/spreadsheetml/2009/9/main" objectType="Button" lockText="1"/>
</file>

<file path=xl/ctrlProps/ctrlProp1902.xml><?xml version="1.0" encoding="utf-8"?>
<formControlPr xmlns="http://schemas.microsoft.com/office/spreadsheetml/2009/9/main" objectType="Button" lockText="1"/>
</file>

<file path=xl/ctrlProps/ctrlProp1903.xml><?xml version="1.0" encoding="utf-8"?>
<formControlPr xmlns="http://schemas.microsoft.com/office/spreadsheetml/2009/9/main" objectType="Button" lockText="1"/>
</file>

<file path=xl/ctrlProps/ctrlProp1904.xml><?xml version="1.0" encoding="utf-8"?>
<formControlPr xmlns="http://schemas.microsoft.com/office/spreadsheetml/2009/9/main" objectType="Button" lockText="1"/>
</file>

<file path=xl/ctrlProps/ctrlProp1905.xml><?xml version="1.0" encoding="utf-8"?>
<formControlPr xmlns="http://schemas.microsoft.com/office/spreadsheetml/2009/9/main" objectType="CheckBox" fmlaLink="$A$49" lockText="1" noThreeD="1"/>
</file>

<file path=xl/ctrlProps/ctrlProp1906.xml><?xml version="1.0" encoding="utf-8"?>
<formControlPr xmlns="http://schemas.microsoft.com/office/spreadsheetml/2009/9/main" objectType="CheckBox" checked="Checked" fmlaLink="$A$28" lockText="1" noThreeD="1"/>
</file>

<file path=xl/ctrlProps/ctrlProp1907.xml><?xml version="1.0" encoding="utf-8"?>
<formControlPr xmlns="http://schemas.microsoft.com/office/spreadsheetml/2009/9/main" objectType="CheckBox" checked="Checked" fmlaLink="$A$29" lockText="1" noThreeD="1"/>
</file>

<file path=xl/ctrlProps/ctrlProp1908.xml><?xml version="1.0" encoding="utf-8"?>
<formControlPr xmlns="http://schemas.microsoft.com/office/spreadsheetml/2009/9/main" objectType="CheckBox" checked="Checked" fmlaLink="$A$30" lockText="1" noThreeD="1"/>
</file>

<file path=xl/ctrlProps/ctrlProp1909.xml><?xml version="1.0" encoding="utf-8"?>
<formControlPr xmlns="http://schemas.microsoft.com/office/spreadsheetml/2009/9/main" objectType="CheckBox" checked="Checked" fmlaLink="$A$31" lockText="1" noThreeD="1"/>
</file>

<file path=xl/ctrlProps/ctrlProp1910.xml><?xml version="1.0" encoding="utf-8"?>
<formControlPr xmlns="http://schemas.microsoft.com/office/spreadsheetml/2009/9/main" objectType="CheckBox" checked="Checked" fmlaLink="$E$28" lockText="1" noThreeD="1"/>
</file>

<file path=xl/ctrlProps/ctrlProp1911.xml><?xml version="1.0" encoding="utf-8"?>
<formControlPr xmlns="http://schemas.microsoft.com/office/spreadsheetml/2009/9/main" objectType="CheckBox" checked="Checked" fmlaLink="$E$29" lockText="1" noThreeD="1"/>
</file>

<file path=xl/ctrlProps/ctrlProp1912.xml><?xml version="1.0" encoding="utf-8"?>
<formControlPr xmlns="http://schemas.microsoft.com/office/spreadsheetml/2009/9/main" objectType="CheckBox" checked="Checked" fmlaLink="$E$30" lockText="1" noThreeD="1"/>
</file>

<file path=xl/ctrlProps/ctrlProp1913.xml><?xml version="1.0" encoding="utf-8"?>
<formControlPr xmlns="http://schemas.microsoft.com/office/spreadsheetml/2009/9/main" objectType="CheckBox" checked="Checked" fmlaLink="$A$33" lockText="1" noThreeD="1"/>
</file>

<file path=xl/ctrlProps/ctrlProp1914.xml><?xml version="1.0" encoding="utf-8"?>
<formControlPr xmlns="http://schemas.microsoft.com/office/spreadsheetml/2009/9/main" objectType="CheckBox" checked="Checked" fmlaLink="$A$34" lockText="1" noThreeD="1"/>
</file>

<file path=xl/ctrlProps/ctrlProp1915.xml><?xml version="1.0" encoding="utf-8"?>
<formControlPr xmlns="http://schemas.microsoft.com/office/spreadsheetml/2009/9/main" objectType="CheckBox" checked="Checked" fmlaLink="$A$35" lockText="1" noThreeD="1"/>
</file>

<file path=xl/ctrlProps/ctrlProp1916.xml><?xml version="1.0" encoding="utf-8"?>
<formControlPr xmlns="http://schemas.microsoft.com/office/spreadsheetml/2009/9/main" objectType="CheckBox" checked="Checked" fmlaLink="$A$36" lockText="1" noThreeD="1"/>
</file>

<file path=xl/ctrlProps/ctrlProp1917.xml><?xml version="1.0" encoding="utf-8"?>
<formControlPr xmlns="http://schemas.microsoft.com/office/spreadsheetml/2009/9/main" objectType="CheckBox" fmlaLink="$A$37" lockText="1" noThreeD="1"/>
</file>

<file path=xl/ctrlProps/ctrlProp1918.xml><?xml version="1.0" encoding="utf-8"?>
<formControlPr xmlns="http://schemas.microsoft.com/office/spreadsheetml/2009/9/main" objectType="Button" lockText="1"/>
</file>

<file path=xl/ctrlProps/ctrlProp1919.xml><?xml version="1.0" encoding="utf-8"?>
<formControlPr xmlns="http://schemas.microsoft.com/office/spreadsheetml/2009/9/main" objectType="Button" lockText="1"/>
</file>

<file path=xl/ctrlProps/ctrlProp1920.xml><?xml version="1.0" encoding="utf-8"?>
<formControlPr xmlns="http://schemas.microsoft.com/office/spreadsheetml/2009/9/main" objectType="CheckBox" fmlaLink="$D$33" lockText="1" noThreeD="1"/>
</file>

<file path=xl/ctrlProps/ctrlProp1921.xml><?xml version="1.0" encoding="utf-8"?>
<formControlPr xmlns="http://schemas.microsoft.com/office/spreadsheetml/2009/9/main" objectType="CheckBox" checked="Checked" lockText="1" noThreeD="1"/>
</file>

<file path=xl/ctrlProps/ctrlProp1922.xml><?xml version="1.0" encoding="utf-8"?>
<formControlPr xmlns="http://schemas.microsoft.com/office/spreadsheetml/2009/9/main" objectType="CheckBox" checked="Checked" lockText="1" noThreeD="1"/>
</file>

<file path=xl/ctrlProps/ctrlProp1923.xml><?xml version="1.0" encoding="utf-8"?>
<formControlPr xmlns="http://schemas.microsoft.com/office/spreadsheetml/2009/9/main" objectType="CheckBox" checked="Checked" lockText="1" noThreeD="1"/>
</file>

<file path=xl/ctrlProps/ctrlProp1924.xml><?xml version="1.0" encoding="utf-8"?>
<formControlPr xmlns="http://schemas.microsoft.com/office/spreadsheetml/2009/9/main" objectType="CheckBox" checked="Checked" lockText="1" noThreeD="1"/>
</file>

<file path=xl/ctrlProps/ctrlProp1925.xml><?xml version="1.0" encoding="utf-8"?>
<formControlPr xmlns="http://schemas.microsoft.com/office/spreadsheetml/2009/9/main" objectType="CheckBox" checked="Checked" lockText="1" noThreeD="1"/>
</file>

<file path=xl/ctrlProps/ctrlProp1926.xml><?xml version="1.0" encoding="utf-8"?>
<formControlPr xmlns="http://schemas.microsoft.com/office/spreadsheetml/2009/9/main" objectType="CheckBox" checked="Checked" lockText="1" noThreeD="1"/>
</file>

<file path=xl/ctrlProps/ctrlProp1927.xml><?xml version="1.0" encoding="utf-8"?>
<formControlPr xmlns="http://schemas.microsoft.com/office/spreadsheetml/2009/9/main" objectType="CheckBox" checked="Checked" lockText="1" noThreeD="1"/>
</file>

<file path=xl/ctrlProps/ctrlProp1928.xml><?xml version="1.0" encoding="utf-8"?>
<formControlPr xmlns="http://schemas.microsoft.com/office/spreadsheetml/2009/9/main" objectType="CheckBox" fmlaLink="$A$43" lockText="1" noThreeD="1"/>
</file>

<file path=xl/ctrlProps/ctrlProp1929.xml><?xml version="1.0" encoding="utf-8"?>
<formControlPr xmlns="http://schemas.microsoft.com/office/spreadsheetml/2009/9/main" objectType="CheckBox" fmlaLink="$A$44" lockText="1" noThreeD="1"/>
</file>

<file path=xl/ctrlProps/ctrlProp1930.xml><?xml version="1.0" encoding="utf-8"?>
<formControlPr xmlns="http://schemas.microsoft.com/office/spreadsheetml/2009/9/main" objectType="CheckBox" fmlaLink="$A$45" lockText="1" noThreeD="1"/>
</file>

<file path=xl/ctrlProps/ctrlProp1931.xml><?xml version="1.0" encoding="utf-8"?>
<formControlPr xmlns="http://schemas.microsoft.com/office/spreadsheetml/2009/9/main" objectType="CheckBox" fmlaLink="$A$46" lockText="1" noThreeD="1"/>
</file>

<file path=xl/ctrlProps/ctrlProp1932.xml><?xml version="1.0" encoding="utf-8"?>
<formControlPr xmlns="http://schemas.microsoft.com/office/spreadsheetml/2009/9/main" objectType="CheckBox" fmlaLink="$A$47" lockText="1" noThreeD="1"/>
</file>

<file path=xl/ctrlProps/ctrlProp1933.xml><?xml version="1.0" encoding="utf-8"?>
<formControlPr xmlns="http://schemas.microsoft.com/office/spreadsheetml/2009/9/main" objectType="CheckBox" fmlaLink="$A$48" lockText="1" noThreeD="1"/>
</file>

<file path=xl/ctrlProps/ctrlProp1934.xml><?xml version="1.0" encoding="utf-8"?>
<formControlPr xmlns="http://schemas.microsoft.com/office/spreadsheetml/2009/9/main" objectType="CheckBox" fmlaLink="$A$49" lockText="1" noThreeD="1"/>
</file>

<file path=xl/ctrlProps/ctrlProp1935.xml><?xml version="1.0" encoding="utf-8"?>
<formControlPr xmlns="http://schemas.microsoft.com/office/spreadsheetml/2009/9/main" objectType="Button" lockText="1"/>
</file>

<file path=xl/ctrlProps/ctrlProp1936.xml><?xml version="1.0" encoding="utf-8"?>
<formControlPr xmlns="http://schemas.microsoft.com/office/spreadsheetml/2009/9/main" objectType="Button" lockText="1"/>
</file>

<file path=xl/ctrlProps/ctrlProp1937.xml><?xml version="1.0" encoding="utf-8"?>
<formControlPr xmlns="http://schemas.microsoft.com/office/spreadsheetml/2009/9/main" objectType="CheckBox" fmlaLink="$A$40" lockText="1" noThreeD="1"/>
</file>

<file path=xl/ctrlProps/ctrlProp1938.xml><?xml version="1.0" encoding="utf-8"?>
<formControlPr xmlns="http://schemas.microsoft.com/office/spreadsheetml/2009/9/main" objectType="Button" lockText="1"/>
</file>

<file path=xl/ctrlProps/ctrlProp1939.xml><?xml version="1.0" encoding="utf-8"?>
<formControlPr xmlns="http://schemas.microsoft.com/office/spreadsheetml/2009/9/main" objectType="Button" lockText="1"/>
</file>

<file path=xl/ctrlProps/ctrlProp1940.xml><?xml version="1.0" encoding="utf-8"?>
<formControlPr xmlns="http://schemas.microsoft.com/office/spreadsheetml/2009/9/main" objectType="Button" lockText="1"/>
</file>

<file path=xl/ctrlProps/ctrlProp1941.xml><?xml version="1.0" encoding="utf-8"?>
<formControlPr xmlns="http://schemas.microsoft.com/office/spreadsheetml/2009/9/main" objectType="Button" lockText="1"/>
</file>

<file path=xl/ctrlProps/ctrlProp1942.xml><?xml version="1.0" encoding="utf-8"?>
<formControlPr xmlns="http://schemas.microsoft.com/office/spreadsheetml/2009/9/main" objectType="CheckBox" fmlaLink="$A$49" lockText="1" noThreeD="1"/>
</file>

<file path=xl/ctrlProps/ctrlProp1943.xml><?xml version="1.0" encoding="utf-8"?>
<formControlPr xmlns="http://schemas.microsoft.com/office/spreadsheetml/2009/9/main" objectType="CheckBox" checked="Checked" fmlaLink="$A$28" lockText="1" noThreeD="1"/>
</file>

<file path=xl/ctrlProps/ctrlProp1944.xml><?xml version="1.0" encoding="utf-8"?>
<formControlPr xmlns="http://schemas.microsoft.com/office/spreadsheetml/2009/9/main" objectType="CheckBox" checked="Checked" fmlaLink="$A$29" lockText="1" noThreeD="1"/>
</file>

<file path=xl/ctrlProps/ctrlProp1945.xml><?xml version="1.0" encoding="utf-8"?>
<formControlPr xmlns="http://schemas.microsoft.com/office/spreadsheetml/2009/9/main" objectType="CheckBox" checked="Checked" fmlaLink="$A$30" lockText="1" noThreeD="1"/>
</file>

<file path=xl/ctrlProps/ctrlProp1946.xml><?xml version="1.0" encoding="utf-8"?>
<formControlPr xmlns="http://schemas.microsoft.com/office/spreadsheetml/2009/9/main" objectType="CheckBox" checked="Checked" fmlaLink="$A$31" lockText="1" noThreeD="1"/>
</file>

<file path=xl/ctrlProps/ctrlProp1947.xml><?xml version="1.0" encoding="utf-8"?>
<formControlPr xmlns="http://schemas.microsoft.com/office/spreadsheetml/2009/9/main" objectType="CheckBox" checked="Checked" fmlaLink="$E$28" lockText="1" noThreeD="1"/>
</file>

<file path=xl/ctrlProps/ctrlProp1948.xml><?xml version="1.0" encoding="utf-8"?>
<formControlPr xmlns="http://schemas.microsoft.com/office/spreadsheetml/2009/9/main" objectType="CheckBox" checked="Checked" fmlaLink="$E$29" lockText="1" noThreeD="1"/>
</file>

<file path=xl/ctrlProps/ctrlProp1949.xml><?xml version="1.0" encoding="utf-8"?>
<formControlPr xmlns="http://schemas.microsoft.com/office/spreadsheetml/2009/9/main" objectType="CheckBox" checked="Checked" fmlaLink="$E$30" lockText="1" noThreeD="1"/>
</file>

<file path=xl/ctrlProps/ctrlProp1950.xml><?xml version="1.0" encoding="utf-8"?>
<formControlPr xmlns="http://schemas.microsoft.com/office/spreadsheetml/2009/9/main" objectType="CheckBox" checked="Checked" fmlaLink="$A$33" lockText="1" noThreeD="1"/>
</file>

<file path=xl/ctrlProps/ctrlProp1951.xml><?xml version="1.0" encoding="utf-8"?>
<formControlPr xmlns="http://schemas.microsoft.com/office/spreadsheetml/2009/9/main" objectType="CheckBox" checked="Checked" fmlaLink="$A$34" lockText="1" noThreeD="1"/>
</file>

<file path=xl/ctrlProps/ctrlProp1952.xml><?xml version="1.0" encoding="utf-8"?>
<formControlPr xmlns="http://schemas.microsoft.com/office/spreadsheetml/2009/9/main" objectType="CheckBox" checked="Checked" fmlaLink="$A$35" lockText="1" noThreeD="1"/>
</file>

<file path=xl/ctrlProps/ctrlProp1953.xml><?xml version="1.0" encoding="utf-8"?>
<formControlPr xmlns="http://schemas.microsoft.com/office/spreadsheetml/2009/9/main" objectType="CheckBox" checked="Checked" fmlaLink="$A$36" lockText="1" noThreeD="1"/>
</file>

<file path=xl/ctrlProps/ctrlProp1954.xml><?xml version="1.0" encoding="utf-8"?>
<formControlPr xmlns="http://schemas.microsoft.com/office/spreadsheetml/2009/9/main" objectType="CheckBox" fmlaLink="$A$37" lockText="1" noThreeD="1"/>
</file>

<file path=xl/ctrlProps/ctrlProp1955.xml><?xml version="1.0" encoding="utf-8"?>
<formControlPr xmlns="http://schemas.microsoft.com/office/spreadsheetml/2009/9/main" objectType="Button" lockText="1"/>
</file>

<file path=xl/ctrlProps/ctrlProp1956.xml><?xml version="1.0" encoding="utf-8"?>
<formControlPr xmlns="http://schemas.microsoft.com/office/spreadsheetml/2009/9/main" objectType="Button" lockText="1"/>
</file>

<file path=xl/ctrlProps/ctrlProp1957.xml><?xml version="1.0" encoding="utf-8"?>
<formControlPr xmlns="http://schemas.microsoft.com/office/spreadsheetml/2009/9/main" objectType="CheckBox" checked="Checked" fmlaLink="$D$33" lockText="1" noThreeD="1"/>
</file>

<file path=xl/ctrlProps/ctrlProp1958.xml><?xml version="1.0" encoding="utf-8"?>
<formControlPr xmlns="http://schemas.microsoft.com/office/spreadsheetml/2009/9/main" objectType="CheckBox" checked="Checked" lockText="1" noThreeD="1"/>
</file>

<file path=xl/ctrlProps/ctrlProp1959.xml><?xml version="1.0" encoding="utf-8"?>
<formControlPr xmlns="http://schemas.microsoft.com/office/spreadsheetml/2009/9/main" objectType="CheckBox" checked="Checked" lockText="1" noThreeD="1"/>
</file>

<file path=xl/ctrlProps/ctrlProp1960.xml><?xml version="1.0" encoding="utf-8"?>
<formControlPr xmlns="http://schemas.microsoft.com/office/spreadsheetml/2009/9/main" objectType="CheckBox" checked="Checked" lockText="1" noThreeD="1"/>
</file>

<file path=xl/ctrlProps/ctrlProp1961.xml><?xml version="1.0" encoding="utf-8"?>
<formControlPr xmlns="http://schemas.microsoft.com/office/spreadsheetml/2009/9/main" objectType="CheckBox" checked="Checked" lockText="1" noThreeD="1"/>
</file>

<file path=xl/ctrlProps/ctrlProp1962.xml><?xml version="1.0" encoding="utf-8"?>
<formControlPr xmlns="http://schemas.microsoft.com/office/spreadsheetml/2009/9/main" objectType="CheckBox" checked="Checked" lockText="1" noThreeD="1"/>
</file>

<file path=xl/ctrlProps/ctrlProp1963.xml><?xml version="1.0" encoding="utf-8"?>
<formControlPr xmlns="http://schemas.microsoft.com/office/spreadsheetml/2009/9/main" objectType="CheckBox" lockText="1" noThreeD="1"/>
</file>

<file path=xl/ctrlProps/ctrlProp1964.xml><?xml version="1.0" encoding="utf-8"?>
<formControlPr xmlns="http://schemas.microsoft.com/office/spreadsheetml/2009/9/main" objectType="CheckBox" lockText="1" noThreeD="1"/>
</file>

<file path=xl/ctrlProps/ctrlProp1965.xml><?xml version="1.0" encoding="utf-8"?>
<formControlPr xmlns="http://schemas.microsoft.com/office/spreadsheetml/2009/9/main" objectType="CheckBox" fmlaLink="$A$43" lockText="1" noThreeD="1"/>
</file>

<file path=xl/ctrlProps/ctrlProp1966.xml><?xml version="1.0" encoding="utf-8"?>
<formControlPr xmlns="http://schemas.microsoft.com/office/spreadsheetml/2009/9/main" objectType="CheckBox" fmlaLink="$A$44" lockText="1" noThreeD="1"/>
</file>

<file path=xl/ctrlProps/ctrlProp1967.xml><?xml version="1.0" encoding="utf-8"?>
<formControlPr xmlns="http://schemas.microsoft.com/office/spreadsheetml/2009/9/main" objectType="CheckBox" fmlaLink="$A$45" lockText="1" noThreeD="1"/>
</file>

<file path=xl/ctrlProps/ctrlProp1968.xml><?xml version="1.0" encoding="utf-8"?>
<formControlPr xmlns="http://schemas.microsoft.com/office/spreadsheetml/2009/9/main" objectType="CheckBox" fmlaLink="$A$46" lockText="1" noThreeD="1"/>
</file>

<file path=xl/ctrlProps/ctrlProp1969.xml><?xml version="1.0" encoding="utf-8"?>
<formControlPr xmlns="http://schemas.microsoft.com/office/spreadsheetml/2009/9/main" objectType="CheckBox" fmlaLink="$A$47" lockText="1" noThreeD="1"/>
</file>

<file path=xl/ctrlProps/ctrlProp1970.xml><?xml version="1.0" encoding="utf-8"?>
<formControlPr xmlns="http://schemas.microsoft.com/office/spreadsheetml/2009/9/main" objectType="CheckBox" fmlaLink="$A$48" lockText="1" noThreeD="1"/>
</file>

<file path=xl/ctrlProps/ctrlProp1971.xml><?xml version="1.0" encoding="utf-8"?>
<formControlPr xmlns="http://schemas.microsoft.com/office/spreadsheetml/2009/9/main" objectType="CheckBox" fmlaLink="$A$49" lockText="1" noThreeD="1"/>
</file>

<file path=xl/ctrlProps/ctrlProp1972.xml><?xml version="1.0" encoding="utf-8"?>
<formControlPr xmlns="http://schemas.microsoft.com/office/spreadsheetml/2009/9/main" objectType="Button" lockText="1"/>
</file>

<file path=xl/ctrlProps/ctrlProp1973.xml><?xml version="1.0" encoding="utf-8"?>
<formControlPr xmlns="http://schemas.microsoft.com/office/spreadsheetml/2009/9/main" objectType="Button" lockText="1"/>
</file>

<file path=xl/ctrlProps/ctrlProp1974.xml><?xml version="1.0" encoding="utf-8"?>
<formControlPr xmlns="http://schemas.microsoft.com/office/spreadsheetml/2009/9/main" objectType="CheckBox" fmlaLink="$A$40" lockText="1" noThreeD="1"/>
</file>

<file path=xl/ctrlProps/ctrlProp1975.xml><?xml version="1.0" encoding="utf-8"?>
<formControlPr xmlns="http://schemas.microsoft.com/office/spreadsheetml/2009/9/main" objectType="Button" lockText="1"/>
</file>

<file path=xl/ctrlProps/ctrlProp1976.xml><?xml version="1.0" encoding="utf-8"?>
<formControlPr xmlns="http://schemas.microsoft.com/office/spreadsheetml/2009/9/main" objectType="Button" lockText="1"/>
</file>

<file path=xl/ctrlProps/ctrlProp1977.xml><?xml version="1.0" encoding="utf-8"?>
<formControlPr xmlns="http://schemas.microsoft.com/office/spreadsheetml/2009/9/main" objectType="Button" lockText="1"/>
</file>

<file path=xl/ctrlProps/ctrlProp1978.xml><?xml version="1.0" encoding="utf-8"?>
<formControlPr xmlns="http://schemas.microsoft.com/office/spreadsheetml/2009/9/main" objectType="Button" lockText="1"/>
</file>

<file path=xl/ctrlProps/ctrlProp1979.xml><?xml version="1.0" encoding="utf-8"?>
<formControlPr xmlns="http://schemas.microsoft.com/office/spreadsheetml/2009/9/main" objectType="CheckBox" fmlaLink="$A$49" lockText="1" noThreeD="1"/>
</file>

<file path=xl/ctrlProps/ctrlProp1980.xml><?xml version="1.0" encoding="utf-8"?>
<formControlPr xmlns="http://schemas.microsoft.com/office/spreadsheetml/2009/9/main" objectType="CheckBox" checked="Checked" fmlaLink="$A$28" lockText="1" noThreeD="1"/>
</file>

<file path=xl/ctrlProps/ctrlProp1981.xml><?xml version="1.0" encoding="utf-8"?>
<formControlPr xmlns="http://schemas.microsoft.com/office/spreadsheetml/2009/9/main" objectType="CheckBox" checked="Checked" fmlaLink="$A$29" lockText="1" noThreeD="1"/>
</file>

<file path=xl/ctrlProps/ctrlProp1982.xml><?xml version="1.0" encoding="utf-8"?>
<formControlPr xmlns="http://schemas.microsoft.com/office/spreadsheetml/2009/9/main" objectType="CheckBox" fmlaLink="$A$30" lockText="1" noThreeD="1"/>
</file>

<file path=xl/ctrlProps/ctrlProp1983.xml><?xml version="1.0" encoding="utf-8"?>
<formControlPr xmlns="http://schemas.microsoft.com/office/spreadsheetml/2009/9/main" objectType="CheckBox" fmlaLink="$A$31" lockText="1" noThreeD="1"/>
</file>

<file path=xl/ctrlProps/ctrlProp1984.xml><?xml version="1.0" encoding="utf-8"?>
<formControlPr xmlns="http://schemas.microsoft.com/office/spreadsheetml/2009/9/main" objectType="CheckBox" fmlaLink="$E$28" lockText="1" noThreeD="1"/>
</file>

<file path=xl/ctrlProps/ctrlProp1985.xml><?xml version="1.0" encoding="utf-8"?>
<formControlPr xmlns="http://schemas.microsoft.com/office/spreadsheetml/2009/9/main" objectType="CheckBox" fmlaLink="$E$29" lockText="1" noThreeD="1"/>
</file>

<file path=xl/ctrlProps/ctrlProp1986.xml><?xml version="1.0" encoding="utf-8"?>
<formControlPr xmlns="http://schemas.microsoft.com/office/spreadsheetml/2009/9/main" objectType="CheckBox" fmlaLink="$E$30" lockText="1" noThreeD="1"/>
</file>

<file path=xl/ctrlProps/ctrlProp1987.xml><?xml version="1.0" encoding="utf-8"?>
<formControlPr xmlns="http://schemas.microsoft.com/office/spreadsheetml/2009/9/main" objectType="CheckBox" checked="Checked" fmlaLink="$A$33" lockText="1" noThreeD="1"/>
</file>

<file path=xl/ctrlProps/ctrlProp1988.xml><?xml version="1.0" encoding="utf-8"?>
<formControlPr xmlns="http://schemas.microsoft.com/office/spreadsheetml/2009/9/main" objectType="CheckBox" checked="Checked" fmlaLink="$A$34" lockText="1" noThreeD="1"/>
</file>

<file path=xl/ctrlProps/ctrlProp1989.xml><?xml version="1.0" encoding="utf-8"?>
<formControlPr xmlns="http://schemas.microsoft.com/office/spreadsheetml/2009/9/main" objectType="CheckBox" checked="Checked" fmlaLink="$A$35" lockText="1" noThreeD="1"/>
</file>

<file path=xl/ctrlProps/ctrlProp1990.xml><?xml version="1.0" encoding="utf-8"?>
<formControlPr xmlns="http://schemas.microsoft.com/office/spreadsheetml/2009/9/main" objectType="CheckBox" checked="Checked" fmlaLink="$A$36" lockText="1" noThreeD="1"/>
</file>

<file path=xl/ctrlProps/ctrlProp1991.xml><?xml version="1.0" encoding="utf-8"?>
<formControlPr xmlns="http://schemas.microsoft.com/office/spreadsheetml/2009/9/main" objectType="CheckBox" fmlaLink="$A$37" lockText="1" noThreeD="1"/>
</file>

<file path=xl/ctrlProps/ctrlProp1992.xml><?xml version="1.0" encoding="utf-8"?>
<formControlPr xmlns="http://schemas.microsoft.com/office/spreadsheetml/2009/9/main" objectType="Button" lockText="1"/>
</file>

<file path=xl/ctrlProps/ctrlProp1993.xml><?xml version="1.0" encoding="utf-8"?>
<formControlPr xmlns="http://schemas.microsoft.com/office/spreadsheetml/2009/9/main" objectType="Button" lockText="1"/>
</file>

<file path=xl/ctrlProps/ctrlProp1994.xml><?xml version="1.0" encoding="utf-8"?>
<formControlPr xmlns="http://schemas.microsoft.com/office/spreadsheetml/2009/9/main" objectType="CheckBox" fmlaLink="$D$33" lockText="1" noThreeD="1"/>
</file>

<file path=xl/ctrlProps/ctrlProp1995.xml><?xml version="1.0" encoding="utf-8"?>
<formControlPr xmlns="http://schemas.microsoft.com/office/spreadsheetml/2009/9/main" objectType="CheckBox" checked="Checked" lockText="1" noThreeD="1"/>
</file>

<file path=xl/ctrlProps/ctrlProp1996.xml><?xml version="1.0" encoding="utf-8"?>
<formControlPr xmlns="http://schemas.microsoft.com/office/spreadsheetml/2009/9/main" objectType="CheckBox" checked="Checked" lockText="1" noThreeD="1"/>
</file>

<file path=xl/ctrlProps/ctrlProp1997.xml><?xml version="1.0" encoding="utf-8"?>
<formControlPr xmlns="http://schemas.microsoft.com/office/spreadsheetml/2009/9/main" objectType="CheckBox" checked="Checked" lockText="1" noThreeD="1"/>
</file>

<file path=xl/ctrlProps/ctrlProp1998.xml><?xml version="1.0" encoding="utf-8"?>
<formControlPr xmlns="http://schemas.microsoft.com/office/spreadsheetml/2009/9/main" objectType="CheckBox" checked="Checked" lockText="1" noThreeD="1"/>
</file>

<file path=xl/ctrlProps/ctrlProp1999.xml><?xml version="1.0" encoding="utf-8"?>
<formControlPr xmlns="http://schemas.microsoft.com/office/spreadsheetml/2009/9/main" objectType="CheckBox" checked="Checked" lockText="1" noThreeD="1"/>
</file>

<file path=xl/ctrlProps/ctrlProp2000.xml><?xml version="1.0" encoding="utf-8"?>
<formControlPr xmlns="http://schemas.microsoft.com/office/spreadsheetml/2009/9/main" objectType="CheckBox" checked="Checked" lockText="1" noThreeD="1"/>
</file>

<file path=xl/ctrlProps/ctrlProp2001.xml><?xml version="1.0" encoding="utf-8"?>
<formControlPr xmlns="http://schemas.microsoft.com/office/spreadsheetml/2009/9/main" objectType="CheckBox" lockText="1" noThreeD="1"/>
</file>

<file path=xl/ctrlProps/ctrlProp2002.xml><?xml version="1.0" encoding="utf-8"?>
<formControlPr xmlns="http://schemas.microsoft.com/office/spreadsheetml/2009/9/main" objectType="CheckBox" fmlaLink="$A$43" lockText="1" noThreeD="1"/>
</file>

<file path=xl/ctrlProps/ctrlProp2003.xml><?xml version="1.0" encoding="utf-8"?>
<formControlPr xmlns="http://schemas.microsoft.com/office/spreadsheetml/2009/9/main" objectType="CheckBox" fmlaLink="$A$44" lockText="1" noThreeD="1"/>
</file>

<file path=xl/ctrlProps/ctrlProp2004.xml><?xml version="1.0" encoding="utf-8"?>
<formControlPr xmlns="http://schemas.microsoft.com/office/spreadsheetml/2009/9/main" objectType="CheckBox" fmlaLink="$A$45" lockText="1" noThreeD="1"/>
</file>

<file path=xl/ctrlProps/ctrlProp2005.xml><?xml version="1.0" encoding="utf-8"?>
<formControlPr xmlns="http://schemas.microsoft.com/office/spreadsheetml/2009/9/main" objectType="CheckBox" fmlaLink="$A$46" lockText="1" noThreeD="1"/>
</file>

<file path=xl/ctrlProps/ctrlProp2006.xml><?xml version="1.0" encoding="utf-8"?>
<formControlPr xmlns="http://schemas.microsoft.com/office/spreadsheetml/2009/9/main" objectType="CheckBox" fmlaLink="$A$47" lockText="1" noThreeD="1"/>
</file>

<file path=xl/ctrlProps/ctrlProp2007.xml><?xml version="1.0" encoding="utf-8"?>
<formControlPr xmlns="http://schemas.microsoft.com/office/spreadsheetml/2009/9/main" objectType="CheckBox" fmlaLink="$A$48" lockText="1" noThreeD="1"/>
</file>

<file path=xl/ctrlProps/ctrlProp2008.xml><?xml version="1.0" encoding="utf-8"?>
<formControlPr xmlns="http://schemas.microsoft.com/office/spreadsheetml/2009/9/main" objectType="CheckBox" fmlaLink="$A$49" lockText="1" noThreeD="1"/>
</file>

<file path=xl/ctrlProps/ctrlProp2009.xml><?xml version="1.0" encoding="utf-8"?>
<formControlPr xmlns="http://schemas.microsoft.com/office/spreadsheetml/2009/9/main" objectType="Button" lockText="1"/>
</file>

<file path=xl/ctrlProps/ctrlProp2010.xml><?xml version="1.0" encoding="utf-8"?>
<formControlPr xmlns="http://schemas.microsoft.com/office/spreadsheetml/2009/9/main" objectType="Button" lockText="1"/>
</file>

<file path=xl/ctrlProps/ctrlProp2011.xml><?xml version="1.0" encoding="utf-8"?>
<formControlPr xmlns="http://schemas.microsoft.com/office/spreadsheetml/2009/9/main" objectType="CheckBox" fmlaLink="$A$40" lockText="1" noThreeD="1"/>
</file>

<file path=xl/ctrlProps/ctrlProp2012.xml><?xml version="1.0" encoding="utf-8"?>
<formControlPr xmlns="http://schemas.microsoft.com/office/spreadsheetml/2009/9/main" objectType="Button" lockText="1"/>
</file>

<file path=xl/ctrlProps/ctrlProp2013.xml><?xml version="1.0" encoding="utf-8"?>
<formControlPr xmlns="http://schemas.microsoft.com/office/spreadsheetml/2009/9/main" objectType="Button" lockText="1"/>
</file>

<file path=xl/ctrlProps/ctrlProp2014.xml><?xml version="1.0" encoding="utf-8"?>
<formControlPr xmlns="http://schemas.microsoft.com/office/spreadsheetml/2009/9/main" objectType="Button" lockText="1"/>
</file>

<file path=xl/ctrlProps/ctrlProp2015.xml><?xml version="1.0" encoding="utf-8"?>
<formControlPr xmlns="http://schemas.microsoft.com/office/spreadsheetml/2009/9/main" objectType="Button" lockText="1"/>
</file>

<file path=xl/ctrlProps/ctrlProp2016.xml><?xml version="1.0" encoding="utf-8"?>
<formControlPr xmlns="http://schemas.microsoft.com/office/spreadsheetml/2009/9/main" objectType="CheckBox" fmlaLink="$A$49" lockText="1" noThreeD="1"/>
</file>

<file path=xl/ctrlProps/ctrlProp2017.xml><?xml version="1.0" encoding="utf-8"?>
<formControlPr xmlns="http://schemas.microsoft.com/office/spreadsheetml/2009/9/main" objectType="CheckBox" checked="Checked" fmlaLink="$A$28" lockText="1" noThreeD="1"/>
</file>

<file path=xl/ctrlProps/ctrlProp2018.xml><?xml version="1.0" encoding="utf-8"?>
<formControlPr xmlns="http://schemas.microsoft.com/office/spreadsheetml/2009/9/main" objectType="CheckBox" checked="Checked" fmlaLink="$A$29" lockText="1" noThreeD="1"/>
</file>

<file path=xl/ctrlProps/ctrlProp2019.xml><?xml version="1.0" encoding="utf-8"?>
<formControlPr xmlns="http://schemas.microsoft.com/office/spreadsheetml/2009/9/main" objectType="CheckBox" checked="Checked" fmlaLink="$A$30" lockText="1" noThreeD="1"/>
</file>

<file path=xl/ctrlProps/ctrlProp2020.xml><?xml version="1.0" encoding="utf-8"?>
<formControlPr xmlns="http://schemas.microsoft.com/office/spreadsheetml/2009/9/main" objectType="CheckBox" checked="Checked" fmlaLink="$A$31" lockText="1" noThreeD="1"/>
</file>

<file path=xl/ctrlProps/ctrlProp2021.xml><?xml version="1.0" encoding="utf-8"?>
<formControlPr xmlns="http://schemas.microsoft.com/office/spreadsheetml/2009/9/main" objectType="CheckBox" checked="Checked" fmlaLink="$E$28" lockText="1" noThreeD="1"/>
</file>

<file path=xl/ctrlProps/ctrlProp2022.xml><?xml version="1.0" encoding="utf-8"?>
<formControlPr xmlns="http://schemas.microsoft.com/office/spreadsheetml/2009/9/main" objectType="CheckBox" checked="Checked" fmlaLink="$E$29" lockText="1" noThreeD="1"/>
</file>

<file path=xl/ctrlProps/ctrlProp2023.xml><?xml version="1.0" encoding="utf-8"?>
<formControlPr xmlns="http://schemas.microsoft.com/office/spreadsheetml/2009/9/main" objectType="CheckBox" checked="Checked" fmlaLink="$E$30" lockText="1" noThreeD="1"/>
</file>

<file path=xl/ctrlProps/ctrlProp2024.xml><?xml version="1.0" encoding="utf-8"?>
<formControlPr xmlns="http://schemas.microsoft.com/office/spreadsheetml/2009/9/main" objectType="CheckBox" checked="Checked" fmlaLink="$A$33" lockText="1" noThreeD="1"/>
</file>

<file path=xl/ctrlProps/ctrlProp2025.xml><?xml version="1.0" encoding="utf-8"?>
<formControlPr xmlns="http://schemas.microsoft.com/office/spreadsheetml/2009/9/main" objectType="CheckBox" checked="Checked" fmlaLink="$A$34" lockText="1" noThreeD="1"/>
</file>

<file path=xl/ctrlProps/ctrlProp2026.xml><?xml version="1.0" encoding="utf-8"?>
<formControlPr xmlns="http://schemas.microsoft.com/office/spreadsheetml/2009/9/main" objectType="CheckBox" checked="Checked" fmlaLink="$A$35" lockText="1" noThreeD="1"/>
</file>

<file path=xl/ctrlProps/ctrlProp2027.xml><?xml version="1.0" encoding="utf-8"?>
<formControlPr xmlns="http://schemas.microsoft.com/office/spreadsheetml/2009/9/main" objectType="CheckBox" checked="Checked" fmlaLink="$A$36" lockText="1" noThreeD="1"/>
</file>

<file path=xl/ctrlProps/ctrlProp2028.xml><?xml version="1.0" encoding="utf-8"?>
<formControlPr xmlns="http://schemas.microsoft.com/office/spreadsheetml/2009/9/main" objectType="CheckBox" fmlaLink="$A$37" lockText="1" noThreeD="1"/>
</file>

<file path=xl/ctrlProps/ctrlProp2029.xml><?xml version="1.0" encoding="utf-8"?>
<formControlPr xmlns="http://schemas.microsoft.com/office/spreadsheetml/2009/9/main" objectType="Button" lockText="1"/>
</file>

<file path=xl/ctrlProps/ctrlProp2030.xml><?xml version="1.0" encoding="utf-8"?>
<formControlPr xmlns="http://schemas.microsoft.com/office/spreadsheetml/2009/9/main" objectType="Button" lockText="1"/>
</file>

<file path=xl/ctrlProps/ctrlProp2031.xml><?xml version="1.0" encoding="utf-8"?>
<formControlPr xmlns="http://schemas.microsoft.com/office/spreadsheetml/2009/9/main" objectType="CheckBox" checked="Checked" fmlaLink="$D$33" lockText="1" noThreeD="1"/>
</file>

<file path=xl/ctrlProps/ctrlProp2032.xml><?xml version="1.0" encoding="utf-8"?>
<formControlPr xmlns="http://schemas.microsoft.com/office/spreadsheetml/2009/9/main" objectType="CheckBox" checked="Checked" lockText="1" noThreeD="1"/>
</file>

<file path=xl/ctrlProps/ctrlProp2033.xml><?xml version="1.0" encoding="utf-8"?>
<formControlPr xmlns="http://schemas.microsoft.com/office/spreadsheetml/2009/9/main" objectType="CheckBox" checked="Checked" lockText="1" noThreeD="1"/>
</file>

<file path=xl/ctrlProps/ctrlProp2034.xml><?xml version="1.0" encoding="utf-8"?>
<formControlPr xmlns="http://schemas.microsoft.com/office/spreadsheetml/2009/9/main" objectType="CheckBox" checked="Checked" lockText="1" noThreeD="1"/>
</file>

<file path=xl/ctrlProps/ctrlProp2035.xml><?xml version="1.0" encoding="utf-8"?>
<formControlPr xmlns="http://schemas.microsoft.com/office/spreadsheetml/2009/9/main" objectType="CheckBox" checked="Checked" lockText="1" noThreeD="1"/>
</file>

<file path=xl/ctrlProps/ctrlProp2036.xml><?xml version="1.0" encoding="utf-8"?>
<formControlPr xmlns="http://schemas.microsoft.com/office/spreadsheetml/2009/9/main" objectType="CheckBox" lockText="1" noThreeD="1"/>
</file>

<file path=xl/ctrlProps/ctrlProp2037.xml><?xml version="1.0" encoding="utf-8"?>
<formControlPr xmlns="http://schemas.microsoft.com/office/spreadsheetml/2009/9/main" objectType="CheckBox" lockText="1" noThreeD="1"/>
</file>

<file path=xl/ctrlProps/ctrlProp2038.xml><?xml version="1.0" encoding="utf-8"?>
<formControlPr xmlns="http://schemas.microsoft.com/office/spreadsheetml/2009/9/main" objectType="CheckBox" checked="Checked" lockText="1" noThreeD="1"/>
</file>

<file path=xl/ctrlProps/ctrlProp2039.xml><?xml version="1.0" encoding="utf-8"?>
<formControlPr xmlns="http://schemas.microsoft.com/office/spreadsheetml/2009/9/main" objectType="CheckBox" fmlaLink="$A$43" lockText="1" noThreeD="1"/>
</file>

<file path=xl/ctrlProps/ctrlProp2040.xml><?xml version="1.0" encoding="utf-8"?>
<formControlPr xmlns="http://schemas.microsoft.com/office/spreadsheetml/2009/9/main" objectType="CheckBox" fmlaLink="$A$44" lockText="1" noThreeD="1"/>
</file>

<file path=xl/ctrlProps/ctrlProp2041.xml><?xml version="1.0" encoding="utf-8"?>
<formControlPr xmlns="http://schemas.microsoft.com/office/spreadsheetml/2009/9/main" objectType="CheckBox" fmlaLink="$A$45" lockText="1" noThreeD="1"/>
</file>

<file path=xl/ctrlProps/ctrlProp2042.xml><?xml version="1.0" encoding="utf-8"?>
<formControlPr xmlns="http://schemas.microsoft.com/office/spreadsheetml/2009/9/main" objectType="CheckBox" fmlaLink="$A$46" lockText="1" noThreeD="1"/>
</file>

<file path=xl/ctrlProps/ctrlProp2043.xml><?xml version="1.0" encoding="utf-8"?>
<formControlPr xmlns="http://schemas.microsoft.com/office/spreadsheetml/2009/9/main" objectType="CheckBox" fmlaLink="$A$47" lockText="1" noThreeD="1"/>
</file>

<file path=xl/ctrlProps/ctrlProp2044.xml><?xml version="1.0" encoding="utf-8"?>
<formControlPr xmlns="http://schemas.microsoft.com/office/spreadsheetml/2009/9/main" objectType="CheckBox" fmlaLink="$A$48" lockText="1" noThreeD="1"/>
</file>

<file path=xl/ctrlProps/ctrlProp2045.xml><?xml version="1.0" encoding="utf-8"?>
<formControlPr xmlns="http://schemas.microsoft.com/office/spreadsheetml/2009/9/main" objectType="CheckBox" fmlaLink="$A$49" lockText="1" noThreeD="1"/>
</file>

<file path=xl/ctrlProps/ctrlProp2046.xml><?xml version="1.0" encoding="utf-8"?>
<formControlPr xmlns="http://schemas.microsoft.com/office/spreadsheetml/2009/9/main" objectType="Button" lockText="1"/>
</file>

<file path=xl/ctrlProps/ctrlProp2047.xml><?xml version="1.0" encoding="utf-8"?>
<formControlPr xmlns="http://schemas.microsoft.com/office/spreadsheetml/2009/9/main" objectType="Button" lockText="1"/>
</file>

<file path=xl/ctrlProps/ctrlProp2048.xml><?xml version="1.0" encoding="utf-8"?>
<formControlPr xmlns="http://schemas.microsoft.com/office/spreadsheetml/2009/9/main" objectType="CheckBox" fmlaLink="$A$40" lockText="1" noThreeD="1"/>
</file>

<file path=xl/ctrlProps/ctrlProp2049.xml><?xml version="1.0" encoding="utf-8"?>
<formControlPr xmlns="http://schemas.microsoft.com/office/spreadsheetml/2009/9/main" objectType="Button" lockText="1"/>
</file>

<file path=xl/ctrlProps/ctrlProp2050.xml><?xml version="1.0" encoding="utf-8"?>
<formControlPr xmlns="http://schemas.microsoft.com/office/spreadsheetml/2009/9/main" objectType="Button" lockText="1"/>
</file>

<file path=xl/ctrlProps/ctrlProp2051.xml><?xml version="1.0" encoding="utf-8"?>
<formControlPr xmlns="http://schemas.microsoft.com/office/spreadsheetml/2009/9/main" objectType="Button" lockText="1"/>
</file>

<file path=xl/ctrlProps/ctrlProp2052.xml><?xml version="1.0" encoding="utf-8"?>
<formControlPr xmlns="http://schemas.microsoft.com/office/spreadsheetml/2009/9/main" objectType="Button" lockText="1"/>
</file>

<file path=xl/ctrlProps/ctrlProp2053.xml><?xml version="1.0" encoding="utf-8"?>
<formControlPr xmlns="http://schemas.microsoft.com/office/spreadsheetml/2009/9/main" objectType="CheckBox" fmlaLink="$A$49" lockText="1" noThreeD="1"/>
</file>

<file path=xl/ctrlProps/ctrlProp2054.xml><?xml version="1.0" encoding="utf-8"?>
<formControlPr xmlns="http://schemas.microsoft.com/office/spreadsheetml/2009/9/main" objectType="CheckBox" fmlaLink="$A$28" lockText="1" noThreeD="1"/>
</file>

<file path=xl/ctrlProps/ctrlProp2055.xml><?xml version="1.0" encoding="utf-8"?>
<formControlPr xmlns="http://schemas.microsoft.com/office/spreadsheetml/2009/9/main" objectType="CheckBox" fmlaLink="$A$29" lockText="1" noThreeD="1"/>
</file>

<file path=xl/ctrlProps/ctrlProp2056.xml><?xml version="1.0" encoding="utf-8"?>
<formControlPr xmlns="http://schemas.microsoft.com/office/spreadsheetml/2009/9/main" objectType="CheckBox" fmlaLink="$A$30" lockText="1" noThreeD="1"/>
</file>

<file path=xl/ctrlProps/ctrlProp2057.xml><?xml version="1.0" encoding="utf-8"?>
<formControlPr xmlns="http://schemas.microsoft.com/office/spreadsheetml/2009/9/main" objectType="CheckBox" fmlaLink="$A$31" lockText="1" noThreeD="1"/>
</file>

<file path=xl/ctrlProps/ctrlProp2058.xml><?xml version="1.0" encoding="utf-8"?>
<formControlPr xmlns="http://schemas.microsoft.com/office/spreadsheetml/2009/9/main" objectType="CheckBox" fmlaLink="$E$28" lockText="1" noThreeD="1"/>
</file>

<file path=xl/ctrlProps/ctrlProp2059.xml><?xml version="1.0" encoding="utf-8"?>
<formControlPr xmlns="http://schemas.microsoft.com/office/spreadsheetml/2009/9/main" objectType="CheckBox" fmlaLink="$E$29" lockText="1" noThreeD="1"/>
</file>

<file path=xl/ctrlProps/ctrlProp2060.xml><?xml version="1.0" encoding="utf-8"?>
<formControlPr xmlns="http://schemas.microsoft.com/office/spreadsheetml/2009/9/main" objectType="CheckBox" fmlaLink="$E$30" lockText="1" noThreeD="1"/>
</file>

<file path=xl/ctrlProps/ctrlProp2061.xml><?xml version="1.0" encoding="utf-8"?>
<formControlPr xmlns="http://schemas.microsoft.com/office/spreadsheetml/2009/9/main" objectType="CheckBox" fmlaLink="$A$33" lockText="1" noThreeD="1"/>
</file>

<file path=xl/ctrlProps/ctrlProp2062.xml><?xml version="1.0" encoding="utf-8"?>
<formControlPr xmlns="http://schemas.microsoft.com/office/spreadsheetml/2009/9/main" objectType="CheckBox" fmlaLink="$A$34" lockText="1" noThreeD="1"/>
</file>

<file path=xl/ctrlProps/ctrlProp2063.xml><?xml version="1.0" encoding="utf-8"?>
<formControlPr xmlns="http://schemas.microsoft.com/office/spreadsheetml/2009/9/main" objectType="CheckBox" fmlaLink="$A$35" lockText="1" noThreeD="1"/>
</file>

<file path=xl/ctrlProps/ctrlProp2064.xml><?xml version="1.0" encoding="utf-8"?>
<formControlPr xmlns="http://schemas.microsoft.com/office/spreadsheetml/2009/9/main" objectType="CheckBox" fmlaLink="$A$36" lockText="1" noThreeD="1"/>
</file>

<file path=xl/ctrlProps/ctrlProp2065.xml><?xml version="1.0" encoding="utf-8"?>
<formControlPr xmlns="http://schemas.microsoft.com/office/spreadsheetml/2009/9/main" objectType="CheckBox" fmlaLink="$A$37" lockText="1" noThreeD="1"/>
</file>

<file path=xl/ctrlProps/ctrlProp2066.xml><?xml version="1.0" encoding="utf-8"?>
<formControlPr xmlns="http://schemas.microsoft.com/office/spreadsheetml/2009/9/main" objectType="Button" lockText="1"/>
</file>

<file path=xl/ctrlProps/ctrlProp2067.xml><?xml version="1.0" encoding="utf-8"?>
<formControlPr xmlns="http://schemas.microsoft.com/office/spreadsheetml/2009/9/main" objectType="Button" lockText="1"/>
</file>

<file path=xl/ctrlProps/ctrlProp2068.xml><?xml version="1.0" encoding="utf-8"?>
<formControlPr xmlns="http://schemas.microsoft.com/office/spreadsheetml/2009/9/main" objectType="CheckBox" fmlaLink="$D$33" lockText="1" noThreeD="1"/>
</file>

<file path=xl/ctrlProps/ctrlProp2069.xml><?xml version="1.0" encoding="utf-8"?>
<formControlPr xmlns="http://schemas.microsoft.com/office/spreadsheetml/2009/9/main" objectType="CheckBox" lockText="1" noThreeD="1"/>
</file>

<file path=xl/ctrlProps/ctrlProp2070.xml><?xml version="1.0" encoding="utf-8"?>
<formControlPr xmlns="http://schemas.microsoft.com/office/spreadsheetml/2009/9/main" objectType="CheckBox" lockText="1" noThreeD="1"/>
</file>

<file path=xl/ctrlProps/ctrlProp2071.xml><?xml version="1.0" encoding="utf-8"?>
<formControlPr xmlns="http://schemas.microsoft.com/office/spreadsheetml/2009/9/main" objectType="CheckBox" lockText="1" noThreeD="1"/>
</file>

<file path=xl/ctrlProps/ctrlProp2072.xml><?xml version="1.0" encoding="utf-8"?>
<formControlPr xmlns="http://schemas.microsoft.com/office/spreadsheetml/2009/9/main" objectType="CheckBox" lockText="1" noThreeD="1"/>
</file>

<file path=xl/ctrlProps/ctrlProp2073.xml><?xml version="1.0" encoding="utf-8"?>
<formControlPr xmlns="http://schemas.microsoft.com/office/spreadsheetml/2009/9/main" objectType="CheckBox" lockText="1" noThreeD="1"/>
</file>

<file path=xl/ctrlProps/ctrlProp2074.xml><?xml version="1.0" encoding="utf-8"?>
<formControlPr xmlns="http://schemas.microsoft.com/office/spreadsheetml/2009/9/main" objectType="CheckBox" lockText="1" noThreeD="1"/>
</file>

<file path=xl/ctrlProps/ctrlProp2075.xml><?xml version="1.0" encoding="utf-8"?>
<formControlPr xmlns="http://schemas.microsoft.com/office/spreadsheetml/2009/9/main" objectType="CheckBox" lockText="1" noThreeD="1"/>
</file>

<file path=xl/ctrlProps/ctrlProp2076.xml><?xml version="1.0" encoding="utf-8"?>
<formControlPr xmlns="http://schemas.microsoft.com/office/spreadsheetml/2009/9/main" objectType="CheckBox" fmlaLink="$A$43" lockText="1" noThreeD="1"/>
</file>

<file path=xl/ctrlProps/ctrlProp2077.xml><?xml version="1.0" encoding="utf-8"?>
<formControlPr xmlns="http://schemas.microsoft.com/office/spreadsheetml/2009/9/main" objectType="CheckBox" fmlaLink="$A$44" lockText="1" noThreeD="1"/>
</file>

<file path=xl/ctrlProps/ctrlProp2078.xml><?xml version="1.0" encoding="utf-8"?>
<formControlPr xmlns="http://schemas.microsoft.com/office/spreadsheetml/2009/9/main" objectType="CheckBox" fmlaLink="$A$45" lockText="1" noThreeD="1"/>
</file>

<file path=xl/ctrlProps/ctrlProp2079.xml><?xml version="1.0" encoding="utf-8"?>
<formControlPr xmlns="http://schemas.microsoft.com/office/spreadsheetml/2009/9/main" objectType="CheckBox" fmlaLink="$A$46" lockText="1" noThreeD="1"/>
</file>

<file path=xl/ctrlProps/ctrlProp2080.xml><?xml version="1.0" encoding="utf-8"?>
<formControlPr xmlns="http://schemas.microsoft.com/office/spreadsheetml/2009/9/main" objectType="CheckBox" fmlaLink="$A$47" lockText="1" noThreeD="1"/>
</file>

<file path=xl/ctrlProps/ctrlProp2081.xml><?xml version="1.0" encoding="utf-8"?>
<formControlPr xmlns="http://schemas.microsoft.com/office/spreadsheetml/2009/9/main" objectType="CheckBox" fmlaLink="$A$48" lockText="1" noThreeD="1"/>
</file>

<file path=xl/ctrlProps/ctrlProp2082.xml><?xml version="1.0" encoding="utf-8"?>
<formControlPr xmlns="http://schemas.microsoft.com/office/spreadsheetml/2009/9/main" objectType="CheckBox" fmlaLink="$A$49" lockText="1" noThreeD="1"/>
</file>

<file path=xl/ctrlProps/ctrlProp2083.xml><?xml version="1.0" encoding="utf-8"?>
<formControlPr xmlns="http://schemas.microsoft.com/office/spreadsheetml/2009/9/main" objectType="Button" lockText="1"/>
</file>

<file path=xl/ctrlProps/ctrlProp2084.xml><?xml version="1.0" encoding="utf-8"?>
<formControlPr xmlns="http://schemas.microsoft.com/office/spreadsheetml/2009/9/main" objectType="Button" lockText="1"/>
</file>

<file path=xl/ctrlProps/ctrlProp2085.xml><?xml version="1.0" encoding="utf-8"?>
<formControlPr xmlns="http://schemas.microsoft.com/office/spreadsheetml/2009/9/main" objectType="CheckBox" fmlaLink="$A$40" lockText="1" noThreeD="1"/>
</file>

<file path=xl/ctrlProps/ctrlProp2086.xml><?xml version="1.0" encoding="utf-8"?>
<formControlPr xmlns="http://schemas.microsoft.com/office/spreadsheetml/2009/9/main" objectType="Button" lockText="1"/>
</file>

<file path=xl/ctrlProps/ctrlProp2087.xml><?xml version="1.0" encoding="utf-8"?>
<formControlPr xmlns="http://schemas.microsoft.com/office/spreadsheetml/2009/9/main" objectType="Button" lockText="1"/>
</file>

<file path=xl/ctrlProps/ctrlProp2088.xml><?xml version="1.0" encoding="utf-8"?>
<formControlPr xmlns="http://schemas.microsoft.com/office/spreadsheetml/2009/9/main" objectType="Button" lockText="1"/>
</file>

<file path=xl/ctrlProps/ctrlProp2089.xml><?xml version="1.0" encoding="utf-8"?>
<formControlPr xmlns="http://schemas.microsoft.com/office/spreadsheetml/2009/9/main" objectType="Button" lockText="1"/>
</file>

<file path=xl/ctrlProps/ctrlProp2090.xml><?xml version="1.0" encoding="utf-8"?>
<formControlPr xmlns="http://schemas.microsoft.com/office/spreadsheetml/2009/9/main" objectType="CheckBox" fmlaLink="$A$49" lockText="1" noThreeD="1"/>
</file>

<file path=xl/ctrlProps/ctrlProp2091.xml><?xml version="1.0" encoding="utf-8"?>
<formControlPr xmlns="http://schemas.microsoft.com/office/spreadsheetml/2009/9/main" objectType="CheckBox" checked="Checked" fmlaLink="$A$28" lockText="1" noThreeD="1"/>
</file>

<file path=xl/ctrlProps/ctrlProp2092.xml><?xml version="1.0" encoding="utf-8"?>
<formControlPr xmlns="http://schemas.microsoft.com/office/spreadsheetml/2009/9/main" objectType="CheckBox" checked="Checked" fmlaLink="$A$29" lockText="1" noThreeD="1"/>
</file>

<file path=xl/ctrlProps/ctrlProp2093.xml><?xml version="1.0" encoding="utf-8"?>
<formControlPr xmlns="http://schemas.microsoft.com/office/spreadsheetml/2009/9/main" objectType="CheckBox" checked="Checked" fmlaLink="$A$30" lockText="1" noThreeD="1"/>
</file>

<file path=xl/ctrlProps/ctrlProp2094.xml><?xml version="1.0" encoding="utf-8"?>
<formControlPr xmlns="http://schemas.microsoft.com/office/spreadsheetml/2009/9/main" objectType="CheckBox" checked="Checked" fmlaLink="$A$31" lockText="1" noThreeD="1"/>
</file>

<file path=xl/ctrlProps/ctrlProp2095.xml><?xml version="1.0" encoding="utf-8"?>
<formControlPr xmlns="http://schemas.microsoft.com/office/spreadsheetml/2009/9/main" objectType="CheckBox" checked="Checked" fmlaLink="$E$28" lockText="1" noThreeD="1"/>
</file>

<file path=xl/ctrlProps/ctrlProp2096.xml><?xml version="1.0" encoding="utf-8"?>
<formControlPr xmlns="http://schemas.microsoft.com/office/spreadsheetml/2009/9/main" objectType="CheckBox" fmlaLink="$E$29" lockText="1" noThreeD="1"/>
</file>

<file path=xl/ctrlProps/ctrlProp2097.xml><?xml version="1.0" encoding="utf-8"?>
<formControlPr xmlns="http://schemas.microsoft.com/office/spreadsheetml/2009/9/main" objectType="CheckBox" checked="Checked" fmlaLink="$E$30" lockText="1" noThreeD="1"/>
</file>

<file path=xl/ctrlProps/ctrlProp2098.xml><?xml version="1.0" encoding="utf-8"?>
<formControlPr xmlns="http://schemas.microsoft.com/office/spreadsheetml/2009/9/main" objectType="CheckBox" fmlaLink="$A$33" lockText="1" noThreeD="1"/>
</file>

<file path=xl/ctrlProps/ctrlProp2099.xml><?xml version="1.0" encoding="utf-8"?>
<formControlPr xmlns="http://schemas.microsoft.com/office/spreadsheetml/2009/9/main" objectType="CheckBox" fmlaLink="$A$34" lockText="1" noThreeD="1"/>
</file>

<file path=xl/ctrlProps/ctrlProp2100.xml><?xml version="1.0" encoding="utf-8"?>
<formControlPr xmlns="http://schemas.microsoft.com/office/spreadsheetml/2009/9/main" objectType="CheckBox" fmlaLink="$A$35" lockText="1" noThreeD="1"/>
</file>

<file path=xl/ctrlProps/ctrlProp2101.xml><?xml version="1.0" encoding="utf-8"?>
<formControlPr xmlns="http://schemas.microsoft.com/office/spreadsheetml/2009/9/main" objectType="CheckBox" fmlaLink="$A$36" lockText="1" noThreeD="1"/>
</file>

<file path=xl/ctrlProps/ctrlProp2102.xml><?xml version="1.0" encoding="utf-8"?>
<formControlPr xmlns="http://schemas.microsoft.com/office/spreadsheetml/2009/9/main" objectType="CheckBox" fmlaLink="$A$37" lockText="1" noThreeD="1"/>
</file>

<file path=xl/ctrlProps/ctrlProp2103.xml><?xml version="1.0" encoding="utf-8"?>
<formControlPr xmlns="http://schemas.microsoft.com/office/spreadsheetml/2009/9/main" objectType="Button" lockText="1"/>
</file>

<file path=xl/ctrlProps/ctrlProp2104.xml><?xml version="1.0" encoding="utf-8"?>
<formControlPr xmlns="http://schemas.microsoft.com/office/spreadsheetml/2009/9/main" objectType="Button" lockText="1"/>
</file>

<file path=xl/ctrlProps/ctrlProp2105.xml><?xml version="1.0" encoding="utf-8"?>
<formControlPr xmlns="http://schemas.microsoft.com/office/spreadsheetml/2009/9/main" objectType="CheckBox" fmlaLink="$D$33" lockText="1" noThreeD="1"/>
</file>

<file path=xl/ctrlProps/ctrlProp2106.xml><?xml version="1.0" encoding="utf-8"?>
<formControlPr xmlns="http://schemas.microsoft.com/office/spreadsheetml/2009/9/main" objectType="CheckBox" lockText="1" noThreeD="1"/>
</file>

<file path=xl/ctrlProps/ctrlProp2107.xml><?xml version="1.0" encoding="utf-8"?>
<formControlPr xmlns="http://schemas.microsoft.com/office/spreadsheetml/2009/9/main" objectType="CheckBox" lockText="1" noThreeD="1"/>
</file>

<file path=xl/ctrlProps/ctrlProp2108.xml><?xml version="1.0" encoding="utf-8"?>
<formControlPr xmlns="http://schemas.microsoft.com/office/spreadsheetml/2009/9/main" objectType="CheckBox" lockText="1" noThreeD="1"/>
</file>

<file path=xl/ctrlProps/ctrlProp2109.xml><?xml version="1.0" encoding="utf-8"?>
<formControlPr xmlns="http://schemas.microsoft.com/office/spreadsheetml/2009/9/main" objectType="CheckBox" lockText="1" noThreeD="1"/>
</file>

<file path=xl/ctrlProps/ctrlProp2110.xml><?xml version="1.0" encoding="utf-8"?>
<formControlPr xmlns="http://schemas.microsoft.com/office/spreadsheetml/2009/9/main" objectType="CheckBox" lockText="1" noThreeD="1"/>
</file>

<file path=xl/ctrlProps/ctrlProp2111.xml><?xml version="1.0" encoding="utf-8"?>
<formControlPr xmlns="http://schemas.microsoft.com/office/spreadsheetml/2009/9/main" objectType="CheckBox" lockText="1" noThreeD="1"/>
</file>

<file path=xl/ctrlProps/ctrlProp2112.xml><?xml version="1.0" encoding="utf-8"?>
<formControlPr xmlns="http://schemas.microsoft.com/office/spreadsheetml/2009/9/main" objectType="CheckBox" lockText="1" noThreeD="1"/>
</file>

<file path=xl/ctrlProps/ctrlProp2113.xml><?xml version="1.0" encoding="utf-8"?>
<formControlPr xmlns="http://schemas.microsoft.com/office/spreadsheetml/2009/9/main" objectType="CheckBox" fmlaLink="$A$43" lockText="1" noThreeD="1"/>
</file>

<file path=xl/ctrlProps/ctrlProp2114.xml><?xml version="1.0" encoding="utf-8"?>
<formControlPr xmlns="http://schemas.microsoft.com/office/spreadsheetml/2009/9/main" objectType="CheckBox" fmlaLink="$A$44" lockText="1" noThreeD="1"/>
</file>

<file path=xl/ctrlProps/ctrlProp2115.xml><?xml version="1.0" encoding="utf-8"?>
<formControlPr xmlns="http://schemas.microsoft.com/office/spreadsheetml/2009/9/main" objectType="CheckBox" fmlaLink="$A$45" lockText="1" noThreeD="1"/>
</file>

<file path=xl/ctrlProps/ctrlProp2116.xml><?xml version="1.0" encoding="utf-8"?>
<formControlPr xmlns="http://schemas.microsoft.com/office/spreadsheetml/2009/9/main" objectType="CheckBox" fmlaLink="$A$46" lockText="1" noThreeD="1"/>
</file>

<file path=xl/ctrlProps/ctrlProp2117.xml><?xml version="1.0" encoding="utf-8"?>
<formControlPr xmlns="http://schemas.microsoft.com/office/spreadsheetml/2009/9/main" objectType="CheckBox" fmlaLink="$A$47" lockText="1" noThreeD="1"/>
</file>

<file path=xl/ctrlProps/ctrlProp2118.xml><?xml version="1.0" encoding="utf-8"?>
<formControlPr xmlns="http://schemas.microsoft.com/office/spreadsheetml/2009/9/main" objectType="CheckBox" fmlaLink="$A$48" lockText="1" noThreeD="1"/>
</file>

<file path=xl/ctrlProps/ctrlProp2119.xml><?xml version="1.0" encoding="utf-8"?>
<formControlPr xmlns="http://schemas.microsoft.com/office/spreadsheetml/2009/9/main" objectType="CheckBox" fmlaLink="$A$49" lockText="1" noThreeD="1"/>
</file>

<file path=xl/ctrlProps/ctrlProp2120.xml><?xml version="1.0" encoding="utf-8"?>
<formControlPr xmlns="http://schemas.microsoft.com/office/spreadsheetml/2009/9/main" objectType="Button" lockText="1"/>
</file>

<file path=xl/ctrlProps/ctrlProp2121.xml><?xml version="1.0" encoding="utf-8"?>
<formControlPr xmlns="http://schemas.microsoft.com/office/spreadsheetml/2009/9/main" objectType="Button" lockText="1"/>
</file>

<file path=xl/ctrlProps/ctrlProp2122.xml><?xml version="1.0" encoding="utf-8"?>
<formControlPr xmlns="http://schemas.microsoft.com/office/spreadsheetml/2009/9/main" objectType="CheckBox" fmlaLink="$A$40" lockText="1" noThreeD="1"/>
</file>

<file path=xl/ctrlProps/ctrlProp2123.xml><?xml version="1.0" encoding="utf-8"?>
<formControlPr xmlns="http://schemas.microsoft.com/office/spreadsheetml/2009/9/main" objectType="Button" lockText="1"/>
</file>

<file path=xl/ctrlProps/ctrlProp2124.xml><?xml version="1.0" encoding="utf-8"?>
<formControlPr xmlns="http://schemas.microsoft.com/office/spreadsheetml/2009/9/main" objectType="Button" lockText="1"/>
</file>

<file path=xl/ctrlProps/ctrlProp2125.xml><?xml version="1.0" encoding="utf-8"?>
<formControlPr xmlns="http://schemas.microsoft.com/office/spreadsheetml/2009/9/main" objectType="Button" lockText="1"/>
</file>

<file path=xl/ctrlProps/ctrlProp2126.xml><?xml version="1.0" encoding="utf-8"?>
<formControlPr xmlns="http://schemas.microsoft.com/office/spreadsheetml/2009/9/main" objectType="Button" lockText="1"/>
</file>

<file path=xl/ctrlProps/ctrlProp2127.xml><?xml version="1.0" encoding="utf-8"?>
<formControlPr xmlns="http://schemas.microsoft.com/office/spreadsheetml/2009/9/main" objectType="CheckBox" fmlaLink="$A$49" lockText="1" noThreeD="1"/>
</file>

<file path=xl/ctrlProps/ctrlProp2128.xml><?xml version="1.0" encoding="utf-8"?>
<formControlPr xmlns="http://schemas.microsoft.com/office/spreadsheetml/2009/9/main" objectType="CheckBox" checked="Checked" fmlaLink="$A$28" lockText="1" noThreeD="1"/>
</file>

<file path=xl/ctrlProps/ctrlProp2129.xml><?xml version="1.0" encoding="utf-8"?>
<formControlPr xmlns="http://schemas.microsoft.com/office/spreadsheetml/2009/9/main" objectType="CheckBox" checked="Checked" fmlaLink="$A$29" lockText="1" noThreeD="1"/>
</file>

<file path=xl/ctrlProps/ctrlProp2130.xml><?xml version="1.0" encoding="utf-8"?>
<formControlPr xmlns="http://schemas.microsoft.com/office/spreadsheetml/2009/9/main" objectType="CheckBox" checked="Checked" fmlaLink="$A$30" lockText="1" noThreeD="1"/>
</file>

<file path=xl/ctrlProps/ctrlProp2131.xml><?xml version="1.0" encoding="utf-8"?>
<formControlPr xmlns="http://schemas.microsoft.com/office/spreadsheetml/2009/9/main" objectType="CheckBox" fmlaLink="$A$31" lockText="1" noThreeD="1"/>
</file>

<file path=xl/ctrlProps/ctrlProp2132.xml><?xml version="1.0" encoding="utf-8"?>
<formControlPr xmlns="http://schemas.microsoft.com/office/spreadsheetml/2009/9/main" objectType="CheckBox" checked="Checked" fmlaLink="$E$28" lockText="1" noThreeD="1"/>
</file>

<file path=xl/ctrlProps/ctrlProp2133.xml><?xml version="1.0" encoding="utf-8"?>
<formControlPr xmlns="http://schemas.microsoft.com/office/spreadsheetml/2009/9/main" objectType="CheckBox" fmlaLink="$E$29" lockText="1" noThreeD="1"/>
</file>

<file path=xl/ctrlProps/ctrlProp2134.xml><?xml version="1.0" encoding="utf-8"?>
<formControlPr xmlns="http://schemas.microsoft.com/office/spreadsheetml/2009/9/main" objectType="CheckBox" fmlaLink="$E$30" lockText="1" noThreeD="1"/>
</file>

<file path=xl/ctrlProps/ctrlProp2135.xml><?xml version="1.0" encoding="utf-8"?>
<formControlPr xmlns="http://schemas.microsoft.com/office/spreadsheetml/2009/9/main" objectType="CheckBox" checked="Checked" fmlaLink="$A$33" lockText="1" noThreeD="1"/>
</file>

<file path=xl/ctrlProps/ctrlProp2136.xml><?xml version="1.0" encoding="utf-8"?>
<formControlPr xmlns="http://schemas.microsoft.com/office/spreadsheetml/2009/9/main" objectType="CheckBox" checked="Checked" fmlaLink="$A$34" lockText="1" noThreeD="1"/>
</file>

<file path=xl/ctrlProps/ctrlProp2137.xml><?xml version="1.0" encoding="utf-8"?>
<formControlPr xmlns="http://schemas.microsoft.com/office/spreadsheetml/2009/9/main" objectType="CheckBox" checked="Checked" fmlaLink="$A$35" lockText="1" noThreeD="1"/>
</file>

<file path=xl/ctrlProps/ctrlProp2138.xml><?xml version="1.0" encoding="utf-8"?>
<formControlPr xmlns="http://schemas.microsoft.com/office/spreadsheetml/2009/9/main" objectType="CheckBox" checked="Checked" fmlaLink="$A$36" lockText="1" noThreeD="1"/>
</file>

<file path=xl/ctrlProps/ctrlProp2139.xml><?xml version="1.0" encoding="utf-8"?>
<formControlPr xmlns="http://schemas.microsoft.com/office/spreadsheetml/2009/9/main" objectType="CheckBox" fmlaLink="$A$37" lockText="1" noThreeD="1"/>
</file>

<file path=xl/ctrlProps/ctrlProp2140.xml><?xml version="1.0" encoding="utf-8"?>
<formControlPr xmlns="http://schemas.microsoft.com/office/spreadsheetml/2009/9/main" objectType="Button" lockText="1"/>
</file>

<file path=xl/ctrlProps/ctrlProp2141.xml><?xml version="1.0" encoding="utf-8"?>
<formControlPr xmlns="http://schemas.microsoft.com/office/spreadsheetml/2009/9/main" objectType="Button" lockText="1"/>
</file>

<file path=xl/ctrlProps/ctrlProp2142.xml><?xml version="1.0" encoding="utf-8"?>
<formControlPr xmlns="http://schemas.microsoft.com/office/spreadsheetml/2009/9/main" objectType="CheckBox" fmlaLink="$D$33" lockText="1" noThreeD="1"/>
</file>

<file path=xl/ctrlProps/ctrlProp2143.xml><?xml version="1.0" encoding="utf-8"?>
<formControlPr xmlns="http://schemas.microsoft.com/office/spreadsheetml/2009/9/main" objectType="CheckBox" checked="Checked" lockText="1" noThreeD="1"/>
</file>

<file path=xl/ctrlProps/ctrlProp2144.xml><?xml version="1.0" encoding="utf-8"?>
<formControlPr xmlns="http://schemas.microsoft.com/office/spreadsheetml/2009/9/main" objectType="CheckBox" checked="Checked" lockText="1" noThreeD="1"/>
</file>

<file path=xl/ctrlProps/ctrlProp2145.xml><?xml version="1.0" encoding="utf-8"?>
<formControlPr xmlns="http://schemas.microsoft.com/office/spreadsheetml/2009/9/main" objectType="CheckBox" checked="Checked" lockText="1" noThreeD="1"/>
</file>

<file path=xl/ctrlProps/ctrlProp2146.xml><?xml version="1.0" encoding="utf-8"?>
<formControlPr xmlns="http://schemas.microsoft.com/office/spreadsheetml/2009/9/main" objectType="CheckBox" checked="Checked" lockText="1" noThreeD="1"/>
</file>

<file path=xl/ctrlProps/ctrlProp2147.xml><?xml version="1.0" encoding="utf-8"?>
<formControlPr xmlns="http://schemas.microsoft.com/office/spreadsheetml/2009/9/main" objectType="CheckBox" checked="Checked" lockText="1" noThreeD="1"/>
</file>

<file path=xl/ctrlProps/ctrlProp2148.xml><?xml version="1.0" encoding="utf-8"?>
<formControlPr xmlns="http://schemas.microsoft.com/office/spreadsheetml/2009/9/main" objectType="CheckBox" checked="Checked" lockText="1" noThreeD="1"/>
</file>

<file path=xl/ctrlProps/ctrlProp2149.xml><?xml version="1.0" encoding="utf-8"?>
<formControlPr xmlns="http://schemas.microsoft.com/office/spreadsheetml/2009/9/main" objectType="CheckBox" lockText="1" noThreeD="1"/>
</file>

<file path=xl/ctrlProps/ctrlProp2150.xml><?xml version="1.0" encoding="utf-8"?>
<formControlPr xmlns="http://schemas.microsoft.com/office/spreadsheetml/2009/9/main" objectType="CheckBox" fmlaLink="$A$43" lockText="1" noThreeD="1"/>
</file>

<file path=xl/ctrlProps/ctrlProp2151.xml><?xml version="1.0" encoding="utf-8"?>
<formControlPr xmlns="http://schemas.microsoft.com/office/spreadsheetml/2009/9/main" objectType="CheckBox" fmlaLink="$A$44" lockText="1" noThreeD="1"/>
</file>

<file path=xl/ctrlProps/ctrlProp2152.xml><?xml version="1.0" encoding="utf-8"?>
<formControlPr xmlns="http://schemas.microsoft.com/office/spreadsheetml/2009/9/main" objectType="CheckBox" fmlaLink="$A$45" lockText="1" noThreeD="1"/>
</file>

<file path=xl/ctrlProps/ctrlProp2153.xml><?xml version="1.0" encoding="utf-8"?>
<formControlPr xmlns="http://schemas.microsoft.com/office/spreadsheetml/2009/9/main" objectType="CheckBox" fmlaLink="$A$46" lockText="1" noThreeD="1"/>
</file>

<file path=xl/ctrlProps/ctrlProp2154.xml><?xml version="1.0" encoding="utf-8"?>
<formControlPr xmlns="http://schemas.microsoft.com/office/spreadsheetml/2009/9/main" objectType="CheckBox" fmlaLink="$A$47" lockText="1" noThreeD="1"/>
</file>

<file path=xl/ctrlProps/ctrlProp2155.xml><?xml version="1.0" encoding="utf-8"?>
<formControlPr xmlns="http://schemas.microsoft.com/office/spreadsheetml/2009/9/main" objectType="CheckBox" fmlaLink="$A$48" lockText="1" noThreeD="1"/>
</file>

<file path=xl/ctrlProps/ctrlProp2156.xml><?xml version="1.0" encoding="utf-8"?>
<formControlPr xmlns="http://schemas.microsoft.com/office/spreadsheetml/2009/9/main" objectType="CheckBox" fmlaLink="$A$49" lockText="1" noThreeD="1"/>
</file>

<file path=xl/ctrlProps/ctrlProp2157.xml><?xml version="1.0" encoding="utf-8"?>
<formControlPr xmlns="http://schemas.microsoft.com/office/spreadsheetml/2009/9/main" objectType="Button" lockText="1"/>
</file>

<file path=xl/ctrlProps/ctrlProp2158.xml><?xml version="1.0" encoding="utf-8"?>
<formControlPr xmlns="http://schemas.microsoft.com/office/spreadsheetml/2009/9/main" objectType="Button" lockText="1"/>
</file>

<file path=xl/ctrlProps/ctrlProp2159.xml><?xml version="1.0" encoding="utf-8"?>
<formControlPr xmlns="http://schemas.microsoft.com/office/spreadsheetml/2009/9/main" objectType="CheckBox" fmlaLink="$A$40" lockText="1" noThreeD="1"/>
</file>

<file path=xl/ctrlProps/ctrlProp2160.xml><?xml version="1.0" encoding="utf-8"?>
<formControlPr xmlns="http://schemas.microsoft.com/office/spreadsheetml/2009/9/main" objectType="Button" lockText="1"/>
</file>

<file path=xl/ctrlProps/ctrlProp2161.xml><?xml version="1.0" encoding="utf-8"?>
<formControlPr xmlns="http://schemas.microsoft.com/office/spreadsheetml/2009/9/main" objectType="Button" lockText="1"/>
</file>

<file path=xl/ctrlProps/ctrlProp2162.xml><?xml version="1.0" encoding="utf-8"?>
<formControlPr xmlns="http://schemas.microsoft.com/office/spreadsheetml/2009/9/main" objectType="Button" lockText="1"/>
</file>

<file path=xl/ctrlProps/ctrlProp2163.xml><?xml version="1.0" encoding="utf-8"?>
<formControlPr xmlns="http://schemas.microsoft.com/office/spreadsheetml/2009/9/main" objectType="Button" lockText="1"/>
</file>

<file path=xl/ctrlProps/ctrlProp2164.xml><?xml version="1.0" encoding="utf-8"?>
<formControlPr xmlns="http://schemas.microsoft.com/office/spreadsheetml/2009/9/main" objectType="CheckBox" fmlaLink="$A$49" lockText="1" noThreeD="1"/>
</file>

<file path=xl/ctrlProps/ctrlProp2165.xml><?xml version="1.0" encoding="utf-8"?>
<formControlPr xmlns="http://schemas.microsoft.com/office/spreadsheetml/2009/9/main" objectType="CheckBox" checked="Checked" fmlaLink="$A$28" lockText="1" noThreeD="1"/>
</file>

<file path=xl/ctrlProps/ctrlProp2166.xml><?xml version="1.0" encoding="utf-8"?>
<formControlPr xmlns="http://schemas.microsoft.com/office/spreadsheetml/2009/9/main" objectType="CheckBox" checked="Checked" fmlaLink="$A$29" lockText="1" noThreeD="1"/>
</file>

<file path=xl/ctrlProps/ctrlProp2167.xml><?xml version="1.0" encoding="utf-8"?>
<formControlPr xmlns="http://schemas.microsoft.com/office/spreadsheetml/2009/9/main" objectType="CheckBox" checked="Checked" fmlaLink="$A$30" lockText="1" noThreeD="1"/>
</file>

<file path=xl/ctrlProps/ctrlProp2168.xml><?xml version="1.0" encoding="utf-8"?>
<formControlPr xmlns="http://schemas.microsoft.com/office/spreadsheetml/2009/9/main" objectType="CheckBox" checked="Checked" fmlaLink="$A$31" lockText="1" noThreeD="1"/>
</file>

<file path=xl/ctrlProps/ctrlProp2169.xml><?xml version="1.0" encoding="utf-8"?>
<formControlPr xmlns="http://schemas.microsoft.com/office/spreadsheetml/2009/9/main" objectType="CheckBox" checked="Checked" fmlaLink="$E$28" lockText="1" noThreeD="1"/>
</file>

<file path=xl/ctrlProps/ctrlProp2170.xml><?xml version="1.0" encoding="utf-8"?>
<formControlPr xmlns="http://schemas.microsoft.com/office/spreadsheetml/2009/9/main" objectType="CheckBox" checked="Checked" fmlaLink="$E$29" lockText="1" noThreeD="1"/>
</file>

<file path=xl/ctrlProps/ctrlProp2171.xml><?xml version="1.0" encoding="utf-8"?>
<formControlPr xmlns="http://schemas.microsoft.com/office/spreadsheetml/2009/9/main" objectType="CheckBox" fmlaLink="$E$30" lockText="1" noThreeD="1"/>
</file>

<file path=xl/ctrlProps/ctrlProp2172.xml><?xml version="1.0" encoding="utf-8"?>
<formControlPr xmlns="http://schemas.microsoft.com/office/spreadsheetml/2009/9/main" objectType="CheckBox" checked="Checked" fmlaLink="$A$33" lockText="1" noThreeD="1"/>
</file>

<file path=xl/ctrlProps/ctrlProp2173.xml><?xml version="1.0" encoding="utf-8"?>
<formControlPr xmlns="http://schemas.microsoft.com/office/spreadsheetml/2009/9/main" objectType="CheckBox" checked="Checked" fmlaLink="$A$34" lockText="1" noThreeD="1"/>
</file>

<file path=xl/ctrlProps/ctrlProp2174.xml><?xml version="1.0" encoding="utf-8"?>
<formControlPr xmlns="http://schemas.microsoft.com/office/spreadsheetml/2009/9/main" objectType="CheckBox" checked="Checked" fmlaLink="$A$35" lockText="1" noThreeD="1"/>
</file>

<file path=xl/ctrlProps/ctrlProp2175.xml><?xml version="1.0" encoding="utf-8"?>
<formControlPr xmlns="http://schemas.microsoft.com/office/spreadsheetml/2009/9/main" objectType="CheckBox" checked="Checked" fmlaLink="$A$36" lockText="1" noThreeD="1"/>
</file>

<file path=xl/ctrlProps/ctrlProp2176.xml><?xml version="1.0" encoding="utf-8"?>
<formControlPr xmlns="http://schemas.microsoft.com/office/spreadsheetml/2009/9/main" objectType="CheckBox" fmlaLink="$A$37" lockText="1" noThreeD="1"/>
</file>

<file path=xl/ctrlProps/ctrlProp2177.xml><?xml version="1.0" encoding="utf-8"?>
<formControlPr xmlns="http://schemas.microsoft.com/office/spreadsheetml/2009/9/main" objectType="Button" lockText="1"/>
</file>

<file path=xl/ctrlProps/ctrlProp2178.xml><?xml version="1.0" encoding="utf-8"?>
<formControlPr xmlns="http://schemas.microsoft.com/office/spreadsheetml/2009/9/main" objectType="Button" lockText="1"/>
</file>

<file path=xl/ctrlProps/ctrlProp2179.xml><?xml version="1.0" encoding="utf-8"?>
<formControlPr xmlns="http://schemas.microsoft.com/office/spreadsheetml/2009/9/main" objectType="CheckBox" checked="Checked" fmlaLink="$D$33" lockText="1" noThreeD="1"/>
</file>

<file path=xl/ctrlProps/ctrlProp2180.xml><?xml version="1.0" encoding="utf-8"?>
<formControlPr xmlns="http://schemas.microsoft.com/office/spreadsheetml/2009/9/main" objectType="CheckBox" checked="Checked" lockText="1" noThreeD="1"/>
</file>

<file path=xl/ctrlProps/ctrlProp2181.xml><?xml version="1.0" encoding="utf-8"?>
<formControlPr xmlns="http://schemas.microsoft.com/office/spreadsheetml/2009/9/main" objectType="CheckBox" checked="Checked" lockText="1" noThreeD="1"/>
</file>

<file path=xl/ctrlProps/ctrlProp2182.xml><?xml version="1.0" encoding="utf-8"?>
<formControlPr xmlns="http://schemas.microsoft.com/office/spreadsheetml/2009/9/main" objectType="CheckBox" checked="Checked" lockText="1" noThreeD="1"/>
</file>

<file path=xl/ctrlProps/ctrlProp2183.xml><?xml version="1.0" encoding="utf-8"?>
<formControlPr xmlns="http://schemas.microsoft.com/office/spreadsheetml/2009/9/main" objectType="CheckBox" checked="Checked" lockText="1" noThreeD="1"/>
</file>

<file path=xl/ctrlProps/ctrlProp2184.xml><?xml version="1.0" encoding="utf-8"?>
<formControlPr xmlns="http://schemas.microsoft.com/office/spreadsheetml/2009/9/main" objectType="CheckBox" checked="Checked" lockText="1" noThreeD="1"/>
</file>

<file path=xl/ctrlProps/ctrlProp2185.xml><?xml version="1.0" encoding="utf-8"?>
<formControlPr xmlns="http://schemas.microsoft.com/office/spreadsheetml/2009/9/main" objectType="CheckBox" checked="Checked" lockText="1" noThreeD="1"/>
</file>

<file path=xl/ctrlProps/ctrlProp2186.xml><?xml version="1.0" encoding="utf-8"?>
<formControlPr xmlns="http://schemas.microsoft.com/office/spreadsheetml/2009/9/main" objectType="CheckBox" lockText="1" noThreeD="1"/>
</file>

<file path=xl/ctrlProps/ctrlProp2187.xml><?xml version="1.0" encoding="utf-8"?>
<formControlPr xmlns="http://schemas.microsoft.com/office/spreadsheetml/2009/9/main" objectType="CheckBox" fmlaLink="$A$43" lockText="1" noThreeD="1"/>
</file>

<file path=xl/ctrlProps/ctrlProp2188.xml><?xml version="1.0" encoding="utf-8"?>
<formControlPr xmlns="http://schemas.microsoft.com/office/spreadsheetml/2009/9/main" objectType="CheckBox" fmlaLink="$A$44" lockText="1" noThreeD="1"/>
</file>

<file path=xl/ctrlProps/ctrlProp2189.xml><?xml version="1.0" encoding="utf-8"?>
<formControlPr xmlns="http://schemas.microsoft.com/office/spreadsheetml/2009/9/main" objectType="CheckBox" fmlaLink="$A$45" lockText="1" noThreeD="1"/>
</file>

<file path=xl/ctrlProps/ctrlProp2190.xml><?xml version="1.0" encoding="utf-8"?>
<formControlPr xmlns="http://schemas.microsoft.com/office/spreadsheetml/2009/9/main" objectType="CheckBox" fmlaLink="$A$46" lockText="1" noThreeD="1"/>
</file>

<file path=xl/ctrlProps/ctrlProp2191.xml><?xml version="1.0" encoding="utf-8"?>
<formControlPr xmlns="http://schemas.microsoft.com/office/spreadsheetml/2009/9/main" objectType="CheckBox" fmlaLink="$A$47" lockText="1" noThreeD="1"/>
</file>

<file path=xl/ctrlProps/ctrlProp2192.xml><?xml version="1.0" encoding="utf-8"?>
<formControlPr xmlns="http://schemas.microsoft.com/office/spreadsheetml/2009/9/main" objectType="CheckBox" fmlaLink="$A$48" lockText="1" noThreeD="1"/>
</file>

<file path=xl/ctrlProps/ctrlProp2193.xml><?xml version="1.0" encoding="utf-8"?>
<formControlPr xmlns="http://schemas.microsoft.com/office/spreadsheetml/2009/9/main" objectType="CheckBox" fmlaLink="$A$49" lockText="1" noThreeD="1"/>
</file>

<file path=xl/ctrlProps/ctrlProp2194.xml><?xml version="1.0" encoding="utf-8"?>
<formControlPr xmlns="http://schemas.microsoft.com/office/spreadsheetml/2009/9/main" objectType="Button" lockText="1"/>
</file>

<file path=xl/ctrlProps/ctrlProp2195.xml><?xml version="1.0" encoding="utf-8"?>
<formControlPr xmlns="http://schemas.microsoft.com/office/spreadsheetml/2009/9/main" objectType="Button" lockText="1"/>
</file>

<file path=xl/ctrlProps/ctrlProp2196.xml><?xml version="1.0" encoding="utf-8"?>
<formControlPr xmlns="http://schemas.microsoft.com/office/spreadsheetml/2009/9/main" objectType="CheckBox" fmlaLink="$A$40" lockText="1" noThreeD="1"/>
</file>

<file path=xl/ctrlProps/ctrlProp2197.xml><?xml version="1.0" encoding="utf-8"?>
<formControlPr xmlns="http://schemas.microsoft.com/office/spreadsheetml/2009/9/main" objectType="Button" lockText="1"/>
</file>

<file path=xl/ctrlProps/ctrlProp2198.xml><?xml version="1.0" encoding="utf-8"?>
<formControlPr xmlns="http://schemas.microsoft.com/office/spreadsheetml/2009/9/main" objectType="Button" lockText="1"/>
</file>

<file path=xl/ctrlProps/ctrlProp2199.xml><?xml version="1.0" encoding="utf-8"?>
<formControlPr xmlns="http://schemas.microsoft.com/office/spreadsheetml/2009/9/main" objectType="Button" lockText="1"/>
</file>

<file path=xl/ctrlProps/ctrlProp2200.xml><?xml version="1.0" encoding="utf-8"?>
<formControlPr xmlns="http://schemas.microsoft.com/office/spreadsheetml/2009/9/main" objectType="Button" lockText="1"/>
</file>

<file path=xl/ctrlProps/ctrlProp2201.xml><?xml version="1.0" encoding="utf-8"?>
<formControlPr xmlns="http://schemas.microsoft.com/office/spreadsheetml/2009/9/main" objectType="CheckBox" fmlaLink="$A$49" lockText="1" noThreeD="1"/>
</file>

<file path=xl/ctrlProps/ctrlProp2202.xml><?xml version="1.0" encoding="utf-8"?>
<formControlPr xmlns="http://schemas.microsoft.com/office/spreadsheetml/2009/9/main" objectType="CheckBox" checked="Checked" fmlaLink="$A$28" lockText="1" noThreeD="1"/>
</file>

<file path=xl/ctrlProps/ctrlProp2203.xml><?xml version="1.0" encoding="utf-8"?>
<formControlPr xmlns="http://schemas.microsoft.com/office/spreadsheetml/2009/9/main" objectType="CheckBox" checked="Checked" fmlaLink="$A$29" lockText="1" noThreeD="1"/>
</file>

<file path=xl/ctrlProps/ctrlProp2204.xml><?xml version="1.0" encoding="utf-8"?>
<formControlPr xmlns="http://schemas.microsoft.com/office/spreadsheetml/2009/9/main" objectType="CheckBox" checked="Checked" fmlaLink="$A$30" lockText="1" noThreeD="1"/>
</file>

<file path=xl/ctrlProps/ctrlProp2205.xml><?xml version="1.0" encoding="utf-8"?>
<formControlPr xmlns="http://schemas.microsoft.com/office/spreadsheetml/2009/9/main" objectType="CheckBox" fmlaLink="$A$31" lockText="1" noThreeD="1"/>
</file>

<file path=xl/ctrlProps/ctrlProp2206.xml><?xml version="1.0" encoding="utf-8"?>
<formControlPr xmlns="http://schemas.microsoft.com/office/spreadsheetml/2009/9/main" objectType="CheckBox" checked="Checked" fmlaLink="$E$28" lockText="1" noThreeD="1"/>
</file>

<file path=xl/ctrlProps/ctrlProp2207.xml><?xml version="1.0" encoding="utf-8"?>
<formControlPr xmlns="http://schemas.microsoft.com/office/spreadsheetml/2009/9/main" objectType="CheckBox" checked="Checked" fmlaLink="$E$29" lockText="1" noThreeD="1"/>
</file>

<file path=xl/ctrlProps/ctrlProp2208.xml><?xml version="1.0" encoding="utf-8"?>
<formControlPr xmlns="http://schemas.microsoft.com/office/spreadsheetml/2009/9/main" objectType="CheckBox" checked="Checked" fmlaLink="$E$30" lockText="1" noThreeD="1"/>
</file>

<file path=xl/ctrlProps/ctrlProp2209.xml><?xml version="1.0" encoding="utf-8"?>
<formControlPr xmlns="http://schemas.microsoft.com/office/spreadsheetml/2009/9/main" objectType="CheckBox" checked="Checked" fmlaLink="$A$33" lockText="1" noThreeD="1"/>
</file>

<file path=xl/ctrlProps/ctrlProp2210.xml><?xml version="1.0" encoding="utf-8"?>
<formControlPr xmlns="http://schemas.microsoft.com/office/spreadsheetml/2009/9/main" objectType="CheckBox" checked="Checked" fmlaLink="$A$34" lockText="1" noThreeD="1"/>
</file>

<file path=xl/ctrlProps/ctrlProp2211.xml><?xml version="1.0" encoding="utf-8"?>
<formControlPr xmlns="http://schemas.microsoft.com/office/spreadsheetml/2009/9/main" objectType="CheckBox" checked="Checked" fmlaLink="$A$35" lockText="1" noThreeD="1"/>
</file>

<file path=xl/ctrlProps/ctrlProp2212.xml><?xml version="1.0" encoding="utf-8"?>
<formControlPr xmlns="http://schemas.microsoft.com/office/spreadsheetml/2009/9/main" objectType="CheckBox" checked="Checked" fmlaLink="$A$36" lockText="1" noThreeD="1"/>
</file>

<file path=xl/ctrlProps/ctrlProp2213.xml><?xml version="1.0" encoding="utf-8"?>
<formControlPr xmlns="http://schemas.microsoft.com/office/spreadsheetml/2009/9/main" objectType="CheckBox" fmlaLink="$A$37" lockText="1" noThreeD="1"/>
</file>

<file path=xl/ctrlProps/ctrlProp2214.xml><?xml version="1.0" encoding="utf-8"?>
<formControlPr xmlns="http://schemas.microsoft.com/office/spreadsheetml/2009/9/main" objectType="Button" lockText="1"/>
</file>

<file path=xl/ctrlProps/ctrlProp2215.xml><?xml version="1.0" encoding="utf-8"?>
<formControlPr xmlns="http://schemas.microsoft.com/office/spreadsheetml/2009/9/main" objectType="Button" lockText="1"/>
</file>

<file path=xl/ctrlProps/ctrlProp2216.xml><?xml version="1.0" encoding="utf-8"?>
<formControlPr xmlns="http://schemas.microsoft.com/office/spreadsheetml/2009/9/main" objectType="CheckBox" checked="Checked" fmlaLink="$D$33" lockText="1" noThreeD="1"/>
</file>

<file path=xl/ctrlProps/ctrlProp2217.xml><?xml version="1.0" encoding="utf-8"?>
<formControlPr xmlns="http://schemas.microsoft.com/office/spreadsheetml/2009/9/main" objectType="CheckBox" checked="Checked" lockText="1" noThreeD="1"/>
</file>

<file path=xl/ctrlProps/ctrlProp2218.xml><?xml version="1.0" encoding="utf-8"?>
<formControlPr xmlns="http://schemas.microsoft.com/office/spreadsheetml/2009/9/main" objectType="CheckBox" checked="Checked" lockText="1" noThreeD="1"/>
</file>

<file path=xl/ctrlProps/ctrlProp2219.xml><?xml version="1.0" encoding="utf-8"?>
<formControlPr xmlns="http://schemas.microsoft.com/office/spreadsheetml/2009/9/main" objectType="CheckBox" checked="Checked" lockText="1" noThreeD="1"/>
</file>

<file path=xl/ctrlProps/ctrlProp2220.xml><?xml version="1.0" encoding="utf-8"?>
<formControlPr xmlns="http://schemas.microsoft.com/office/spreadsheetml/2009/9/main" objectType="CheckBox" checked="Checked" lockText="1" noThreeD="1"/>
</file>

<file path=xl/ctrlProps/ctrlProp2221.xml><?xml version="1.0" encoding="utf-8"?>
<formControlPr xmlns="http://schemas.microsoft.com/office/spreadsheetml/2009/9/main" objectType="CheckBox" checked="Checked" lockText="1" noThreeD="1"/>
</file>

<file path=xl/ctrlProps/ctrlProp2222.xml><?xml version="1.0" encoding="utf-8"?>
<formControlPr xmlns="http://schemas.microsoft.com/office/spreadsheetml/2009/9/main" objectType="CheckBox" checked="Checked" lockText="1" noThreeD="1"/>
</file>

<file path=xl/ctrlProps/ctrlProp2223.xml><?xml version="1.0" encoding="utf-8"?>
<formControlPr xmlns="http://schemas.microsoft.com/office/spreadsheetml/2009/9/main" objectType="CheckBox" checked="Checked" lockText="1" noThreeD="1"/>
</file>

<file path=xl/ctrlProps/ctrlProp2224.xml><?xml version="1.0" encoding="utf-8"?>
<formControlPr xmlns="http://schemas.microsoft.com/office/spreadsheetml/2009/9/main" objectType="CheckBox" fmlaLink="$A$43" lockText="1" noThreeD="1"/>
</file>

<file path=xl/ctrlProps/ctrlProp2225.xml><?xml version="1.0" encoding="utf-8"?>
<formControlPr xmlns="http://schemas.microsoft.com/office/spreadsheetml/2009/9/main" objectType="CheckBox" fmlaLink="$A$44" lockText="1" noThreeD="1"/>
</file>

<file path=xl/ctrlProps/ctrlProp2226.xml><?xml version="1.0" encoding="utf-8"?>
<formControlPr xmlns="http://schemas.microsoft.com/office/spreadsheetml/2009/9/main" objectType="CheckBox" fmlaLink="$A$45" lockText="1" noThreeD="1"/>
</file>

<file path=xl/ctrlProps/ctrlProp2227.xml><?xml version="1.0" encoding="utf-8"?>
<formControlPr xmlns="http://schemas.microsoft.com/office/spreadsheetml/2009/9/main" objectType="CheckBox" fmlaLink="$A$46" lockText="1" noThreeD="1"/>
</file>

<file path=xl/ctrlProps/ctrlProp2228.xml><?xml version="1.0" encoding="utf-8"?>
<formControlPr xmlns="http://schemas.microsoft.com/office/spreadsheetml/2009/9/main" objectType="CheckBox" fmlaLink="$A$47" lockText="1" noThreeD="1"/>
</file>

<file path=xl/ctrlProps/ctrlProp2229.xml><?xml version="1.0" encoding="utf-8"?>
<formControlPr xmlns="http://schemas.microsoft.com/office/spreadsheetml/2009/9/main" objectType="CheckBox" fmlaLink="$A$48" lockText="1" noThreeD="1"/>
</file>

<file path=xl/ctrlProps/ctrlProp2230.xml><?xml version="1.0" encoding="utf-8"?>
<formControlPr xmlns="http://schemas.microsoft.com/office/spreadsheetml/2009/9/main" objectType="CheckBox" fmlaLink="$A$49" lockText="1" noThreeD="1"/>
</file>

<file path=xl/ctrlProps/ctrlProp2231.xml><?xml version="1.0" encoding="utf-8"?>
<formControlPr xmlns="http://schemas.microsoft.com/office/spreadsheetml/2009/9/main" objectType="Button" lockText="1"/>
</file>

<file path=xl/ctrlProps/ctrlProp2232.xml><?xml version="1.0" encoding="utf-8"?>
<formControlPr xmlns="http://schemas.microsoft.com/office/spreadsheetml/2009/9/main" objectType="Button" lockText="1"/>
</file>

<file path=xl/ctrlProps/ctrlProp2233.xml><?xml version="1.0" encoding="utf-8"?>
<formControlPr xmlns="http://schemas.microsoft.com/office/spreadsheetml/2009/9/main" objectType="CheckBox" fmlaLink="$A$40" lockText="1" noThreeD="1"/>
</file>

<file path=xl/ctrlProps/ctrlProp2234.xml><?xml version="1.0" encoding="utf-8"?>
<formControlPr xmlns="http://schemas.microsoft.com/office/spreadsheetml/2009/9/main" objectType="Button" lockText="1"/>
</file>

<file path=xl/ctrlProps/ctrlProp2235.xml><?xml version="1.0" encoding="utf-8"?>
<formControlPr xmlns="http://schemas.microsoft.com/office/spreadsheetml/2009/9/main" objectType="Button" lockText="1"/>
</file>

<file path=xl/ctrlProps/ctrlProp2236.xml><?xml version="1.0" encoding="utf-8"?>
<formControlPr xmlns="http://schemas.microsoft.com/office/spreadsheetml/2009/9/main" objectType="Button" lockText="1"/>
</file>

<file path=xl/ctrlProps/ctrlProp2237.xml><?xml version="1.0" encoding="utf-8"?>
<formControlPr xmlns="http://schemas.microsoft.com/office/spreadsheetml/2009/9/main" objectType="Button" lockText="1"/>
</file>

<file path=xl/ctrlProps/ctrlProp2238.xml><?xml version="1.0" encoding="utf-8"?>
<formControlPr xmlns="http://schemas.microsoft.com/office/spreadsheetml/2009/9/main" objectType="CheckBox" fmlaLink="$A$49" lockText="1" noThreeD="1"/>
</file>

<file path=xl/ctrlProps/ctrlProp2239.xml><?xml version="1.0" encoding="utf-8"?>
<formControlPr xmlns="http://schemas.microsoft.com/office/spreadsheetml/2009/9/main" objectType="CheckBox" checked="Checked" fmlaLink="$A$28" lockText="1" noThreeD="1"/>
</file>

<file path=xl/ctrlProps/ctrlProp2240.xml><?xml version="1.0" encoding="utf-8"?>
<formControlPr xmlns="http://schemas.microsoft.com/office/spreadsheetml/2009/9/main" objectType="CheckBox" checked="Checked" fmlaLink="$A$29" lockText="1" noThreeD="1"/>
</file>

<file path=xl/ctrlProps/ctrlProp2241.xml><?xml version="1.0" encoding="utf-8"?>
<formControlPr xmlns="http://schemas.microsoft.com/office/spreadsheetml/2009/9/main" objectType="CheckBox" checked="Checked" fmlaLink="$A$30" lockText="1" noThreeD="1"/>
</file>

<file path=xl/ctrlProps/ctrlProp2242.xml><?xml version="1.0" encoding="utf-8"?>
<formControlPr xmlns="http://schemas.microsoft.com/office/spreadsheetml/2009/9/main" objectType="CheckBox" fmlaLink="$A$31" lockText="1" noThreeD="1"/>
</file>

<file path=xl/ctrlProps/ctrlProp2243.xml><?xml version="1.0" encoding="utf-8"?>
<formControlPr xmlns="http://schemas.microsoft.com/office/spreadsheetml/2009/9/main" objectType="CheckBox" checked="Checked" fmlaLink="$E$28" lockText="1" noThreeD="1"/>
</file>

<file path=xl/ctrlProps/ctrlProp2244.xml><?xml version="1.0" encoding="utf-8"?>
<formControlPr xmlns="http://schemas.microsoft.com/office/spreadsheetml/2009/9/main" objectType="CheckBox" checked="Checked" fmlaLink="$E$29" lockText="1" noThreeD="1"/>
</file>

<file path=xl/ctrlProps/ctrlProp2245.xml><?xml version="1.0" encoding="utf-8"?>
<formControlPr xmlns="http://schemas.microsoft.com/office/spreadsheetml/2009/9/main" objectType="CheckBox" checked="Checked" fmlaLink="$E$30" lockText="1" noThreeD="1"/>
</file>

<file path=xl/ctrlProps/ctrlProp2246.xml><?xml version="1.0" encoding="utf-8"?>
<formControlPr xmlns="http://schemas.microsoft.com/office/spreadsheetml/2009/9/main" objectType="CheckBox" checked="Checked" fmlaLink="$A$33" lockText="1" noThreeD="1"/>
</file>

<file path=xl/ctrlProps/ctrlProp2247.xml><?xml version="1.0" encoding="utf-8"?>
<formControlPr xmlns="http://schemas.microsoft.com/office/spreadsheetml/2009/9/main" objectType="CheckBox" checked="Checked" fmlaLink="$A$34" lockText="1" noThreeD="1"/>
</file>

<file path=xl/ctrlProps/ctrlProp2248.xml><?xml version="1.0" encoding="utf-8"?>
<formControlPr xmlns="http://schemas.microsoft.com/office/spreadsheetml/2009/9/main" objectType="CheckBox" checked="Checked" fmlaLink="$A$35" lockText="1" noThreeD="1"/>
</file>

<file path=xl/ctrlProps/ctrlProp2249.xml><?xml version="1.0" encoding="utf-8"?>
<formControlPr xmlns="http://schemas.microsoft.com/office/spreadsheetml/2009/9/main" objectType="CheckBox" checked="Checked" fmlaLink="$A$36" lockText="1" noThreeD="1"/>
</file>

<file path=xl/ctrlProps/ctrlProp2250.xml><?xml version="1.0" encoding="utf-8"?>
<formControlPr xmlns="http://schemas.microsoft.com/office/spreadsheetml/2009/9/main" objectType="CheckBox" fmlaLink="$A$37" lockText="1" noThreeD="1"/>
</file>

<file path=xl/ctrlProps/ctrlProp2251.xml><?xml version="1.0" encoding="utf-8"?>
<formControlPr xmlns="http://schemas.microsoft.com/office/spreadsheetml/2009/9/main" objectType="Button" lockText="1"/>
</file>

<file path=xl/ctrlProps/ctrlProp2252.xml><?xml version="1.0" encoding="utf-8"?>
<formControlPr xmlns="http://schemas.microsoft.com/office/spreadsheetml/2009/9/main" objectType="Button" lockText="1"/>
</file>

<file path=xl/ctrlProps/ctrlProp2253.xml><?xml version="1.0" encoding="utf-8"?>
<formControlPr xmlns="http://schemas.microsoft.com/office/spreadsheetml/2009/9/main" objectType="CheckBox" fmlaLink="$D$33" lockText="1" noThreeD="1"/>
</file>

<file path=xl/ctrlProps/ctrlProp2254.xml><?xml version="1.0" encoding="utf-8"?>
<formControlPr xmlns="http://schemas.microsoft.com/office/spreadsheetml/2009/9/main" objectType="CheckBox" checked="Checked" lockText="1" noThreeD="1"/>
</file>

<file path=xl/ctrlProps/ctrlProp2255.xml><?xml version="1.0" encoding="utf-8"?>
<formControlPr xmlns="http://schemas.microsoft.com/office/spreadsheetml/2009/9/main" objectType="CheckBox" checked="Checked" lockText="1" noThreeD="1"/>
</file>

<file path=xl/ctrlProps/ctrlProp2256.xml><?xml version="1.0" encoding="utf-8"?>
<formControlPr xmlns="http://schemas.microsoft.com/office/spreadsheetml/2009/9/main" objectType="CheckBox" checked="Checked" lockText="1" noThreeD="1"/>
</file>

<file path=xl/ctrlProps/ctrlProp2257.xml><?xml version="1.0" encoding="utf-8"?>
<formControlPr xmlns="http://schemas.microsoft.com/office/spreadsheetml/2009/9/main" objectType="CheckBox" checked="Checked" lockText="1" noThreeD="1"/>
</file>

<file path=xl/ctrlProps/ctrlProp2258.xml><?xml version="1.0" encoding="utf-8"?>
<formControlPr xmlns="http://schemas.microsoft.com/office/spreadsheetml/2009/9/main" objectType="CheckBox" checked="Checked" lockText="1" noThreeD="1"/>
</file>

<file path=xl/ctrlProps/ctrlProp2259.xml><?xml version="1.0" encoding="utf-8"?>
<formControlPr xmlns="http://schemas.microsoft.com/office/spreadsheetml/2009/9/main" objectType="CheckBox" checked="Checked" lockText="1" noThreeD="1"/>
</file>

<file path=xl/ctrlProps/ctrlProp2260.xml><?xml version="1.0" encoding="utf-8"?>
<formControlPr xmlns="http://schemas.microsoft.com/office/spreadsheetml/2009/9/main" objectType="CheckBox" checked="Checked" lockText="1" noThreeD="1"/>
</file>

<file path=xl/ctrlProps/ctrlProp2261.xml><?xml version="1.0" encoding="utf-8"?>
<formControlPr xmlns="http://schemas.microsoft.com/office/spreadsheetml/2009/9/main" objectType="CheckBox" fmlaLink="$A$43" lockText="1" noThreeD="1"/>
</file>

<file path=xl/ctrlProps/ctrlProp2262.xml><?xml version="1.0" encoding="utf-8"?>
<formControlPr xmlns="http://schemas.microsoft.com/office/spreadsheetml/2009/9/main" objectType="CheckBox" fmlaLink="$A$44" lockText="1" noThreeD="1"/>
</file>

<file path=xl/ctrlProps/ctrlProp2263.xml><?xml version="1.0" encoding="utf-8"?>
<formControlPr xmlns="http://schemas.microsoft.com/office/spreadsheetml/2009/9/main" objectType="CheckBox" fmlaLink="$A$45" lockText="1" noThreeD="1"/>
</file>

<file path=xl/ctrlProps/ctrlProp2264.xml><?xml version="1.0" encoding="utf-8"?>
<formControlPr xmlns="http://schemas.microsoft.com/office/spreadsheetml/2009/9/main" objectType="CheckBox" fmlaLink="$A$46" lockText="1" noThreeD="1"/>
</file>

<file path=xl/ctrlProps/ctrlProp2265.xml><?xml version="1.0" encoding="utf-8"?>
<formControlPr xmlns="http://schemas.microsoft.com/office/spreadsheetml/2009/9/main" objectType="CheckBox" fmlaLink="$A$47" lockText="1" noThreeD="1"/>
</file>

<file path=xl/ctrlProps/ctrlProp2266.xml><?xml version="1.0" encoding="utf-8"?>
<formControlPr xmlns="http://schemas.microsoft.com/office/spreadsheetml/2009/9/main" objectType="CheckBox" fmlaLink="$A$48" lockText="1" noThreeD="1"/>
</file>

<file path=xl/ctrlProps/ctrlProp2267.xml><?xml version="1.0" encoding="utf-8"?>
<formControlPr xmlns="http://schemas.microsoft.com/office/spreadsheetml/2009/9/main" objectType="CheckBox" fmlaLink="$A$49" lockText="1" noThreeD="1"/>
</file>

<file path=xl/ctrlProps/ctrlProp2268.xml><?xml version="1.0" encoding="utf-8"?>
<formControlPr xmlns="http://schemas.microsoft.com/office/spreadsheetml/2009/9/main" objectType="Button" lockText="1"/>
</file>

<file path=xl/ctrlProps/ctrlProp2269.xml><?xml version="1.0" encoding="utf-8"?>
<formControlPr xmlns="http://schemas.microsoft.com/office/spreadsheetml/2009/9/main" objectType="Button" lockText="1"/>
</file>

<file path=xl/ctrlProps/ctrlProp2270.xml><?xml version="1.0" encoding="utf-8"?>
<formControlPr xmlns="http://schemas.microsoft.com/office/spreadsheetml/2009/9/main" objectType="CheckBox" fmlaLink="$A$40" lockText="1" noThreeD="1"/>
</file>

<file path=xl/ctrlProps/ctrlProp2271.xml><?xml version="1.0" encoding="utf-8"?>
<formControlPr xmlns="http://schemas.microsoft.com/office/spreadsheetml/2009/9/main" objectType="Button" lockText="1"/>
</file>

<file path=xl/ctrlProps/ctrlProp2272.xml><?xml version="1.0" encoding="utf-8"?>
<formControlPr xmlns="http://schemas.microsoft.com/office/spreadsheetml/2009/9/main" objectType="Button" lockText="1"/>
</file>

<file path=xl/ctrlProps/ctrlProp2273.xml><?xml version="1.0" encoding="utf-8"?>
<formControlPr xmlns="http://schemas.microsoft.com/office/spreadsheetml/2009/9/main" objectType="Button" lockText="1"/>
</file>

<file path=xl/ctrlProps/ctrlProp2274.xml><?xml version="1.0" encoding="utf-8"?>
<formControlPr xmlns="http://schemas.microsoft.com/office/spreadsheetml/2009/9/main" objectType="Button" lockText="1"/>
</file>

<file path=xl/ctrlProps/ctrlProp2275.xml><?xml version="1.0" encoding="utf-8"?>
<formControlPr xmlns="http://schemas.microsoft.com/office/spreadsheetml/2009/9/main" objectType="CheckBox" fmlaLink="$A$49" lockText="1" noThreeD="1"/>
</file>

<file path=xl/ctrlProps/ctrlProp2276.xml><?xml version="1.0" encoding="utf-8"?>
<formControlPr xmlns="http://schemas.microsoft.com/office/spreadsheetml/2009/9/main" objectType="CheckBox" checked="Checked" fmlaLink="$A$28" lockText="1" noThreeD="1"/>
</file>

<file path=xl/ctrlProps/ctrlProp2277.xml><?xml version="1.0" encoding="utf-8"?>
<formControlPr xmlns="http://schemas.microsoft.com/office/spreadsheetml/2009/9/main" objectType="CheckBox" checked="Checked" fmlaLink="$A$29" lockText="1" noThreeD="1"/>
</file>

<file path=xl/ctrlProps/ctrlProp2278.xml><?xml version="1.0" encoding="utf-8"?>
<formControlPr xmlns="http://schemas.microsoft.com/office/spreadsheetml/2009/9/main" objectType="CheckBox" fmlaLink="$A$30" lockText="1" noThreeD="1"/>
</file>

<file path=xl/ctrlProps/ctrlProp2279.xml><?xml version="1.0" encoding="utf-8"?>
<formControlPr xmlns="http://schemas.microsoft.com/office/spreadsheetml/2009/9/main" objectType="CheckBox" fmlaLink="$A$31" lockText="1" noThreeD="1"/>
</file>

<file path=xl/ctrlProps/ctrlProp2280.xml><?xml version="1.0" encoding="utf-8"?>
<formControlPr xmlns="http://schemas.microsoft.com/office/spreadsheetml/2009/9/main" objectType="CheckBox" fmlaLink="$E$28" lockText="1" noThreeD="1"/>
</file>

<file path=xl/ctrlProps/ctrlProp2281.xml><?xml version="1.0" encoding="utf-8"?>
<formControlPr xmlns="http://schemas.microsoft.com/office/spreadsheetml/2009/9/main" objectType="CheckBox" fmlaLink="$E$29" lockText="1" noThreeD="1"/>
</file>

<file path=xl/ctrlProps/ctrlProp2282.xml><?xml version="1.0" encoding="utf-8"?>
<formControlPr xmlns="http://schemas.microsoft.com/office/spreadsheetml/2009/9/main" objectType="CheckBox" fmlaLink="$E$30" lockText="1" noThreeD="1"/>
</file>

<file path=xl/ctrlProps/ctrlProp2283.xml><?xml version="1.0" encoding="utf-8"?>
<formControlPr xmlns="http://schemas.microsoft.com/office/spreadsheetml/2009/9/main" objectType="CheckBox" checked="Checked" fmlaLink="$A$33" lockText="1" noThreeD="1"/>
</file>

<file path=xl/ctrlProps/ctrlProp2284.xml><?xml version="1.0" encoding="utf-8"?>
<formControlPr xmlns="http://schemas.microsoft.com/office/spreadsheetml/2009/9/main" objectType="CheckBox" checked="Checked" fmlaLink="$A$34" lockText="1" noThreeD="1"/>
</file>

<file path=xl/ctrlProps/ctrlProp2285.xml><?xml version="1.0" encoding="utf-8"?>
<formControlPr xmlns="http://schemas.microsoft.com/office/spreadsheetml/2009/9/main" objectType="CheckBox" checked="Checked" fmlaLink="$A$35" lockText="1" noThreeD="1"/>
</file>

<file path=xl/ctrlProps/ctrlProp2286.xml><?xml version="1.0" encoding="utf-8"?>
<formControlPr xmlns="http://schemas.microsoft.com/office/spreadsheetml/2009/9/main" objectType="CheckBox" checked="Checked" fmlaLink="$A$36" lockText="1" noThreeD="1"/>
</file>

<file path=xl/ctrlProps/ctrlProp2287.xml><?xml version="1.0" encoding="utf-8"?>
<formControlPr xmlns="http://schemas.microsoft.com/office/spreadsheetml/2009/9/main" objectType="CheckBox" fmlaLink="$A$37" lockText="1" noThreeD="1"/>
</file>

<file path=xl/ctrlProps/ctrlProp2288.xml><?xml version="1.0" encoding="utf-8"?>
<formControlPr xmlns="http://schemas.microsoft.com/office/spreadsheetml/2009/9/main" objectType="Button" lockText="1"/>
</file>

<file path=xl/ctrlProps/ctrlProp2289.xml><?xml version="1.0" encoding="utf-8"?>
<formControlPr xmlns="http://schemas.microsoft.com/office/spreadsheetml/2009/9/main" objectType="Button" lockText="1"/>
</file>

<file path=xl/ctrlProps/ctrlProp2290.xml><?xml version="1.0" encoding="utf-8"?>
<formControlPr xmlns="http://schemas.microsoft.com/office/spreadsheetml/2009/9/main" objectType="CheckBox" checked="Checked" fmlaLink="$D$33" lockText="1" noThreeD="1"/>
</file>

<file path=xl/ctrlProps/ctrlProp2291.xml><?xml version="1.0" encoding="utf-8"?>
<formControlPr xmlns="http://schemas.microsoft.com/office/spreadsheetml/2009/9/main" objectType="CheckBox" checked="Checked" lockText="1" noThreeD="1"/>
</file>

<file path=xl/ctrlProps/ctrlProp2292.xml><?xml version="1.0" encoding="utf-8"?>
<formControlPr xmlns="http://schemas.microsoft.com/office/spreadsheetml/2009/9/main" objectType="CheckBox" checked="Checked" lockText="1" noThreeD="1"/>
</file>

<file path=xl/ctrlProps/ctrlProp2293.xml><?xml version="1.0" encoding="utf-8"?>
<formControlPr xmlns="http://schemas.microsoft.com/office/spreadsheetml/2009/9/main" objectType="CheckBox" checked="Checked" lockText="1" noThreeD="1"/>
</file>

<file path=xl/ctrlProps/ctrlProp2294.xml><?xml version="1.0" encoding="utf-8"?>
<formControlPr xmlns="http://schemas.microsoft.com/office/spreadsheetml/2009/9/main" objectType="CheckBox" checked="Checked" lockText="1" noThreeD="1"/>
</file>

<file path=xl/ctrlProps/ctrlProp2295.xml><?xml version="1.0" encoding="utf-8"?>
<formControlPr xmlns="http://schemas.microsoft.com/office/spreadsheetml/2009/9/main" objectType="CheckBox" checked="Checked" lockText="1" noThreeD="1"/>
</file>

<file path=xl/ctrlProps/ctrlProp2296.xml><?xml version="1.0" encoding="utf-8"?>
<formControlPr xmlns="http://schemas.microsoft.com/office/spreadsheetml/2009/9/main" objectType="CheckBox" lockText="1" noThreeD="1"/>
</file>

<file path=xl/ctrlProps/ctrlProp2297.xml><?xml version="1.0" encoding="utf-8"?>
<formControlPr xmlns="http://schemas.microsoft.com/office/spreadsheetml/2009/9/main" objectType="CheckBox" lockText="1" noThreeD="1"/>
</file>

<file path=xl/ctrlProps/ctrlProp2298.xml><?xml version="1.0" encoding="utf-8"?>
<formControlPr xmlns="http://schemas.microsoft.com/office/spreadsheetml/2009/9/main" objectType="CheckBox" fmlaLink="$A$43" lockText="1" noThreeD="1"/>
</file>

<file path=xl/ctrlProps/ctrlProp2299.xml><?xml version="1.0" encoding="utf-8"?>
<formControlPr xmlns="http://schemas.microsoft.com/office/spreadsheetml/2009/9/main" objectType="CheckBox" fmlaLink="$A$44" lockText="1" noThreeD="1"/>
</file>

<file path=xl/ctrlProps/ctrlProp2300.xml><?xml version="1.0" encoding="utf-8"?>
<formControlPr xmlns="http://schemas.microsoft.com/office/spreadsheetml/2009/9/main" objectType="CheckBox" fmlaLink="$A$45" lockText="1" noThreeD="1"/>
</file>

<file path=xl/ctrlProps/ctrlProp2301.xml><?xml version="1.0" encoding="utf-8"?>
<formControlPr xmlns="http://schemas.microsoft.com/office/spreadsheetml/2009/9/main" objectType="CheckBox" fmlaLink="$A$46" lockText="1" noThreeD="1"/>
</file>

<file path=xl/ctrlProps/ctrlProp2302.xml><?xml version="1.0" encoding="utf-8"?>
<formControlPr xmlns="http://schemas.microsoft.com/office/spreadsheetml/2009/9/main" objectType="CheckBox" fmlaLink="$A$47" lockText="1" noThreeD="1"/>
</file>

<file path=xl/ctrlProps/ctrlProp2303.xml><?xml version="1.0" encoding="utf-8"?>
<formControlPr xmlns="http://schemas.microsoft.com/office/spreadsheetml/2009/9/main" objectType="CheckBox" fmlaLink="$A$48" lockText="1" noThreeD="1"/>
</file>

<file path=xl/ctrlProps/ctrlProp2304.xml><?xml version="1.0" encoding="utf-8"?>
<formControlPr xmlns="http://schemas.microsoft.com/office/spreadsheetml/2009/9/main" objectType="CheckBox" fmlaLink="$A$49" lockText="1" noThreeD="1"/>
</file>

<file path=xl/ctrlProps/ctrlProp2305.xml><?xml version="1.0" encoding="utf-8"?>
<formControlPr xmlns="http://schemas.microsoft.com/office/spreadsheetml/2009/9/main" objectType="Button" lockText="1"/>
</file>

<file path=xl/ctrlProps/ctrlProp2306.xml><?xml version="1.0" encoding="utf-8"?>
<formControlPr xmlns="http://schemas.microsoft.com/office/spreadsheetml/2009/9/main" objectType="Button" lockText="1"/>
</file>

<file path=xl/ctrlProps/ctrlProp2307.xml><?xml version="1.0" encoding="utf-8"?>
<formControlPr xmlns="http://schemas.microsoft.com/office/spreadsheetml/2009/9/main" objectType="CheckBox" fmlaLink="$A$40" lockText="1" noThreeD="1"/>
</file>

<file path=xl/ctrlProps/ctrlProp2308.xml><?xml version="1.0" encoding="utf-8"?>
<formControlPr xmlns="http://schemas.microsoft.com/office/spreadsheetml/2009/9/main" objectType="Button" lockText="1"/>
</file>

<file path=xl/ctrlProps/ctrlProp2309.xml><?xml version="1.0" encoding="utf-8"?>
<formControlPr xmlns="http://schemas.microsoft.com/office/spreadsheetml/2009/9/main" objectType="Button" lockText="1"/>
</file>

<file path=xl/ctrlProps/ctrlProp2310.xml><?xml version="1.0" encoding="utf-8"?>
<formControlPr xmlns="http://schemas.microsoft.com/office/spreadsheetml/2009/9/main" objectType="Button" lockText="1"/>
</file>

<file path=xl/ctrlProps/ctrlProp2311.xml><?xml version="1.0" encoding="utf-8"?>
<formControlPr xmlns="http://schemas.microsoft.com/office/spreadsheetml/2009/9/main" objectType="Button" lockText="1"/>
</file>

<file path=xl/ctrlProps/ctrlProp2312.xml><?xml version="1.0" encoding="utf-8"?>
<formControlPr xmlns="http://schemas.microsoft.com/office/spreadsheetml/2009/9/main" objectType="CheckBox" fmlaLink="$A$49" lockText="1" noThreeD="1"/>
</file>

<file path=xl/ctrlProps/ctrlProp2313.xml><?xml version="1.0" encoding="utf-8"?>
<formControlPr xmlns="http://schemas.microsoft.com/office/spreadsheetml/2009/9/main" objectType="CheckBox" checked="Checked" fmlaLink="$A$28" lockText="1" noThreeD="1"/>
</file>

<file path=xl/ctrlProps/ctrlProp2314.xml><?xml version="1.0" encoding="utf-8"?>
<formControlPr xmlns="http://schemas.microsoft.com/office/spreadsheetml/2009/9/main" objectType="CheckBox" fmlaLink="$A$29" lockText="1" noThreeD="1"/>
</file>

<file path=xl/ctrlProps/ctrlProp2315.xml><?xml version="1.0" encoding="utf-8"?>
<formControlPr xmlns="http://schemas.microsoft.com/office/spreadsheetml/2009/9/main" objectType="CheckBox" fmlaLink="$A$30" lockText="1" noThreeD="1"/>
</file>

<file path=xl/ctrlProps/ctrlProp2316.xml><?xml version="1.0" encoding="utf-8"?>
<formControlPr xmlns="http://schemas.microsoft.com/office/spreadsheetml/2009/9/main" objectType="CheckBox" fmlaLink="$A$31" lockText="1" noThreeD="1"/>
</file>

<file path=xl/ctrlProps/ctrlProp2317.xml><?xml version="1.0" encoding="utf-8"?>
<formControlPr xmlns="http://schemas.microsoft.com/office/spreadsheetml/2009/9/main" objectType="CheckBox" checked="Checked" fmlaLink="$E$28" lockText="1" noThreeD="1"/>
</file>

<file path=xl/ctrlProps/ctrlProp2318.xml><?xml version="1.0" encoding="utf-8"?>
<formControlPr xmlns="http://schemas.microsoft.com/office/spreadsheetml/2009/9/main" objectType="CheckBox" fmlaLink="$E$29" lockText="1" noThreeD="1"/>
</file>

<file path=xl/ctrlProps/ctrlProp2319.xml><?xml version="1.0" encoding="utf-8"?>
<formControlPr xmlns="http://schemas.microsoft.com/office/spreadsheetml/2009/9/main" objectType="CheckBox" fmlaLink="$E$30" lockText="1" noThreeD="1"/>
</file>

<file path=xl/ctrlProps/ctrlProp2320.xml><?xml version="1.0" encoding="utf-8"?>
<formControlPr xmlns="http://schemas.microsoft.com/office/spreadsheetml/2009/9/main" objectType="CheckBox" checked="Checked" fmlaLink="$A$33" lockText="1" noThreeD="1"/>
</file>

<file path=xl/ctrlProps/ctrlProp2321.xml><?xml version="1.0" encoding="utf-8"?>
<formControlPr xmlns="http://schemas.microsoft.com/office/spreadsheetml/2009/9/main" objectType="CheckBox" checked="Checked" fmlaLink="$A$34" lockText="1" noThreeD="1"/>
</file>

<file path=xl/ctrlProps/ctrlProp2322.xml><?xml version="1.0" encoding="utf-8"?>
<formControlPr xmlns="http://schemas.microsoft.com/office/spreadsheetml/2009/9/main" objectType="CheckBox" checked="Checked" fmlaLink="$A$35" lockText="1" noThreeD="1"/>
</file>

<file path=xl/ctrlProps/ctrlProp2323.xml><?xml version="1.0" encoding="utf-8"?>
<formControlPr xmlns="http://schemas.microsoft.com/office/spreadsheetml/2009/9/main" objectType="CheckBox" checked="Checked" fmlaLink="$A$36" lockText="1" noThreeD="1"/>
</file>

<file path=xl/ctrlProps/ctrlProp2324.xml><?xml version="1.0" encoding="utf-8"?>
<formControlPr xmlns="http://schemas.microsoft.com/office/spreadsheetml/2009/9/main" objectType="CheckBox" fmlaLink="$A$37" lockText="1" noThreeD="1"/>
</file>

<file path=xl/ctrlProps/ctrlProp2325.xml><?xml version="1.0" encoding="utf-8"?>
<formControlPr xmlns="http://schemas.microsoft.com/office/spreadsheetml/2009/9/main" objectType="Button" lockText="1"/>
</file>

<file path=xl/ctrlProps/ctrlProp2326.xml><?xml version="1.0" encoding="utf-8"?>
<formControlPr xmlns="http://schemas.microsoft.com/office/spreadsheetml/2009/9/main" objectType="Button" lockText="1"/>
</file>

<file path=xl/ctrlProps/ctrlProp2327.xml><?xml version="1.0" encoding="utf-8"?>
<formControlPr xmlns="http://schemas.microsoft.com/office/spreadsheetml/2009/9/main" objectType="CheckBox" checked="Checked" fmlaLink="$D$33" lockText="1" noThreeD="1"/>
</file>

<file path=xl/ctrlProps/ctrlProp2328.xml><?xml version="1.0" encoding="utf-8"?>
<formControlPr xmlns="http://schemas.microsoft.com/office/spreadsheetml/2009/9/main" objectType="CheckBox" checked="Checked" lockText="1" noThreeD="1"/>
</file>

<file path=xl/ctrlProps/ctrlProp2329.xml><?xml version="1.0" encoding="utf-8"?>
<formControlPr xmlns="http://schemas.microsoft.com/office/spreadsheetml/2009/9/main" objectType="CheckBox" checked="Checked" lockText="1" noThreeD="1"/>
</file>

<file path=xl/ctrlProps/ctrlProp2330.xml><?xml version="1.0" encoding="utf-8"?>
<formControlPr xmlns="http://schemas.microsoft.com/office/spreadsheetml/2009/9/main" objectType="CheckBox" checked="Checked" lockText="1" noThreeD="1"/>
</file>

<file path=xl/ctrlProps/ctrlProp2331.xml><?xml version="1.0" encoding="utf-8"?>
<formControlPr xmlns="http://schemas.microsoft.com/office/spreadsheetml/2009/9/main" objectType="CheckBox" checked="Checked" lockText="1" noThreeD="1"/>
</file>

<file path=xl/ctrlProps/ctrlProp2332.xml><?xml version="1.0" encoding="utf-8"?>
<formControlPr xmlns="http://schemas.microsoft.com/office/spreadsheetml/2009/9/main" objectType="CheckBox" checked="Checked" lockText="1" noThreeD="1"/>
</file>

<file path=xl/ctrlProps/ctrlProp2333.xml><?xml version="1.0" encoding="utf-8"?>
<formControlPr xmlns="http://schemas.microsoft.com/office/spreadsheetml/2009/9/main" objectType="CheckBox" checked="Checked" lockText="1" noThreeD="1"/>
</file>

<file path=xl/ctrlProps/ctrlProp2334.xml><?xml version="1.0" encoding="utf-8"?>
<formControlPr xmlns="http://schemas.microsoft.com/office/spreadsheetml/2009/9/main" objectType="CheckBox" lockText="1" noThreeD="1"/>
</file>

<file path=xl/ctrlProps/ctrlProp2335.xml><?xml version="1.0" encoding="utf-8"?>
<formControlPr xmlns="http://schemas.microsoft.com/office/spreadsheetml/2009/9/main" objectType="CheckBox" fmlaLink="$A$43" lockText="1" noThreeD="1"/>
</file>

<file path=xl/ctrlProps/ctrlProp2336.xml><?xml version="1.0" encoding="utf-8"?>
<formControlPr xmlns="http://schemas.microsoft.com/office/spreadsheetml/2009/9/main" objectType="CheckBox" fmlaLink="$A$44" lockText="1" noThreeD="1"/>
</file>

<file path=xl/ctrlProps/ctrlProp2337.xml><?xml version="1.0" encoding="utf-8"?>
<formControlPr xmlns="http://schemas.microsoft.com/office/spreadsheetml/2009/9/main" objectType="CheckBox" fmlaLink="$A$45" lockText="1" noThreeD="1"/>
</file>

<file path=xl/ctrlProps/ctrlProp2338.xml><?xml version="1.0" encoding="utf-8"?>
<formControlPr xmlns="http://schemas.microsoft.com/office/spreadsheetml/2009/9/main" objectType="CheckBox" fmlaLink="$A$46" lockText="1" noThreeD="1"/>
</file>

<file path=xl/ctrlProps/ctrlProp2339.xml><?xml version="1.0" encoding="utf-8"?>
<formControlPr xmlns="http://schemas.microsoft.com/office/spreadsheetml/2009/9/main" objectType="CheckBox" fmlaLink="$A$47" lockText="1" noThreeD="1"/>
</file>

<file path=xl/ctrlProps/ctrlProp2340.xml><?xml version="1.0" encoding="utf-8"?>
<formControlPr xmlns="http://schemas.microsoft.com/office/spreadsheetml/2009/9/main" objectType="CheckBox" fmlaLink="$A$48" lockText="1" noThreeD="1"/>
</file>

<file path=xl/ctrlProps/ctrlProp2341.xml><?xml version="1.0" encoding="utf-8"?>
<formControlPr xmlns="http://schemas.microsoft.com/office/spreadsheetml/2009/9/main" objectType="CheckBox" fmlaLink="$A$49" lockText="1" noThreeD="1"/>
</file>

<file path=xl/ctrlProps/ctrlProp2342.xml><?xml version="1.0" encoding="utf-8"?>
<formControlPr xmlns="http://schemas.microsoft.com/office/spreadsheetml/2009/9/main" objectType="Button" lockText="1"/>
</file>

<file path=xl/ctrlProps/ctrlProp2343.xml><?xml version="1.0" encoding="utf-8"?>
<formControlPr xmlns="http://schemas.microsoft.com/office/spreadsheetml/2009/9/main" objectType="Button" lockText="1"/>
</file>

<file path=xl/ctrlProps/ctrlProp2344.xml><?xml version="1.0" encoding="utf-8"?>
<formControlPr xmlns="http://schemas.microsoft.com/office/spreadsheetml/2009/9/main" objectType="CheckBox" fmlaLink="$A$40" lockText="1" noThreeD="1"/>
</file>

<file path=xl/ctrlProps/ctrlProp2345.xml><?xml version="1.0" encoding="utf-8"?>
<formControlPr xmlns="http://schemas.microsoft.com/office/spreadsheetml/2009/9/main" objectType="Button" lockText="1"/>
</file>

<file path=xl/ctrlProps/ctrlProp2346.xml><?xml version="1.0" encoding="utf-8"?>
<formControlPr xmlns="http://schemas.microsoft.com/office/spreadsheetml/2009/9/main" objectType="Button" lockText="1"/>
</file>

<file path=xl/ctrlProps/ctrlProp2347.xml><?xml version="1.0" encoding="utf-8"?>
<formControlPr xmlns="http://schemas.microsoft.com/office/spreadsheetml/2009/9/main" objectType="Button" lockText="1"/>
</file>

<file path=xl/ctrlProps/ctrlProp2348.xml><?xml version="1.0" encoding="utf-8"?>
<formControlPr xmlns="http://schemas.microsoft.com/office/spreadsheetml/2009/9/main" objectType="Button" lockText="1"/>
</file>

<file path=xl/ctrlProps/ctrlProp2349.xml><?xml version="1.0" encoding="utf-8"?>
<formControlPr xmlns="http://schemas.microsoft.com/office/spreadsheetml/2009/9/main" objectType="CheckBox" fmlaLink="$A$49" lockText="1" noThreeD="1"/>
</file>

<file path=xl/ctrlProps/ctrlProp2350.xml><?xml version="1.0" encoding="utf-8"?>
<formControlPr xmlns="http://schemas.microsoft.com/office/spreadsheetml/2009/9/main" objectType="CheckBox" checked="Checked" fmlaLink="$A$28" lockText="1" noThreeD="1"/>
</file>

<file path=xl/ctrlProps/ctrlProp2351.xml><?xml version="1.0" encoding="utf-8"?>
<formControlPr xmlns="http://schemas.microsoft.com/office/spreadsheetml/2009/9/main" objectType="CheckBox" fmlaLink="$A$29" lockText="1" noThreeD="1"/>
</file>

<file path=xl/ctrlProps/ctrlProp2352.xml><?xml version="1.0" encoding="utf-8"?>
<formControlPr xmlns="http://schemas.microsoft.com/office/spreadsheetml/2009/9/main" objectType="CheckBox" fmlaLink="$A$30" lockText="1" noThreeD="1"/>
</file>

<file path=xl/ctrlProps/ctrlProp2353.xml><?xml version="1.0" encoding="utf-8"?>
<formControlPr xmlns="http://schemas.microsoft.com/office/spreadsheetml/2009/9/main" objectType="CheckBox" fmlaLink="$A$31" lockText="1" noThreeD="1"/>
</file>

<file path=xl/ctrlProps/ctrlProp2354.xml><?xml version="1.0" encoding="utf-8"?>
<formControlPr xmlns="http://schemas.microsoft.com/office/spreadsheetml/2009/9/main" objectType="CheckBox" checked="Checked" fmlaLink="$E$28" lockText="1" noThreeD="1"/>
</file>

<file path=xl/ctrlProps/ctrlProp2355.xml><?xml version="1.0" encoding="utf-8"?>
<formControlPr xmlns="http://schemas.microsoft.com/office/spreadsheetml/2009/9/main" objectType="CheckBox" checked="Checked" fmlaLink="$E$29" lockText="1" noThreeD="1"/>
</file>

<file path=xl/ctrlProps/ctrlProp2356.xml><?xml version="1.0" encoding="utf-8"?>
<formControlPr xmlns="http://schemas.microsoft.com/office/spreadsheetml/2009/9/main" objectType="CheckBox" fmlaLink="$E$30" lockText="1" noThreeD="1"/>
</file>

<file path=xl/ctrlProps/ctrlProp2357.xml><?xml version="1.0" encoding="utf-8"?>
<formControlPr xmlns="http://schemas.microsoft.com/office/spreadsheetml/2009/9/main" objectType="CheckBox" checked="Checked" fmlaLink="$A$33" lockText="1" noThreeD="1"/>
</file>

<file path=xl/ctrlProps/ctrlProp2358.xml><?xml version="1.0" encoding="utf-8"?>
<formControlPr xmlns="http://schemas.microsoft.com/office/spreadsheetml/2009/9/main" objectType="CheckBox" checked="Checked" fmlaLink="$A$34" lockText="1" noThreeD="1"/>
</file>

<file path=xl/ctrlProps/ctrlProp2359.xml><?xml version="1.0" encoding="utf-8"?>
<formControlPr xmlns="http://schemas.microsoft.com/office/spreadsheetml/2009/9/main" objectType="CheckBox" checked="Checked" fmlaLink="$A$35" lockText="1" noThreeD="1"/>
</file>

<file path=xl/ctrlProps/ctrlProp2360.xml><?xml version="1.0" encoding="utf-8"?>
<formControlPr xmlns="http://schemas.microsoft.com/office/spreadsheetml/2009/9/main" objectType="CheckBox" checked="Checked" fmlaLink="$A$36" lockText="1" noThreeD="1"/>
</file>

<file path=xl/ctrlProps/ctrlProp2361.xml><?xml version="1.0" encoding="utf-8"?>
<formControlPr xmlns="http://schemas.microsoft.com/office/spreadsheetml/2009/9/main" objectType="CheckBox" fmlaLink="$A$37" lockText="1" noThreeD="1"/>
</file>

<file path=xl/ctrlProps/ctrlProp2362.xml><?xml version="1.0" encoding="utf-8"?>
<formControlPr xmlns="http://schemas.microsoft.com/office/spreadsheetml/2009/9/main" objectType="Button" lockText="1"/>
</file>

<file path=xl/ctrlProps/ctrlProp2363.xml><?xml version="1.0" encoding="utf-8"?>
<formControlPr xmlns="http://schemas.microsoft.com/office/spreadsheetml/2009/9/main" objectType="Button" lockText="1"/>
</file>

<file path=xl/ctrlProps/ctrlProp2364.xml><?xml version="1.0" encoding="utf-8"?>
<formControlPr xmlns="http://schemas.microsoft.com/office/spreadsheetml/2009/9/main" objectType="CheckBox" checked="Checked" fmlaLink="$D$33" lockText="1" noThreeD="1"/>
</file>

<file path=xl/ctrlProps/ctrlProp2365.xml><?xml version="1.0" encoding="utf-8"?>
<formControlPr xmlns="http://schemas.microsoft.com/office/spreadsheetml/2009/9/main" objectType="CheckBox" checked="Checked" lockText="1" noThreeD="1"/>
</file>

<file path=xl/ctrlProps/ctrlProp2366.xml><?xml version="1.0" encoding="utf-8"?>
<formControlPr xmlns="http://schemas.microsoft.com/office/spreadsheetml/2009/9/main" objectType="CheckBox" checked="Checked" lockText="1" noThreeD="1"/>
</file>

<file path=xl/ctrlProps/ctrlProp2367.xml><?xml version="1.0" encoding="utf-8"?>
<formControlPr xmlns="http://schemas.microsoft.com/office/spreadsheetml/2009/9/main" objectType="CheckBox" checked="Checked" lockText="1" noThreeD="1"/>
</file>

<file path=xl/ctrlProps/ctrlProp2368.xml><?xml version="1.0" encoding="utf-8"?>
<formControlPr xmlns="http://schemas.microsoft.com/office/spreadsheetml/2009/9/main" objectType="CheckBox" checked="Checked" lockText="1" noThreeD="1"/>
</file>

<file path=xl/ctrlProps/ctrlProp2369.xml><?xml version="1.0" encoding="utf-8"?>
<formControlPr xmlns="http://schemas.microsoft.com/office/spreadsheetml/2009/9/main" objectType="CheckBox" checked="Checked" lockText="1" noThreeD="1"/>
</file>

<file path=xl/ctrlProps/ctrlProp2370.xml><?xml version="1.0" encoding="utf-8"?>
<formControlPr xmlns="http://schemas.microsoft.com/office/spreadsheetml/2009/9/main" objectType="CheckBox" checked="Checked" lockText="1" noThreeD="1"/>
</file>

<file path=xl/ctrlProps/ctrlProp2371.xml><?xml version="1.0" encoding="utf-8"?>
<formControlPr xmlns="http://schemas.microsoft.com/office/spreadsheetml/2009/9/main" objectType="CheckBox" checked="Checked" lockText="1" noThreeD="1"/>
</file>

<file path=xl/ctrlProps/ctrlProp2372.xml><?xml version="1.0" encoding="utf-8"?>
<formControlPr xmlns="http://schemas.microsoft.com/office/spreadsheetml/2009/9/main" objectType="CheckBox" fmlaLink="$A$43" lockText="1" noThreeD="1"/>
</file>

<file path=xl/ctrlProps/ctrlProp2373.xml><?xml version="1.0" encoding="utf-8"?>
<formControlPr xmlns="http://schemas.microsoft.com/office/spreadsheetml/2009/9/main" objectType="CheckBox" fmlaLink="$A$44" lockText="1" noThreeD="1"/>
</file>

<file path=xl/ctrlProps/ctrlProp2374.xml><?xml version="1.0" encoding="utf-8"?>
<formControlPr xmlns="http://schemas.microsoft.com/office/spreadsheetml/2009/9/main" objectType="CheckBox" fmlaLink="$A$45" lockText="1" noThreeD="1"/>
</file>

<file path=xl/ctrlProps/ctrlProp2375.xml><?xml version="1.0" encoding="utf-8"?>
<formControlPr xmlns="http://schemas.microsoft.com/office/spreadsheetml/2009/9/main" objectType="CheckBox" fmlaLink="$A$46" lockText="1" noThreeD="1"/>
</file>

<file path=xl/ctrlProps/ctrlProp2376.xml><?xml version="1.0" encoding="utf-8"?>
<formControlPr xmlns="http://schemas.microsoft.com/office/spreadsheetml/2009/9/main" objectType="CheckBox" fmlaLink="$A$47" lockText="1" noThreeD="1"/>
</file>

<file path=xl/ctrlProps/ctrlProp2377.xml><?xml version="1.0" encoding="utf-8"?>
<formControlPr xmlns="http://schemas.microsoft.com/office/spreadsheetml/2009/9/main" objectType="CheckBox" fmlaLink="$A$48" lockText="1" noThreeD="1"/>
</file>

<file path=xl/ctrlProps/ctrlProp2378.xml><?xml version="1.0" encoding="utf-8"?>
<formControlPr xmlns="http://schemas.microsoft.com/office/spreadsheetml/2009/9/main" objectType="CheckBox" fmlaLink="$A$49" lockText="1" noThreeD="1"/>
</file>

<file path=xl/ctrlProps/ctrlProp2379.xml><?xml version="1.0" encoding="utf-8"?>
<formControlPr xmlns="http://schemas.microsoft.com/office/spreadsheetml/2009/9/main" objectType="Button" lockText="1"/>
</file>

<file path=xl/ctrlProps/ctrlProp2380.xml><?xml version="1.0" encoding="utf-8"?>
<formControlPr xmlns="http://schemas.microsoft.com/office/spreadsheetml/2009/9/main" objectType="Button" lockText="1"/>
</file>

<file path=xl/ctrlProps/ctrlProp2381.xml><?xml version="1.0" encoding="utf-8"?>
<formControlPr xmlns="http://schemas.microsoft.com/office/spreadsheetml/2009/9/main" objectType="CheckBox" fmlaLink="$A$40" lockText="1" noThreeD="1"/>
</file>

<file path=xl/ctrlProps/ctrlProp2382.xml><?xml version="1.0" encoding="utf-8"?>
<formControlPr xmlns="http://schemas.microsoft.com/office/spreadsheetml/2009/9/main" objectType="Button" lockText="1"/>
</file>

<file path=xl/ctrlProps/ctrlProp2383.xml><?xml version="1.0" encoding="utf-8"?>
<formControlPr xmlns="http://schemas.microsoft.com/office/spreadsheetml/2009/9/main" objectType="Button" lockText="1"/>
</file>

<file path=xl/ctrlProps/ctrlProp2384.xml><?xml version="1.0" encoding="utf-8"?>
<formControlPr xmlns="http://schemas.microsoft.com/office/spreadsheetml/2009/9/main" objectType="Button" lockText="1"/>
</file>

<file path=xl/ctrlProps/ctrlProp2385.xml><?xml version="1.0" encoding="utf-8"?>
<formControlPr xmlns="http://schemas.microsoft.com/office/spreadsheetml/2009/9/main" objectType="Button" lockText="1"/>
</file>

<file path=xl/ctrlProps/ctrlProp2386.xml><?xml version="1.0" encoding="utf-8"?>
<formControlPr xmlns="http://schemas.microsoft.com/office/spreadsheetml/2009/9/main" objectType="CheckBox" fmlaLink="$A$49" lockText="1" noThreeD="1"/>
</file>

<file path=xl/ctrlProps/ctrlProp2387.xml><?xml version="1.0" encoding="utf-8"?>
<formControlPr xmlns="http://schemas.microsoft.com/office/spreadsheetml/2009/9/main" objectType="CheckBox" checked="Checked" fmlaLink="$A$28" lockText="1" noThreeD="1"/>
</file>

<file path=xl/ctrlProps/ctrlProp2388.xml><?xml version="1.0" encoding="utf-8"?>
<formControlPr xmlns="http://schemas.microsoft.com/office/spreadsheetml/2009/9/main" objectType="CheckBox" checked="Checked" fmlaLink="$A$29" lockText="1" noThreeD="1"/>
</file>

<file path=xl/ctrlProps/ctrlProp2389.xml><?xml version="1.0" encoding="utf-8"?>
<formControlPr xmlns="http://schemas.microsoft.com/office/spreadsheetml/2009/9/main" objectType="CheckBox" checked="Checked" fmlaLink="$A$30" lockText="1" noThreeD="1"/>
</file>

<file path=xl/ctrlProps/ctrlProp2390.xml><?xml version="1.0" encoding="utf-8"?>
<formControlPr xmlns="http://schemas.microsoft.com/office/spreadsheetml/2009/9/main" objectType="CheckBox" checked="Checked" fmlaLink="$A$31" lockText="1" noThreeD="1"/>
</file>

<file path=xl/ctrlProps/ctrlProp2391.xml><?xml version="1.0" encoding="utf-8"?>
<formControlPr xmlns="http://schemas.microsoft.com/office/spreadsheetml/2009/9/main" objectType="CheckBox" checked="Checked" fmlaLink="$E$28" lockText="1" noThreeD="1"/>
</file>

<file path=xl/ctrlProps/ctrlProp2392.xml><?xml version="1.0" encoding="utf-8"?>
<formControlPr xmlns="http://schemas.microsoft.com/office/spreadsheetml/2009/9/main" objectType="CheckBox" checked="Checked" fmlaLink="$E$29" lockText="1" noThreeD="1"/>
</file>

<file path=xl/ctrlProps/ctrlProp2393.xml><?xml version="1.0" encoding="utf-8"?>
<formControlPr xmlns="http://schemas.microsoft.com/office/spreadsheetml/2009/9/main" objectType="CheckBox" checked="Checked" fmlaLink="$E$30" lockText="1" noThreeD="1"/>
</file>

<file path=xl/ctrlProps/ctrlProp2394.xml><?xml version="1.0" encoding="utf-8"?>
<formControlPr xmlns="http://schemas.microsoft.com/office/spreadsheetml/2009/9/main" objectType="CheckBox" checked="Checked" fmlaLink="$A$33" lockText="1" noThreeD="1"/>
</file>

<file path=xl/ctrlProps/ctrlProp2395.xml><?xml version="1.0" encoding="utf-8"?>
<formControlPr xmlns="http://schemas.microsoft.com/office/spreadsheetml/2009/9/main" objectType="CheckBox" checked="Checked" fmlaLink="$A$34" lockText="1" noThreeD="1"/>
</file>

<file path=xl/ctrlProps/ctrlProp2396.xml><?xml version="1.0" encoding="utf-8"?>
<formControlPr xmlns="http://schemas.microsoft.com/office/spreadsheetml/2009/9/main" objectType="CheckBox" checked="Checked" fmlaLink="$A$35" lockText="1" noThreeD="1"/>
</file>

<file path=xl/ctrlProps/ctrlProp2397.xml><?xml version="1.0" encoding="utf-8"?>
<formControlPr xmlns="http://schemas.microsoft.com/office/spreadsheetml/2009/9/main" objectType="CheckBox" checked="Checked" fmlaLink="$A$36" lockText="1" noThreeD="1"/>
</file>

<file path=xl/ctrlProps/ctrlProp2398.xml><?xml version="1.0" encoding="utf-8"?>
<formControlPr xmlns="http://schemas.microsoft.com/office/spreadsheetml/2009/9/main" objectType="CheckBox" fmlaLink="$A$37" lockText="1" noThreeD="1"/>
</file>

<file path=xl/ctrlProps/ctrlProp2399.xml><?xml version="1.0" encoding="utf-8"?>
<formControlPr xmlns="http://schemas.microsoft.com/office/spreadsheetml/2009/9/main" objectType="Button" lockText="1"/>
</file>

<file path=xl/ctrlProps/ctrlProp2400.xml><?xml version="1.0" encoding="utf-8"?>
<formControlPr xmlns="http://schemas.microsoft.com/office/spreadsheetml/2009/9/main" objectType="Button" lockText="1"/>
</file>

<file path=xl/ctrlProps/ctrlProp2401.xml><?xml version="1.0" encoding="utf-8"?>
<formControlPr xmlns="http://schemas.microsoft.com/office/spreadsheetml/2009/9/main" objectType="CheckBox" checked="Checked" fmlaLink="$D$33" lockText="1" noThreeD="1"/>
</file>

<file path=xl/ctrlProps/ctrlProp2402.xml><?xml version="1.0" encoding="utf-8"?>
<formControlPr xmlns="http://schemas.microsoft.com/office/spreadsheetml/2009/9/main" objectType="CheckBox" checked="Checked" lockText="1" noThreeD="1"/>
</file>

<file path=xl/ctrlProps/ctrlProp2403.xml><?xml version="1.0" encoding="utf-8"?>
<formControlPr xmlns="http://schemas.microsoft.com/office/spreadsheetml/2009/9/main" objectType="CheckBox" checked="Checked" lockText="1" noThreeD="1"/>
</file>

<file path=xl/ctrlProps/ctrlProp2404.xml><?xml version="1.0" encoding="utf-8"?>
<formControlPr xmlns="http://schemas.microsoft.com/office/spreadsheetml/2009/9/main" objectType="CheckBox" checked="Checked" lockText="1" noThreeD="1"/>
</file>

<file path=xl/ctrlProps/ctrlProp2405.xml><?xml version="1.0" encoding="utf-8"?>
<formControlPr xmlns="http://schemas.microsoft.com/office/spreadsheetml/2009/9/main" objectType="CheckBox" checked="Checked" lockText="1" noThreeD="1"/>
</file>

<file path=xl/ctrlProps/ctrlProp2406.xml><?xml version="1.0" encoding="utf-8"?>
<formControlPr xmlns="http://schemas.microsoft.com/office/spreadsheetml/2009/9/main" objectType="CheckBox" checked="Checked" lockText="1" noThreeD="1"/>
</file>

<file path=xl/ctrlProps/ctrlProp2407.xml><?xml version="1.0" encoding="utf-8"?>
<formControlPr xmlns="http://schemas.microsoft.com/office/spreadsheetml/2009/9/main" objectType="CheckBox" checked="Checked" lockText="1" noThreeD="1"/>
</file>

<file path=xl/ctrlProps/ctrlProp2408.xml><?xml version="1.0" encoding="utf-8"?>
<formControlPr xmlns="http://schemas.microsoft.com/office/spreadsheetml/2009/9/main" objectType="CheckBox" lockText="1" noThreeD="1"/>
</file>

<file path=xl/ctrlProps/ctrlProp2409.xml><?xml version="1.0" encoding="utf-8"?>
<formControlPr xmlns="http://schemas.microsoft.com/office/spreadsheetml/2009/9/main" objectType="CheckBox" fmlaLink="$A$43" lockText="1" noThreeD="1"/>
</file>

<file path=xl/ctrlProps/ctrlProp2410.xml><?xml version="1.0" encoding="utf-8"?>
<formControlPr xmlns="http://schemas.microsoft.com/office/spreadsheetml/2009/9/main" objectType="CheckBox" fmlaLink="$A$44" lockText="1" noThreeD="1"/>
</file>

<file path=xl/ctrlProps/ctrlProp2411.xml><?xml version="1.0" encoding="utf-8"?>
<formControlPr xmlns="http://schemas.microsoft.com/office/spreadsheetml/2009/9/main" objectType="CheckBox" fmlaLink="$A$45" lockText="1" noThreeD="1"/>
</file>

<file path=xl/ctrlProps/ctrlProp2412.xml><?xml version="1.0" encoding="utf-8"?>
<formControlPr xmlns="http://schemas.microsoft.com/office/spreadsheetml/2009/9/main" objectType="CheckBox" fmlaLink="$A$46" lockText="1" noThreeD="1"/>
</file>

<file path=xl/ctrlProps/ctrlProp2413.xml><?xml version="1.0" encoding="utf-8"?>
<formControlPr xmlns="http://schemas.microsoft.com/office/spreadsheetml/2009/9/main" objectType="CheckBox" fmlaLink="$A$47" lockText="1" noThreeD="1"/>
</file>

<file path=xl/ctrlProps/ctrlProp2414.xml><?xml version="1.0" encoding="utf-8"?>
<formControlPr xmlns="http://schemas.microsoft.com/office/spreadsheetml/2009/9/main" objectType="CheckBox" fmlaLink="$A$48" lockText="1" noThreeD="1"/>
</file>

<file path=xl/ctrlProps/ctrlProp2415.xml><?xml version="1.0" encoding="utf-8"?>
<formControlPr xmlns="http://schemas.microsoft.com/office/spreadsheetml/2009/9/main" objectType="CheckBox" fmlaLink="$A$49" lockText="1" noThreeD="1"/>
</file>

<file path=xl/ctrlProps/ctrlProp2416.xml><?xml version="1.0" encoding="utf-8"?>
<formControlPr xmlns="http://schemas.microsoft.com/office/spreadsheetml/2009/9/main" objectType="Button" lockText="1"/>
</file>

<file path=xl/ctrlProps/ctrlProp2417.xml><?xml version="1.0" encoding="utf-8"?>
<formControlPr xmlns="http://schemas.microsoft.com/office/spreadsheetml/2009/9/main" objectType="Button" lockText="1"/>
</file>

<file path=xl/ctrlProps/ctrlProp2418.xml><?xml version="1.0" encoding="utf-8"?>
<formControlPr xmlns="http://schemas.microsoft.com/office/spreadsheetml/2009/9/main" objectType="CheckBox" fmlaLink="$A$40" lockText="1" noThreeD="1"/>
</file>

<file path=xl/ctrlProps/ctrlProp2419.xml><?xml version="1.0" encoding="utf-8"?>
<formControlPr xmlns="http://schemas.microsoft.com/office/spreadsheetml/2009/9/main" objectType="Button" lockText="1"/>
</file>

<file path=xl/ctrlProps/ctrlProp2420.xml><?xml version="1.0" encoding="utf-8"?>
<formControlPr xmlns="http://schemas.microsoft.com/office/spreadsheetml/2009/9/main" objectType="Button" lockText="1"/>
</file>

<file path=xl/ctrlProps/ctrlProp2421.xml><?xml version="1.0" encoding="utf-8"?>
<formControlPr xmlns="http://schemas.microsoft.com/office/spreadsheetml/2009/9/main" objectType="Button" lockText="1"/>
</file>

<file path=xl/ctrlProps/ctrlProp2422.xml><?xml version="1.0" encoding="utf-8"?>
<formControlPr xmlns="http://schemas.microsoft.com/office/spreadsheetml/2009/9/main" objectType="Button" lockText="1"/>
</file>

<file path=xl/ctrlProps/ctrlProp2423.xml><?xml version="1.0" encoding="utf-8"?>
<formControlPr xmlns="http://schemas.microsoft.com/office/spreadsheetml/2009/9/main" objectType="CheckBox" fmlaLink="$A$49" lockText="1" noThreeD="1"/>
</file>

<file path=xl/ctrlProps/ctrlProp2424.xml><?xml version="1.0" encoding="utf-8"?>
<formControlPr xmlns="http://schemas.microsoft.com/office/spreadsheetml/2009/9/main" objectType="CheckBox" checked="Checked" fmlaLink="$A$28" lockText="1" noThreeD="1"/>
</file>

<file path=xl/ctrlProps/ctrlProp2425.xml><?xml version="1.0" encoding="utf-8"?>
<formControlPr xmlns="http://schemas.microsoft.com/office/spreadsheetml/2009/9/main" objectType="CheckBox" checked="Checked" fmlaLink="$A$29" lockText="1" noThreeD="1"/>
</file>

<file path=xl/ctrlProps/ctrlProp2426.xml><?xml version="1.0" encoding="utf-8"?>
<formControlPr xmlns="http://schemas.microsoft.com/office/spreadsheetml/2009/9/main" objectType="CheckBox" checked="Checked" fmlaLink="$A$30" lockText="1" noThreeD="1"/>
</file>

<file path=xl/ctrlProps/ctrlProp2427.xml><?xml version="1.0" encoding="utf-8"?>
<formControlPr xmlns="http://schemas.microsoft.com/office/spreadsheetml/2009/9/main" objectType="CheckBox" checked="Checked" fmlaLink="$A$31" lockText="1" noThreeD="1"/>
</file>

<file path=xl/ctrlProps/ctrlProp2428.xml><?xml version="1.0" encoding="utf-8"?>
<formControlPr xmlns="http://schemas.microsoft.com/office/spreadsheetml/2009/9/main" objectType="CheckBox" fmlaLink="$E$28" lockText="1" noThreeD="1"/>
</file>

<file path=xl/ctrlProps/ctrlProp2429.xml><?xml version="1.0" encoding="utf-8"?>
<formControlPr xmlns="http://schemas.microsoft.com/office/spreadsheetml/2009/9/main" objectType="CheckBox" checked="Checked" fmlaLink="$E$29" lockText="1" noThreeD="1"/>
</file>

<file path=xl/ctrlProps/ctrlProp2430.xml><?xml version="1.0" encoding="utf-8"?>
<formControlPr xmlns="http://schemas.microsoft.com/office/spreadsheetml/2009/9/main" objectType="CheckBox" checked="Checked" fmlaLink="$E$30" lockText="1" noThreeD="1"/>
</file>

<file path=xl/ctrlProps/ctrlProp2431.xml><?xml version="1.0" encoding="utf-8"?>
<formControlPr xmlns="http://schemas.microsoft.com/office/spreadsheetml/2009/9/main" objectType="CheckBox" checked="Checked" fmlaLink="$A$33" lockText="1" noThreeD="1"/>
</file>

<file path=xl/ctrlProps/ctrlProp2432.xml><?xml version="1.0" encoding="utf-8"?>
<formControlPr xmlns="http://schemas.microsoft.com/office/spreadsheetml/2009/9/main" objectType="CheckBox" checked="Checked" fmlaLink="$A$34" lockText="1" noThreeD="1"/>
</file>

<file path=xl/ctrlProps/ctrlProp2433.xml><?xml version="1.0" encoding="utf-8"?>
<formControlPr xmlns="http://schemas.microsoft.com/office/spreadsheetml/2009/9/main" objectType="CheckBox" checked="Checked" fmlaLink="$A$35" lockText="1" noThreeD="1"/>
</file>

<file path=xl/ctrlProps/ctrlProp2434.xml><?xml version="1.0" encoding="utf-8"?>
<formControlPr xmlns="http://schemas.microsoft.com/office/spreadsheetml/2009/9/main" objectType="CheckBox" checked="Checked" fmlaLink="$A$36" lockText="1" noThreeD="1"/>
</file>

<file path=xl/ctrlProps/ctrlProp2435.xml><?xml version="1.0" encoding="utf-8"?>
<formControlPr xmlns="http://schemas.microsoft.com/office/spreadsheetml/2009/9/main" objectType="CheckBox" fmlaLink="$A$37" lockText="1" noThreeD="1"/>
</file>

<file path=xl/ctrlProps/ctrlProp2436.xml><?xml version="1.0" encoding="utf-8"?>
<formControlPr xmlns="http://schemas.microsoft.com/office/spreadsheetml/2009/9/main" objectType="Button" lockText="1"/>
</file>

<file path=xl/ctrlProps/ctrlProp2437.xml><?xml version="1.0" encoding="utf-8"?>
<formControlPr xmlns="http://schemas.microsoft.com/office/spreadsheetml/2009/9/main" objectType="Button" lockText="1"/>
</file>

<file path=xl/ctrlProps/ctrlProp2438.xml><?xml version="1.0" encoding="utf-8"?>
<formControlPr xmlns="http://schemas.microsoft.com/office/spreadsheetml/2009/9/main" objectType="CheckBox" checked="Checked" fmlaLink="$D$33" lockText="1" noThreeD="1"/>
</file>

<file path=xl/ctrlProps/ctrlProp2439.xml><?xml version="1.0" encoding="utf-8"?>
<formControlPr xmlns="http://schemas.microsoft.com/office/spreadsheetml/2009/9/main" objectType="CheckBox" checked="Checked" lockText="1" noThreeD="1"/>
</file>

<file path=xl/ctrlProps/ctrlProp2440.xml><?xml version="1.0" encoding="utf-8"?>
<formControlPr xmlns="http://schemas.microsoft.com/office/spreadsheetml/2009/9/main" objectType="CheckBox" checked="Checked" lockText="1" noThreeD="1"/>
</file>

<file path=xl/ctrlProps/ctrlProp2441.xml><?xml version="1.0" encoding="utf-8"?>
<formControlPr xmlns="http://schemas.microsoft.com/office/spreadsheetml/2009/9/main" objectType="CheckBox" checked="Checked" lockText="1" noThreeD="1"/>
</file>

<file path=xl/ctrlProps/ctrlProp2442.xml><?xml version="1.0" encoding="utf-8"?>
<formControlPr xmlns="http://schemas.microsoft.com/office/spreadsheetml/2009/9/main" objectType="CheckBox" checked="Checked" lockText="1" noThreeD="1"/>
</file>

<file path=xl/ctrlProps/ctrlProp2443.xml><?xml version="1.0" encoding="utf-8"?>
<formControlPr xmlns="http://schemas.microsoft.com/office/spreadsheetml/2009/9/main" objectType="CheckBox" checked="Checked" lockText="1" noThreeD="1"/>
</file>

<file path=xl/ctrlProps/ctrlProp2444.xml><?xml version="1.0" encoding="utf-8"?>
<formControlPr xmlns="http://schemas.microsoft.com/office/spreadsheetml/2009/9/main" objectType="CheckBox" lockText="1" noThreeD="1"/>
</file>

<file path=xl/ctrlProps/ctrlProp2445.xml><?xml version="1.0" encoding="utf-8"?>
<formControlPr xmlns="http://schemas.microsoft.com/office/spreadsheetml/2009/9/main" objectType="CheckBox" lockText="1" noThreeD="1"/>
</file>

<file path=xl/ctrlProps/ctrlProp2446.xml><?xml version="1.0" encoding="utf-8"?>
<formControlPr xmlns="http://schemas.microsoft.com/office/spreadsheetml/2009/9/main" objectType="CheckBox" fmlaLink="$A$43" lockText="1" noThreeD="1"/>
</file>

<file path=xl/ctrlProps/ctrlProp2447.xml><?xml version="1.0" encoding="utf-8"?>
<formControlPr xmlns="http://schemas.microsoft.com/office/spreadsheetml/2009/9/main" objectType="CheckBox" fmlaLink="$A$44" lockText="1" noThreeD="1"/>
</file>

<file path=xl/ctrlProps/ctrlProp2448.xml><?xml version="1.0" encoding="utf-8"?>
<formControlPr xmlns="http://schemas.microsoft.com/office/spreadsheetml/2009/9/main" objectType="CheckBox" fmlaLink="$A$45" lockText="1" noThreeD="1"/>
</file>

<file path=xl/ctrlProps/ctrlProp2449.xml><?xml version="1.0" encoding="utf-8"?>
<formControlPr xmlns="http://schemas.microsoft.com/office/spreadsheetml/2009/9/main" objectType="CheckBox" fmlaLink="$A$46" lockText="1" noThreeD="1"/>
</file>

<file path=xl/ctrlProps/ctrlProp2450.xml><?xml version="1.0" encoding="utf-8"?>
<formControlPr xmlns="http://schemas.microsoft.com/office/spreadsheetml/2009/9/main" objectType="CheckBox" fmlaLink="$A$47" lockText="1" noThreeD="1"/>
</file>

<file path=xl/ctrlProps/ctrlProp2451.xml><?xml version="1.0" encoding="utf-8"?>
<formControlPr xmlns="http://schemas.microsoft.com/office/spreadsheetml/2009/9/main" objectType="CheckBox" fmlaLink="$A$48" lockText="1" noThreeD="1"/>
</file>

<file path=xl/ctrlProps/ctrlProp2452.xml><?xml version="1.0" encoding="utf-8"?>
<formControlPr xmlns="http://schemas.microsoft.com/office/spreadsheetml/2009/9/main" objectType="CheckBox" fmlaLink="$A$49" lockText="1" noThreeD="1"/>
</file>

<file path=xl/ctrlProps/ctrlProp2453.xml><?xml version="1.0" encoding="utf-8"?>
<formControlPr xmlns="http://schemas.microsoft.com/office/spreadsheetml/2009/9/main" objectType="Button" lockText="1"/>
</file>

<file path=xl/ctrlProps/ctrlProp2454.xml><?xml version="1.0" encoding="utf-8"?>
<formControlPr xmlns="http://schemas.microsoft.com/office/spreadsheetml/2009/9/main" objectType="Button" lockText="1"/>
</file>

<file path=xl/ctrlProps/ctrlProp2455.xml><?xml version="1.0" encoding="utf-8"?>
<formControlPr xmlns="http://schemas.microsoft.com/office/spreadsheetml/2009/9/main" objectType="CheckBox" fmlaLink="$A$40" lockText="1" noThreeD="1"/>
</file>

<file path=xl/ctrlProps/ctrlProp2456.xml><?xml version="1.0" encoding="utf-8"?>
<formControlPr xmlns="http://schemas.microsoft.com/office/spreadsheetml/2009/9/main" objectType="Button" lockText="1"/>
</file>

<file path=xl/ctrlProps/ctrlProp2457.xml><?xml version="1.0" encoding="utf-8"?>
<formControlPr xmlns="http://schemas.microsoft.com/office/spreadsheetml/2009/9/main" objectType="Button" lockText="1"/>
</file>

<file path=xl/ctrlProps/ctrlProp2458.xml><?xml version="1.0" encoding="utf-8"?>
<formControlPr xmlns="http://schemas.microsoft.com/office/spreadsheetml/2009/9/main" objectType="Button" lockText="1"/>
</file>

<file path=xl/ctrlProps/ctrlProp2459.xml><?xml version="1.0" encoding="utf-8"?>
<formControlPr xmlns="http://schemas.microsoft.com/office/spreadsheetml/2009/9/main" objectType="Button" lockText="1"/>
</file>

<file path=xl/ctrlProps/ctrlProp2460.xml><?xml version="1.0" encoding="utf-8"?>
<formControlPr xmlns="http://schemas.microsoft.com/office/spreadsheetml/2009/9/main" objectType="CheckBox" fmlaLink="$A$49" lockText="1" noThreeD="1"/>
</file>

<file path=xl/ctrlProps/ctrlProp2461.xml><?xml version="1.0" encoding="utf-8"?>
<formControlPr xmlns="http://schemas.microsoft.com/office/spreadsheetml/2009/9/main" objectType="CheckBox" checked="Checked" fmlaLink="$A$28" lockText="1" noThreeD="1"/>
</file>

<file path=xl/ctrlProps/ctrlProp2462.xml><?xml version="1.0" encoding="utf-8"?>
<formControlPr xmlns="http://schemas.microsoft.com/office/spreadsheetml/2009/9/main" objectType="CheckBox" checked="Checked" fmlaLink="$A$29" lockText="1" noThreeD="1"/>
</file>

<file path=xl/ctrlProps/ctrlProp2463.xml><?xml version="1.0" encoding="utf-8"?>
<formControlPr xmlns="http://schemas.microsoft.com/office/spreadsheetml/2009/9/main" objectType="CheckBox" checked="Checked" fmlaLink="$A$30" lockText="1" noThreeD="1"/>
</file>

<file path=xl/ctrlProps/ctrlProp2464.xml><?xml version="1.0" encoding="utf-8"?>
<formControlPr xmlns="http://schemas.microsoft.com/office/spreadsheetml/2009/9/main" objectType="CheckBox" checked="Checked" fmlaLink="$A$31" lockText="1" noThreeD="1"/>
</file>

<file path=xl/ctrlProps/ctrlProp2465.xml><?xml version="1.0" encoding="utf-8"?>
<formControlPr xmlns="http://schemas.microsoft.com/office/spreadsheetml/2009/9/main" objectType="CheckBox" checked="Checked" fmlaLink="$E$28" lockText="1" noThreeD="1"/>
</file>

<file path=xl/ctrlProps/ctrlProp2466.xml><?xml version="1.0" encoding="utf-8"?>
<formControlPr xmlns="http://schemas.microsoft.com/office/spreadsheetml/2009/9/main" objectType="CheckBox" checked="Checked" fmlaLink="$E$29" lockText="1" noThreeD="1"/>
</file>

<file path=xl/ctrlProps/ctrlProp2467.xml><?xml version="1.0" encoding="utf-8"?>
<formControlPr xmlns="http://schemas.microsoft.com/office/spreadsheetml/2009/9/main" objectType="CheckBox" checked="Checked" fmlaLink="$E$30" lockText="1" noThreeD="1"/>
</file>

<file path=xl/ctrlProps/ctrlProp2468.xml><?xml version="1.0" encoding="utf-8"?>
<formControlPr xmlns="http://schemas.microsoft.com/office/spreadsheetml/2009/9/main" objectType="CheckBox" fmlaLink="$A$33" lockText="1" noThreeD="1"/>
</file>

<file path=xl/ctrlProps/ctrlProp2469.xml><?xml version="1.0" encoding="utf-8"?>
<formControlPr xmlns="http://schemas.microsoft.com/office/spreadsheetml/2009/9/main" objectType="CheckBox" fmlaLink="$A$34" lockText="1" noThreeD="1"/>
</file>

<file path=xl/ctrlProps/ctrlProp2470.xml><?xml version="1.0" encoding="utf-8"?>
<formControlPr xmlns="http://schemas.microsoft.com/office/spreadsheetml/2009/9/main" objectType="CheckBox" fmlaLink="$A$35" lockText="1" noThreeD="1"/>
</file>

<file path=xl/ctrlProps/ctrlProp2471.xml><?xml version="1.0" encoding="utf-8"?>
<formControlPr xmlns="http://schemas.microsoft.com/office/spreadsheetml/2009/9/main" objectType="CheckBox" fmlaLink="$A$36" lockText="1" noThreeD="1"/>
</file>

<file path=xl/ctrlProps/ctrlProp2472.xml><?xml version="1.0" encoding="utf-8"?>
<formControlPr xmlns="http://schemas.microsoft.com/office/spreadsheetml/2009/9/main" objectType="CheckBox" fmlaLink="$A$37" lockText="1" noThreeD="1"/>
</file>

<file path=xl/ctrlProps/ctrlProp2473.xml><?xml version="1.0" encoding="utf-8"?>
<formControlPr xmlns="http://schemas.microsoft.com/office/spreadsheetml/2009/9/main" objectType="Button" lockText="1"/>
</file>

<file path=xl/ctrlProps/ctrlProp2474.xml><?xml version="1.0" encoding="utf-8"?>
<formControlPr xmlns="http://schemas.microsoft.com/office/spreadsheetml/2009/9/main" objectType="Button" lockText="1"/>
</file>

<file path=xl/ctrlProps/ctrlProp2475.xml><?xml version="1.0" encoding="utf-8"?>
<formControlPr xmlns="http://schemas.microsoft.com/office/spreadsheetml/2009/9/main" objectType="CheckBox" fmlaLink="$D$33" lockText="1" noThreeD="1"/>
</file>

<file path=xl/ctrlProps/ctrlProp2476.xml><?xml version="1.0" encoding="utf-8"?>
<formControlPr xmlns="http://schemas.microsoft.com/office/spreadsheetml/2009/9/main" objectType="CheckBox" lockText="1" noThreeD="1"/>
</file>

<file path=xl/ctrlProps/ctrlProp2477.xml><?xml version="1.0" encoding="utf-8"?>
<formControlPr xmlns="http://schemas.microsoft.com/office/spreadsheetml/2009/9/main" objectType="CheckBox" lockText="1" noThreeD="1"/>
</file>

<file path=xl/ctrlProps/ctrlProp2478.xml><?xml version="1.0" encoding="utf-8"?>
<formControlPr xmlns="http://schemas.microsoft.com/office/spreadsheetml/2009/9/main" objectType="CheckBox" lockText="1" noThreeD="1"/>
</file>

<file path=xl/ctrlProps/ctrlProp2479.xml><?xml version="1.0" encoding="utf-8"?>
<formControlPr xmlns="http://schemas.microsoft.com/office/spreadsheetml/2009/9/main" objectType="CheckBox" lockText="1" noThreeD="1"/>
</file>

<file path=xl/ctrlProps/ctrlProp2480.xml><?xml version="1.0" encoding="utf-8"?>
<formControlPr xmlns="http://schemas.microsoft.com/office/spreadsheetml/2009/9/main" objectType="CheckBox" lockText="1" noThreeD="1"/>
</file>

<file path=xl/ctrlProps/ctrlProp2481.xml><?xml version="1.0" encoding="utf-8"?>
<formControlPr xmlns="http://schemas.microsoft.com/office/spreadsheetml/2009/9/main" objectType="CheckBox" lockText="1" noThreeD="1"/>
</file>

<file path=xl/ctrlProps/ctrlProp2482.xml><?xml version="1.0" encoding="utf-8"?>
<formControlPr xmlns="http://schemas.microsoft.com/office/spreadsheetml/2009/9/main" objectType="CheckBox" lockText="1" noThreeD="1"/>
</file>

<file path=xl/ctrlProps/ctrlProp2483.xml><?xml version="1.0" encoding="utf-8"?>
<formControlPr xmlns="http://schemas.microsoft.com/office/spreadsheetml/2009/9/main" objectType="CheckBox" fmlaLink="$A$43" lockText="1" noThreeD="1"/>
</file>

<file path=xl/ctrlProps/ctrlProp2484.xml><?xml version="1.0" encoding="utf-8"?>
<formControlPr xmlns="http://schemas.microsoft.com/office/spreadsheetml/2009/9/main" objectType="CheckBox" fmlaLink="$A$44" lockText="1" noThreeD="1"/>
</file>

<file path=xl/ctrlProps/ctrlProp2485.xml><?xml version="1.0" encoding="utf-8"?>
<formControlPr xmlns="http://schemas.microsoft.com/office/spreadsheetml/2009/9/main" objectType="CheckBox" fmlaLink="$A$45" lockText="1" noThreeD="1"/>
</file>

<file path=xl/ctrlProps/ctrlProp2486.xml><?xml version="1.0" encoding="utf-8"?>
<formControlPr xmlns="http://schemas.microsoft.com/office/spreadsheetml/2009/9/main" objectType="CheckBox" fmlaLink="$A$46" lockText="1" noThreeD="1"/>
</file>

<file path=xl/ctrlProps/ctrlProp2487.xml><?xml version="1.0" encoding="utf-8"?>
<formControlPr xmlns="http://schemas.microsoft.com/office/spreadsheetml/2009/9/main" objectType="CheckBox" fmlaLink="$A$47" lockText="1" noThreeD="1"/>
</file>

<file path=xl/ctrlProps/ctrlProp2488.xml><?xml version="1.0" encoding="utf-8"?>
<formControlPr xmlns="http://schemas.microsoft.com/office/spreadsheetml/2009/9/main" objectType="CheckBox" fmlaLink="$A$48" lockText="1" noThreeD="1"/>
</file>

<file path=xl/ctrlProps/ctrlProp2489.xml><?xml version="1.0" encoding="utf-8"?>
<formControlPr xmlns="http://schemas.microsoft.com/office/spreadsheetml/2009/9/main" objectType="CheckBox" fmlaLink="$A$49" lockText="1" noThreeD="1"/>
</file>

<file path=xl/ctrlProps/ctrlProp2490.xml><?xml version="1.0" encoding="utf-8"?>
<formControlPr xmlns="http://schemas.microsoft.com/office/spreadsheetml/2009/9/main" objectType="Button" lockText="1"/>
</file>

<file path=xl/ctrlProps/ctrlProp2491.xml><?xml version="1.0" encoding="utf-8"?>
<formControlPr xmlns="http://schemas.microsoft.com/office/spreadsheetml/2009/9/main" objectType="Button" lockText="1"/>
</file>

<file path=xl/ctrlProps/ctrlProp2492.xml><?xml version="1.0" encoding="utf-8"?>
<formControlPr xmlns="http://schemas.microsoft.com/office/spreadsheetml/2009/9/main" objectType="CheckBox" fmlaLink="$A$40" lockText="1" noThreeD="1"/>
</file>

<file path=xl/ctrlProps/ctrlProp2493.xml><?xml version="1.0" encoding="utf-8"?>
<formControlPr xmlns="http://schemas.microsoft.com/office/spreadsheetml/2009/9/main" objectType="Button" lockText="1"/>
</file>

<file path=xl/ctrlProps/ctrlProp2494.xml><?xml version="1.0" encoding="utf-8"?>
<formControlPr xmlns="http://schemas.microsoft.com/office/spreadsheetml/2009/9/main" objectType="Button" lockText="1"/>
</file>

<file path=xl/ctrlProps/ctrlProp2495.xml><?xml version="1.0" encoding="utf-8"?>
<formControlPr xmlns="http://schemas.microsoft.com/office/spreadsheetml/2009/9/main" objectType="Button" lockText="1"/>
</file>

<file path=xl/ctrlProps/ctrlProp2496.xml><?xml version="1.0" encoding="utf-8"?>
<formControlPr xmlns="http://schemas.microsoft.com/office/spreadsheetml/2009/9/main" objectType="Button" lockText="1"/>
</file>

<file path=xl/ctrlProps/ctrlProp2497.xml><?xml version="1.0" encoding="utf-8"?>
<formControlPr xmlns="http://schemas.microsoft.com/office/spreadsheetml/2009/9/main" objectType="CheckBox" fmlaLink="$A$49" lockText="1" noThreeD="1"/>
</file>

<file path=xl/ctrlProps/ctrlProp2498.xml><?xml version="1.0" encoding="utf-8"?>
<formControlPr xmlns="http://schemas.microsoft.com/office/spreadsheetml/2009/9/main" objectType="CheckBox" checked="Checked" fmlaLink="$A$28" lockText="1" noThreeD="1"/>
</file>

<file path=xl/ctrlProps/ctrlProp2499.xml><?xml version="1.0" encoding="utf-8"?>
<formControlPr xmlns="http://schemas.microsoft.com/office/spreadsheetml/2009/9/main" objectType="CheckBox" checked="Checked" fmlaLink="$A$29" lockText="1" noThreeD="1"/>
</file>

<file path=xl/ctrlProps/ctrlProp2500.xml><?xml version="1.0" encoding="utf-8"?>
<formControlPr xmlns="http://schemas.microsoft.com/office/spreadsheetml/2009/9/main" objectType="CheckBox" checked="Checked" fmlaLink="$A$30" lockText="1" noThreeD="1"/>
</file>

<file path=xl/ctrlProps/ctrlProp2501.xml><?xml version="1.0" encoding="utf-8"?>
<formControlPr xmlns="http://schemas.microsoft.com/office/spreadsheetml/2009/9/main" objectType="CheckBox" checked="Checked" fmlaLink="$A$31" lockText="1" noThreeD="1"/>
</file>

<file path=xl/ctrlProps/ctrlProp2502.xml><?xml version="1.0" encoding="utf-8"?>
<formControlPr xmlns="http://schemas.microsoft.com/office/spreadsheetml/2009/9/main" objectType="CheckBox" fmlaLink="$E$28" lockText="1" noThreeD="1"/>
</file>

<file path=xl/ctrlProps/ctrlProp2503.xml><?xml version="1.0" encoding="utf-8"?>
<formControlPr xmlns="http://schemas.microsoft.com/office/spreadsheetml/2009/9/main" objectType="CheckBox" fmlaLink="$E$29" lockText="1" noThreeD="1"/>
</file>

<file path=xl/ctrlProps/ctrlProp2504.xml><?xml version="1.0" encoding="utf-8"?>
<formControlPr xmlns="http://schemas.microsoft.com/office/spreadsheetml/2009/9/main" objectType="CheckBox" checked="Checked" fmlaLink="$E$30" lockText="1" noThreeD="1"/>
</file>

<file path=xl/ctrlProps/ctrlProp2505.xml><?xml version="1.0" encoding="utf-8"?>
<formControlPr xmlns="http://schemas.microsoft.com/office/spreadsheetml/2009/9/main" objectType="CheckBox" checked="Checked" fmlaLink="$A$33" lockText="1" noThreeD="1"/>
</file>

<file path=xl/ctrlProps/ctrlProp2506.xml><?xml version="1.0" encoding="utf-8"?>
<formControlPr xmlns="http://schemas.microsoft.com/office/spreadsheetml/2009/9/main" objectType="CheckBox" checked="Checked" fmlaLink="$A$34" lockText="1" noThreeD="1"/>
</file>

<file path=xl/ctrlProps/ctrlProp2507.xml><?xml version="1.0" encoding="utf-8"?>
<formControlPr xmlns="http://schemas.microsoft.com/office/spreadsheetml/2009/9/main" objectType="CheckBox" checked="Checked" fmlaLink="$A$35" lockText="1" noThreeD="1"/>
</file>

<file path=xl/ctrlProps/ctrlProp2508.xml><?xml version="1.0" encoding="utf-8"?>
<formControlPr xmlns="http://schemas.microsoft.com/office/spreadsheetml/2009/9/main" objectType="CheckBox" checked="Checked" fmlaLink="$A$36" lockText="1" noThreeD="1"/>
</file>

<file path=xl/ctrlProps/ctrlProp2509.xml><?xml version="1.0" encoding="utf-8"?>
<formControlPr xmlns="http://schemas.microsoft.com/office/spreadsheetml/2009/9/main" objectType="CheckBox" fmlaLink="$A$37" lockText="1" noThreeD="1"/>
</file>

<file path=xl/ctrlProps/ctrlProp2510.xml><?xml version="1.0" encoding="utf-8"?>
<formControlPr xmlns="http://schemas.microsoft.com/office/spreadsheetml/2009/9/main" objectType="Button" lockText="1"/>
</file>

<file path=xl/ctrlProps/ctrlProp2511.xml><?xml version="1.0" encoding="utf-8"?>
<formControlPr xmlns="http://schemas.microsoft.com/office/spreadsheetml/2009/9/main" objectType="Button" lockText="1"/>
</file>

<file path=xl/ctrlProps/ctrlProp2512.xml><?xml version="1.0" encoding="utf-8"?>
<formControlPr xmlns="http://schemas.microsoft.com/office/spreadsheetml/2009/9/main" objectType="CheckBox" checked="Checked" fmlaLink="$D$33" lockText="1" noThreeD="1"/>
</file>

<file path=xl/ctrlProps/ctrlProp2513.xml><?xml version="1.0" encoding="utf-8"?>
<formControlPr xmlns="http://schemas.microsoft.com/office/spreadsheetml/2009/9/main" objectType="CheckBox" checked="Checked" lockText="1" noThreeD="1"/>
</file>

<file path=xl/ctrlProps/ctrlProp2514.xml><?xml version="1.0" encoding="utf-8"?>
<formControlPr xmlns="http://schemas.microsoft.com/office/spreadsheetml/2009/9/main" objectType="CheckBox" checked="Checked" lockText="1" noThreeD="1"/>
</file>

<file path=xl/ctrlProps/ctrlProp2515.xml><?xml version="1.0" encoding="utf-8"?>
<formControlPr xmlns="http://schemas.microsoft.com/office/spreadsheetml/2009/9/main" objectType="CheckBox" checked="Checked" lockText="1" noThreeD="1"/>
</file>

<file path=xl/ctrlProps/ctrlProp2516.xml><?xml version="1.0" encoding="utf-8"?>
<formControlPr xmlns="http://schemas.microsoft.com/office/spreadsheetml/2009/9/main" objectType="CheckBox" checked="Checked" lockText="1" noThreeD="1"/>
</file>

<file path=xl/ctrlProps/ctrlProp2517.xml><?xml version="1.0" encoding="utf-8"?>
<formControlPr xmlns="http://schemas.microsoft.com/office/spreadsheetml/2009/9/main" objectType="CheckBox" lockText="1" noThreeD="1"/>
</file>

<file path=xl/ctrlProps/ctrlProp2518.xml><?xml version="1.0" encoding="utf-8"?>
<formControlPr xmlns="http://schemas.microsoft.com/office/spreadsheetml/2009/9/main" objectType="CheckBox" lockText="1" noThreeD="1"/>
</file>

<file path=xl/ctrlProps/ctrlProp2519.xml><?xml version="1.0" encoding="utf-8"?>
<formControlPr xmlns="http://schemas.microsoft.com/office/spreadsheetml/2009/9/main" objectType="CheckBox" lockText="1" noThreeD="1"/>
</file>

<file path=xl/ctrlProps/ctrlProp2520.xml><?xml version="1.0" encoding="utf-8"?>
<formControlPr xmlns="http://schemas.microsoft.com/office/spreadsheetml/2009/9/main" objectType="CheckBox" fmlaLink="$A$43" lockText="1" noThreeD="1"/>
</file>

<file path=xl/ctrlProps/ctrlProp2521.xml><?xml version="1.0" encoding="utf-8"?>
<formControlPr xmlns="http://schemas.microsoft.com/office/spreadsheetml/2009/9/main" objectType="CheckBox" fmlaLink="$A$44" lockText="1" noThreeD="1"/>
</file>

<file path=xl/ctrlProps/ctrlProp2522.xml><?xml version="1.0" encoding="utf-8"?>
<formControlPr xmlns="http://schemas.microsoft.com/office/spreadsheetml/2009/9/main" objectType="CheckBox" fmlaLink="$A$45" lockText="1" noThreeD="1"/>
</file>

<file path=xl/ctrlProps/ctrlProp2523.xml><?xml version="1.0" encoding="utf-8"?>
<formControlPr xmlns="http://schemas.microsoft.com/office/spreadsheetml/2009/9/main" objectType="CheckBox" fmlaLink="$A$46" lockText="1" noThreeD="1"/>
</file>

<file path=xl/ctrlProps/ctrlProp2524.xml><?xml version="1.0" encoding="utf-8"?>
<formControlPr xmlns="http://schemas.microsoft.com/office/spreadsheetml/2009/9/main" objectType="CheckBox" fmlaLink="$A$47" lockText="1" noThreeD="1"/>
</file>

<file path=xl/ctrlProps/ctrlProp2525.xml><?xml version="1.0" encoding="utf-8"?>
<formControlPr xmlns="http://schemas.microsoft.com/office/spreadsheetml/2009/9/main" objectType="CheckBox" fmlaLink="$A$48" lockText="1" noThreeD="1"/>
</file>

<file path=xl/ctrlProps/ctrlProp2526.xml><?xml version="1.0" encoding="utf-8"?>
<formControlPr xmlns="http://schemas.microsoft.com/office/spreadsheetml/2009/9/main" objectType="CheckBox" fmlaLink="$A$49" lockText="1" noThreeD="1"/>
</file>

<file path=xl/ctrlProps/ctrlProp2527.xml><?xml version="1.0" encoding="utf-8"?>
<formControlPr xmlns="http://schemas.microsoft.com/office/spreadsheetml/2009/9/main" objectType="Button" lockText="1"/>
</file>

<file path=xl/ctrlProps/ctrlProp2528.xml><?xml version="1.0" encoding="utf-8"?>
<formControlPr xmlns="http://schemas.microsoft.com/office/spreadsheetml/2009/9/main" objectType="Button" lockText="1"/>
</file>

<file path=xl/ctrlProps/ctrlProp2529.xml><?xml version="1.0" encoding="utf-8"?>
<formControlPr xmlns="http://schemas.microsoft.com/office/spreadsheetml/2009/9/main" objectType="CheckBox" fmlaLink="$A$40" lockText="1" noThreeD="1"/>
</file>

<file path=xl/ctrlProps/ctrlProp2530.xml><?xml version="1.0" encoding="utf-8"?>
<formControlPr xmlns="http://schemas.microsoft.com/office/spreadsheetml/2009/9/main" objectType="Button" lockText="1"/>
</file>

<file path=xl/ctrlProps/ctrlProp2531.xml><?xml version="1.0" encoding="utf-8"?>
<formControlPr xmlns="http://schemas.microsoft.com/office/spreadsheetml/2009/9/main" objectType="Button" lockText="1"/>
</file>

<file path=xl/ctrlProps/ctrlProp2532.xml><?xml version="1.0" encoding="utf-8"?>
<formControlPr xmlns="http://schemas.microsoft.com/office/spreadsheetml/2009/9/main" objectType="Button" lockText="1"/>
</file>

<file path=xl/ctrlProps/ctrlProp2533.xml><?xml version="1.0" encoding="utf-8"?>
<formControlPr xmlns="http://schemas.microsoft.com/office/spreadsheetml/2009/9/main" objectType="Button" lockText="1"/>
</file>

<file path=xl/ctrlProps/ctrlProp2534.xml><?xml version="1.0" encoding="utf-8"?>
<formControlPr xmlns="http://schemas.microsoft.com/office/spreadsheetml/2009/9/main" objectType="CheckBox" fmlaLink="$A$49" lockText="1" noThreeD="1"/>
</file>

<file path=xl/ctrlProps/ctrlProp2535.xml><?xml version="1.0" encoding="utf-8"?>
<formControlPr xmlns="http://schemas.microsoft.com/office/spreadsheetml/2009/9/main" objectType="CheckBox" fmlaLink="$A$28" lockText="1" noThreeD="1"/>
</file>

<file path=xl/ctrlProps/ctrlProp2536.xml><?xml version="1.0" encoding="utf-8"?>
<formControlPr xmlns="http://schemas.microsoft.com/office/spreadsheetml/2009/9/main" objectType="CheckBox" fmlaLink="$A$29" lockText="1" noThreeD="1"/>
</file>

<file path=xl/ctrlProps/ctrlProp2537.xml><?xml version="1.0" encoding="utf-8"?>
<formControlPr xmlns="http://schemas.microsoft.com/office/spreadsheetml/2009/9/main" objectType="CheckBox" fmlaLink="$A$30" lockText="1" noThreeD="1"/>
</file>

<file path=xl/ctrlProps/ctrlProp2538.xml><?xml version="1.0" encoding="utf-8"?>
<formControlPr xmlns="http://schemas.microsoft.com/office/spreadsheetml/2009/9/main" objectType="CheckBox" fmlaLink="$A$31" lockText="1" noThreeD="1"/>
</file>

<file path=xl/ctrlProps/ctrlProp2539.xml><?xml version="1.0" encoding="utf-8"?>
<formControlPr xmlns="http://schemas.microsoft.com/office/spreadsheetml/2009/9/main" objectType="CheckBox" fmlaLink="$E$28" lockText="1" noThreeD="1"/>
</file>

<file path=xl/ctrlProps/ctrlProp2540.xml><?xml version="1.0" encoding="utf-8"?>
<formControlPr xmlns="http://schemas.microsoft.com/office/spreadsheetml/2009/9/main" objectType="CheckBox" fmlaLink="$E$29" lockText="1" noThreeD="1"/>
</file>

<file path=xl/ctrlProps/ctrlProp2541.xml><?xml version="1.0" encoding="utf-8"?>
<formControlPr xmlns="http://schemas.microsoft.com/office/spreadsheetml/2009/9/main" objectType="CheckBox" fmlaLink="$E$30" lockText="1" noThreeD="1"/>
</file>

<file path=xl/ctrlProps/ctrlProp2542.xml><?xml version="1.0" encoding="utf-8"?>
<formControlPr xmlns="http://schemas.microsoft.com/office/spreadsheetml/2009/9/main" objectType="CheckBox" fmlaLink="$A$33" lockText="1" noThreeD="1"/>
</file>

<file path=xl/ctrlProps/ctrlProp2543.xml><?xml version="1.0" encoding="utf-8"?>
<formControlPr xmlns="http://schemas.microsoft.com/office/spreadsheetml/2009/9/main" objectType="CheckBox" fmlaLink="$A$34" lockText="1" noThreeD="1"/>
</file>

<file path=xl/ctrlProps/ctrlProp2544.xml><?xml version="1.0" encoding="utf-8"?>
<formControlPr xmlns="http://schemas.microsoft.com/office/spreadsheetml/2009/9/main" objectType="CheckBox" fmlaLink="$A$35" lockText="1" noThreeD="1"/>
</file>

<file path=xl/ctrlProps/ctrlProp2545.xml><?xml version="1.0" encoding="utf-8"?>
<formControlPr xmlns="http://schemas.microsoft.com/office/spreadsheetml/2009/9/main" objectType="CheckBox" fmlaLink="$A$36" lockText="1" noThreeD="1"/>
</file>

<file path=xl/ctrlProps/ctrlProp2546.xml><?xml version="1.0" encoding="utf-8"?>
<formControlPr xmlns="http://schemas.microsoft.com/office/spreadsheetml/2009/9/main" objectType="CheckBox" fmlaLink="$A$37" lockText="1" noThreeD="1"/>
</file>

<file path=xl/ctrlProps/ctrlProp2547.xml><?xml version="1.0" encoding="utf-8"?>
<formControlPr xmlns="http://schemas.microsoft.com/office/spreadsheetml/2009/9/main" objectType="Button" lockText="1"/>
</file>

<file path=xl/ctrlProps/ctrlProp2548.xml><?xml version="1.0" encoding="utf-8"?>
<formControlPr xmlns="http://schemas.microsoft.com/office/spreadsheetml/2009/9/main" objectType="Button" lockText="1"/>
</file>

<file path=xl/ctrlProps/ctrlProp2549.xml><?xml version="1.0" encoding="utf-8"?>
<formControlPr xmlns="http://schemas.microsoft.com/office/spreadsheetml/2009/9/main" objectType="CheckBox" fmlaLink="$D$33" lockText="1" noThreeD="1"/>
</file>

<file path=xl/ctrlProps/ctrlProp2550.xml><?xml version="1.0" encoding="utf-8"?>
<formControlPr xmlns="http://schemas.microsoft.com/office/spreadsheetml/2009/9/main" objectType="CheckBox" lockText="1" noThreeD="1"/>
</file>

<file path=xl/ctrlProps/ctrlProp2551.xml><?xml version="1.0" encoding="utf-8"?>
<formControlPr xmlns="http://schemas.microsoft.com/office/spreadsheetml/2009/9/main" objectType="CheckBox" lockText="1" noThreeD="1"/>
</file>

<file path=xl/ctrlProps/ctrlProp2552.xml><?xml version="1.0" encoding="utf-8"?>
<formControlPr xmlns="http://schemas.microsoft.com/office/spreadsheetml/2009/9/main" objectType="CheckBox" lockText="1" noThreeD="1"/>
</file>

<file path=xl/ctrlProps/ctrlProp2553.xml><?xml version="1.0" encoding="utf-8"?>
<formControlPr xmlns="http://schemas.microsoft.com/office/spreadsheetml/2009/9/main" objectType="CheckBox" lockText="1" noThreeD="1"/>
</file>

<file path=xl/ctrlProps/ctrlProp2554.xml><?xml version="1.0" encoding="utf-8"?>
<formControlPr xmlns="http://schemas.microsoft.com/office/spreadsheetml/2009/9/main" objectType="CheckBox" lockText="1" noThreeD="1"/>
</file>

<file path=xl/ctrlProps/ctrlProp2555.xml><?xml version="1.0" encoding="utf-8"?>
<formControlPr xmlns="http://schemas.microsoft.com/office/spreadsheetml/2009/9/main" objectType="CheckBox" lockText="1" noThreeD="1"/>
</file>

<file path=xl/ctrlProps/ctrlProp2556.xml><?xml version="1.0" encoding="utf-8"?>
<formControlPr xmlns="http://schemas.microsoft.com/office/spreadsheetml/2009/9/main" objectType="CheckBox" lockText="1" noThreeD="1"/>
</file>

<file path=xl/ctrlProps/ctrlProp2557.xml><?xml version="1.0" encoding="utf-8"?>
<formControlPr xmlns="http://schemas.microsoft.com/office/spreadsheetml/2009/9/main" objectType="CheckBox" fmlaLink="$A$43" lockText="1" noThreeD="1"/>
</file>

<file path=xl/ctrlProps/ctrlProp2558.xml><?xml version="1.0" encoding="utf-8"?>
<formControlPr xmlns="http://schemas.microsoft.com/office/spreadsheetml/2009/9/main" objectType="CheckBox" fmlaLink="$A$44" lockText="1" noThreeD="1"/>
</file>

<file path=xl/ctrlProps/ctrlProp2559.xml><?xml version="1.0" encoding="utf-8"?>
<formControlPr xmlns="http://schemas.microsoft.com/office/spreadsheetml/2009/9/main" objectType="CheckBox" fmlaLink="$A$45" lockText="1" noThreeD="1"/>
</file>

<file path=xl/ctrlProps/ctrlProp2560.xml><?xml version="1.0" encoding="utf-8"?>
<formControlPr xmlns="http://schemas.microsoft.com/office/spreadsheetml/2009/9/main" objectType="CheckBox" fmlaLink="$A$46" lockText="1" noThreeD="1"/>
</file>

<file path=xl/ctrlProps/ctrlProp2561.xml><?xml version="1.0" encoding="utf-8"?>
<formControlPr xmlns="http://schemas.microsoft.com/office/spreadsheetml/2009/9/main" objectType="CheckBox" fmlaLink="$A$47" lockText="1" noThreeD="1"/>
</file>

<file path=xl/ctrlProps/ctrlProp2562.xml><?xml version="1.0" encoding="utf-8"?>
<formControlPr xmlns="http://schemas.microsoft.com/office/spreadsheetml/2009/9/main" objectType="CheckBox" fmlaLink="$A$48" lockText="1" noThreeD="1"/>
</file>

<file path=xl/ctrlProps/ctrlProp2563.xml><?xml version="1.0" encoding="utf-8"?>
<formControlPr xmlns="http://schemas.microsoft.com/office/spreadsheetml/2009/9/main" objectType="CheckBox" fmlaLink="$A$49" lockText="1" noThreeD="1"/>
</file>

<file path=xl/ctrlProps/ctrlProp2564.xml><?xml version="1.0" encoding="utf-8"?>
<formControlPr xmlns="http://schemas.microsoft.com/office/spreadsheetml/2009/9/main" objectType="Button" lockText="1"/>
</file>

<file path=xl/ctrlProps/ctrlProp2565.xml><?xml version="1.0" encoding="utf-8"?>
<formControlPr xmlns="http://schemas.microsoft.com/office/spreadsheetml/2009/9/main" objectType="Button" lockText="1"/>
</file>

<file path=xl/ctrlProps/ctrlProp2566.xml><?xml version="1.0" encoding="utf-8"?>
<formControlPr xmlns="http://schemas.microsoft.com/office/spreadsheetml/2009/9/main" objectType="CheckBox" fmlaLink="$A$40" lockText="1" noThreeD="1"/>
</file>

<file path=xl/ctrlProps/ctrlProp2567.xml><?xml version="1.0" encoding="utf-8"?>
<formControlPr xmlns="http://schemas.microsoft.com/office/spreadsheetml/2009/9/main" objectType="Button" lockText="1"/>
</file>

<file path=xl/ctrlProps/ctrlProp2568.xml><?xml version="1.0" encoding="utf-8"?>
<formControlPr xmlns="http://schemas.microsoft.com/office/spreadsheetml/2009/9/main" objectType="Button" lockText="1"/>
</file>

<file path=xl/ctrlProps/ctrlProp2569.xml><?xml version="1.0" encoding="utf-8"?>
<formControlPr xmlns="http://schemas.microsoft.com/office/spreadsheetml/2009/9/main" objectType="Button" lockText="1"/>
</file>

<file path=xl/ctrlProps/ctrlProp2570.xml><?xml version="1.0" encoding="utf-8"?>
<formControlPr xmlns="http://schemas.microsoft.com/office/spreadsheetml/2009/9/main" objectType="Button" lockText="1"/>
</file>

<file path=xl/ctrlProps/ctrlProp2571.xml><?xml version="1.0" encoding="utf-8"?>
<formControlPr xmlns="http://schemas.microsoft.com/office/spreadsheetml/2009/9/main" objectType="CheckBox" fmlaLink="$A$49" lockText="1" noThreeD="1"/>
</file>

<file path=xl/ctrlProps/ctrlProp2572.xml><?xml version="1.0" encoding="utf-8"?>
<formControlPr xmlns="http://schemas.microsoft.com/office/spreadsheetml/2009/9/main" objectType="CheckBox" fmlaLink="$A$28" lockText="1" noThreeD="1"/>
</file>

<file path=xl/ctrlProps/ctrlProp2573.xml><?xml version="1.0" encoding="utf-8"?>
<formControlPr xmlns="http://schemas.microsoft.com/office/spreadsheetml/2009/9/main" objectType="CheckBox" fmlaLink="$A$29" lockText="1" noThreeD="1"/>
</file>

<file path=xl/ctrlProps/ctrlProp2574.xml><?xml version="1.0" encoding="utf-8"?>
<formControlPr xmlns="http://schemas.microsoft.com/office/spreadsheetml/2009/9/main" objectType="CheckBox" fmlaLink="$A$30" lockText="1" noThreeD="1"/>
</file>

<file path=xl/ctrlProps/ctrlProp2575.xml><?xml version="1.0" encoding="utf-8"?>
<formControlPr xmlns="http://schemas.microsoft.com/office/spreadsheetml/2009/9/main" objectType="CheckBox" fmlaLink="$A$31" lockText="1" noThreeD="1"/>
</file>

<file path=xl/ctrlProps/ctrlProp2576.xml><?xml version="1.0" encoding="utf-8"?>
<formControlPr xmlns="http://schemas.microsoft.com/office/spreadsheetml/2009/9/main" objectType="CheckBox" fmlaLink="$E$28" lockText="1" noThreeD="1"/>
</file>

<file path=xl/ctrlProps/ctrlProp2577.xml><?xml version="1.0" encoding="utf-8"?>
<formControlPr xmlns="http://schemas.microsoft.com/office/spreadsheetml/2009/9/main" objectType="CheckBox" fmlaLink="$E$29" lockText="1" noThreeD="1"/>
</file>

<file path=xl/ctrlProps/ctrlProp2578.xml><?xml version="1.0" encoding="utf-8"?>
<formControlPr xmlns="http://schemas.microsoft.com/office/spreadsheetml/2009/9/main" objectType="CheckBox" fmlaLink="$E$30" lockText="1" noThreeD="1"/>
</file>

<file path=xl/ctrlProps/ctrlProp2579.xml><?xml version="1.0" encoding="utf-8"?>
<formControlPr xmlns="http://schemas.microsoft.com/office/spreadsheetml/2009/9/main" objectType="CheckBox" checked="Checked" fmlaLink="$A$33" lockText="1" noThreeD="1"/>
</file>

<file path=xl/ctrlProps/ctrlProp2580.xml><?xml version="1.0" encoding="utf-8"?>
<formControlPr xmlns="http://schemas.microsoft.com/office/spreadsheetml/2009/9/main" objectType="CheckBox" checked="Checked" fmlaLink="$A$34" lockText="1" noThreeD="1"/>
</file>

<file path=xl/ctrlProps/ctrlProp2581.xml><?xml version="1.0" encoding="utf-8"?>
<formControlPr xmlns="http://schemas.microsoft.com/office/spreadsheetml/2009/9/main" objectType="CheckBox" checked="Checked" fmlaLink="$A$35" lockText="1" noThreeD="1"/>
</file>

<file path=xl/ctrlProps/ctrlProp2582.xml><?xml version="1.0" encoding="utf-8"?>
<formControlPr xmlns="http://schemas.microsoft.com/office/spreadsheetml/2009/9/main" objectType="CheckBox" checked="Checked" fmlaLink="$A$36" lockText="1" noThreeD="1"/>
</file>

<file path=xl/ctrlProps/ctrlProp2583.xml><?xml version="1.0" encoding="utf-8"?>
<formControlPr xmlns="http://schemas.microsoft.com/office/spreadsheetml/2009/9/main" objectType="CheckBox" fmlaLink="$A$37" lockText="1" noThreeD="1"/>
</file>

<file path=xl/ctrlProps/ctrlProp2584.xml><?xml version="1.0" encoding="utf-8"?>
<formControlPr xmlns="http://schemas.microsoft.com/office/spreadsheetml/2009/9/main" objectType="Button" lockText="1"/>
</file>

<file path=xl/ctrlProps/ctrlProp2585.xml><?xml version="1.0" encoding="utf-8"?>
<formControlPr xmlns="http://schemas.microsoft.com/office/spreadsheetml/2009/9/main" objectType="Button" lockText="1"/>
</file>

<file path=xl/ctrlProps/ctrlProp2586.xml><?xml version="1.0" encoding="utf-8"?>
<formControlPr xmlns="http://schemas.microsoft.com/office/spreadsheetml/2009/9/main" objectType="CheckBox" checked="Checked" fmlaLink="$D$33" lockText="1" noThreeD="1"/>
</file>

<file path=xl/ctrlProps/ctrlProp2587.xml><?xml version="1.0" encoding="utf-8"?>
<formControlPr xmlns="http://schemas.microsoft.com/office/spreadsheetml/2009/9/main" objectType="CheckBox" checked="Checked" lockText="1" noThreeD="1"/>
</file>

<file path=xl/ctrlProps/ctrlProp2588.xml><?xml version="1.0" encoding="utf-8"?>
<formControlPr xmlns="http://schemas.microsoft.com/office/spreadsheetml/2009/9/main" objectType="CheckBox" checked="Checked" lockText="1" noThreeD="1"/>
</file>

<file path=xl/ctrlProps/ctrlProp2589.xml><?xml version="1.0" encoding="utf-8"?>
<formControlPr xmlns="http://schemas.microsoft.com/office/spreadsheetml/2009/9/main" objectType="CheckBox" checked="Checked" lockText="1" noThreeD="1"/>
</file>

<file path=xl/ctrlProps/ctrlProp2590.xml><?xml version="1.0" encoding="utf-8"?>
<formControlPr xmlns="http://schemas.microsoft.com/office/spreadsheetml/2009/9/main" objectType="CheckBox" checked="Checked" lockText="1" noThreeD="1"/>
</file>

<file path=xl/ctrlProps/ctrlProp2591.xml><?xml version="1.0" encoding="utf-8"?>
<formControlPr xmlns="http://schemas.microsoft.com/office/spreadsheetml/2009/9/main" objectType="CheckBox" checked="Checked" lockText="1" noThreeD="1"/>
</file>

<file path=xl/ctrlProps/ctrlProp2592.xml><?xml version="1.0" encoding="utf-8"?>
<formControlPr xmlns="http://schemas.microsoft.com/office/spreadsheetml/2009/9/main" objectType="CheckBox" checked="Checked" lockText="1" noThreeD="1"/>
</file>

<file path=xl/ctrlProps/ctrlProp2593.xml><?xml version="1.0" encoding="utf-8"?>
<formControlPr xmlns="http://schemas.microsoft.com/office/spreadsheetml/2009/9/main" objectType="CheckBox" checked="Checked" lockText="1" noThreeD="1"/>
</file>

<file path=xl/ctrlProps/ctrlProp2594.xml><?xml version="1.0" encoding="utf-8"?>
<formControlPr xmlns="http://schemas.microsoft.com/office/spreadsheetml/2009/9/main" objectType="CheckBox" fmlaLink="$A$43" lockText="1" noThreeD="1"/>
</file>

<file path=xl/ctrlProps/ctrlProp2595.xml><?xml version="1.0" encoding="utf-8"?>
<formControlPr xmlns="http://schemas.microsoft.com/office/spreadsheetml/2009/9/main" objectType="CheckBox" fmlaLink="$A$44" lockText="1" noThreeD="1"/>
</file>

<file path=xl/ctrlProps/ctrlProp2596.xml><?xml version="1.0" encoding="utf-8"?>
<formControlPr xmlns="http://schemas.microsoft.com/office/spreadsheetml/2009/9/main" objectType="CheckBox" fmlaLink="$A$45" lockText="1" noThreeD="1"/>
</file>

<file path=xl/ctrlProps/ctrlProp2597.xml><?xml version="1.0" encoding="utf-8"?>
<formControlPr xmlns="http://schemas.microsoft.com/office/spreadsheetml/2009/9/main" objectType="CheckBox" fmlaLink="$A$46" lockText="1" noThreeD="1"/>
</file>

<file path=xl/ctrlProps/ctrlProp2598.xml><?xml version="1.0" encoding="utf-8"?>
<formControlPr xmlns="http://schemas.microsoft.com/office/spreadsheetml/2009/9/main" objectType="CheckBox" fmlaLink="$A$47" lockText="1" noThreeD="1"/>
</file>

<file path=xl/ctrlProps/ctrlProp2599.xml><?xml version="1.0" encoding="utf-8"?>
<formControlPr xmlns="http://schemas.microsoft.com/office/spreadsheetml/2009/9/main" objectType="CheckBox" fmlaLink="$A$48" lockText="1" noThreeD="1"/>
</file>

<file path=xl/ctrlProps/ctrlProp2600.xml><?xml version="1.0" encoding="utf-8"?>
<formControlPr xmlns="http://schemas.microsoft.com/office/spreadsheetml/2009/9/main" objectType="CheckBox" fmlaLink="$A$49" lockText="1" noThreeD="1"/>
</file>

<file path=xl/ctrlProps/ctrlProp2601.xml><?xml version="1.0" encoding="utf-8"?>
<formControlPr xmlns="http://schemas.microsoft.com/office/spreadsheetml/2009/9/main" objectType="Button" lockText="1"/>
</file>

<file path=xl/ctrlProps/ctrlProp2602.xml><?xml version="1.0" encoding="utf-8"?>
<formControlPr xmlns="http://schemas.microsoft.com/office/spreadsheetml/2009/9/main" objectType="Button" lockText="1"/>
</file>

<file path=xl/ctrlProps/ctrlProp2603.xml><?xml version="1.0" encoding="utf-8"?>
<formControlPr xmlns="http://schemas.microsoft.com/office/spreadsheetml/2009/9/main" objectType="CheckBox" fmlaLink="$A$40" lockText="1" noThreeD="1"/>
</file>

<file path=xl/ctrlProps/ctrlProp2604.xml><?xml version="1.0" encoding="utf-8"?>
<formControlPr xmlns="http://schemas.microsoft.com/office/spreadsheetml/2009/9/main" objectType="Button" lockText="1"/>
</file>

<file path=xl/ctrlProps/ctrlProp2605.xml><?xml version="1.0" encoding="utf-8"?>
<formControlPr xmlns="http://schemas.microsoft.com/office/spreadsheetml/2009/9/main" objectType="Button" lockText="1"/>
</file>

<file path=xl/ctrlProps/ctrlProp2606.xml><?xml version="1.0" encoding="utf-8"?>
<formControlPr xmlns="http://schemas.microsoft.com/office/spreadsheetml/2009/9/main" objectType="Button" lockText="1"/>
</file>

<file path=xl/ctrlProps/ctrlProp2607.xml><?xml version="1.0" encoding="utf-8"?>
<formControlPr xmlns="http://schemas.microsoft.com/office/spreadsheetml/2009/9/main" objectType="Button" lockText="1"/>
</file>

<file path=xl/ctrlProps/ctrlProp2608.xml><?xml version="1.0" encoding="utf-8"?>
<formControlPr xmlns="http://schemas.microsoft.com/office/spreadsheetml/2009/9/main" objectType="CheckBox" fmlaLink="$A$49" lockText="1" noThreeD="1"/>
</file>

<file path=xl/ctrlProps/ctrlProp2609.xml><?xml version="1.0" encoding="utf-8"?>
<formControlPr xmlns="http://schemas.microsoft.com/office/spreadsheetml/2009/9/main" objectType="CheckBox" checked="Checked" fmlaLink="$A$28" lockText="1" noThreeD="1"/>
</file>

<file path=xl/ctrlProps/ctrlProp2610.xml><?xml version="1.0" encoding="utf-8"?>
<formControlPr xmlns="http://schemas.microsoft.com/office/spreadsheetml/2009/9/main" objectType="CheckBox" checked="Checked" fmlaLink="$A$29" lockText="1" noThreeD="1"/>
</file>

<file path=xl/ctrlProps/ctrlProp2611.xml><?xml version="1.0" encoding="utf-8"?>
<formControlPr xmlns="http://schemas.microsoft.com/office/spreadsheetml/2009/9/main" objectType="CheckBox" checked="Checked" fmlaLink="$A$30" lockText="1" noThreeD="1"/>
</file>

<file path=xl/ctrlProps/ctrlProp2612.xml><?xml version="1.0" encoding="utf-8"?>
<formControlPr xmlns="http://schemas.microsoft.com/office/spreadsheetml/2009/9/main" objectType="CheckBox" checked="Checked" fmlaLink="$A$31" lockText="1" noThreeD="1"/>
</file>

<file path=xl/ctrlProps/ctrlProp2613.xml><?xml version="1.0" encoding="utf-8"?>
<formControlPr xmlns="http://schemas.microsoft.com/office/spreadsheetml/2009/9/main" objectType="CheckBox" fmlaLink="$E$28" lockText="1" noThreeD="1"/>
</file>

<file path=xl/ctrlProps/ctrlProp2614.xml><?xml version="1.0" encoding="utf-8"?>
<formControlPr xmlns="http://schemas.microsoft.com/office/spreadsheetml/2009/9/main" objectType="CheckBox" fmlaLink="$E$29" lockText="1" noThreeD="1"/>
</file>

<file path=xl/ctrlProps/ctrlProp2615.xml><?xml version="1.0" encoding="utf-8"?>
<formControlPr xmlns="http://schemas.microsoft.com/office/spreadsheetml/2009/9/main" objectType="CheckBox" fmlaLink="$E$30" lockText="1" noThreeD="1"/>
</file>

<file path=xl/ctrlProps/ctrlProp2616.xml><?xml version="1.0" encoding="utf-8"?>
<formControlPr xmlns="http://schemas.microsoft.com/office/spreadsheetml/2009/9/main" objectType="CheckBox" checked="Checked" fmlaLink="$A$33" lockText="1" noThreeD="1"/>
</file>

<file path=xl/ctrlProps/ctrlProp2617.xml><?xml version="1.0" encoding="utf-8"?>
<formControlPr xmlns="http://schemas.microsoft.com/office/spreadsheetml/2009/9/main" objectType="CheckBox" checked="Checked" fmlaLink="$A$34" lockText="1" noThreeD="1"/>
</file>

<file path=xl/ctrlProps/ctrlProp2618.xml><?xml version="1.0" encoding="utf-8"?>
<formControlPr xmlns="http://schemas.microsoft.com/office/spreadsheetml/2009/9/main" objectType="CheckBox" checked="Checked" fmlaLink="$A$35" lockText="1" noThreeD="1"/>
</file>

<file path=xl/ctrlProps/ctrlProp2619.xml><?xml version="1.0" encoding="utf-8"?>
<formControlPr xmlns="http://schemas.microsoft.com/office/spreadsheetml/2009/9/main" objectType="CheckBox" checked="Checked" fmlaLink="$A$36" lockText="1" noThreeD="1"/>
</file>

<file path=xl/ctrlProps/ctrlProp2620.xml><?xml version="1.0" encoding="utf-8"?>
<formControlPr xmlns="http://schemas.microsoft.com/office/spreadsheetml/2009/9/main" objectType="CheckBox" fmlaLink="$A$37" lockText="1" noThreeD="1"/>
</file>

<file path=xl/ctrlProps/ctrlProp2621.xml><?xml version="1.0" encoding="utf-8"?>
<formControlPr xmlns="http://schemas.microsoft.com/office/spreadsheetml/2009/9/main" objectType="Button" lockText="1"/>
</file>

<file path=xl/ctrlProps/ctrlProp2622.xml><?xml version="1.0" encoding="utf-8"?>
<formControlPr xmlns="http://schemas.microsoft.com/office/spreadsheetml/2009/9/main" objectType="Button" lockText="1"/>
</file>

<file path=xl/ctrlProps/ctrlProp2623.xml><?xml version="1.0" encoding="utf-8"?>
<formControlPr xmlns="http://schemas.microsoft.com/office/spreadsheetml/2009/9/main" objectType="CheckBox" checked="Checked" fmlaLink="$D$33" lockText="1" noThreeD="1"/>
</file>

<file path=xl/ctrlProps/ctrlProp2624.xml><?xml version="1.0" encoding="utf-8"?>
<formControlPr xmlns="http://schemas.microsoft.com/office/spreadsheetml/2009/9/main" objectType="CheckBox" checked="Checked" lockText="1" noThreeD="1"/>
</file>

<file path=xl/ctrlProps/ctrlProp2625.xml><?xml version="1.0" encoding="utf-8"?>
<formControlPr xmlns="http://schemas.microsoft.com/office/spreadsheetml/2009/9/main" objectType="CheckBox" checked="Checked" lockText="1" noThreeD="1"/>
</file>

<file path=xl/ctrlProps/ctrlProp2626.xml><?xml version="1.0" encoding="utf-8"?>
<formControlPr xmlns="http://schemas.microsoft.com/office/spreadsheetml/2009/9/main" objectType="CheckBox" checked="Checked" lockText="1" noThreeD="1"/>
</file>

<file path=xl/ctrlProps/ctrlProp2627.xml><?xml version="1.0" encoding="utf-8"?>
<formControlPr xmlns="http://schemas.microsoft.com/office/spreadsheetml/2009/9/main" objectType="CheckBox" checked="Checked" lockText="1" noThreeD="1"/>
</file>

<file path=xl/ctrlProps/ctrlProp2628.xml><?xml version="1.0" encoding="utf-8"?>
<formControlPr xmlns="http://schemas.microsoft.com/office/spreadsheetml/2009/9/main" objectType="CheckBox" lockText="1" noThreeD="1"/>
</file>

<file path=xl/ctrlProps/ctrlProp2629.xml><?xml version="1.0" encoding="utf-8"?>
<formControlPr xmlns="http://schemas.microsoft.com/office/spreadsheetml/2009/9/main" objectType="CheckBox" lockText="1" noThreeD="1"/>
</file>

<file path=xl/ctrlProps/ctrlProp2630.xml><?xml version="1.0" encoding="utf-8"?>
<formControlPr xmlns="http://schemas.microsoft.com/office/spreadsheetml/2009/9/main" objectType="CheckBox" lockText="1" noThreeD="1"/>
</file>

<file path=xl/ctrlProps/ctrlProp2631.xml><?xml version="1.0" encoding="utf-8"?>
<formControlPr xmlns="http://schemas.microsoft.com/office/spreadsheetml/2009/9/main" objectType="CheckBox" fmlaLink="$A$43" lockText="1" noThreeD="1"/>
</file>

<file path=xl/ctrlProps/ctrlProp2632.xml><?xml version="1.0" encoding="utf-8"?>
<formControlPr xmlns="http://schemas.microsoft.com/office/spreadsheetml/2009/9/main" objectType="CheckBox" fmlaLink="$A$44" lockText="1" noThreeD="1"/>
</file>

<file path=xl/ctrlProps/ctrlProp2633.xml><?xml version="1.0" encoding="utf-8"?>
<formControlPr xmlns="http://schemas.microsoft.com/office/spreadsheetml/2009/9/main" objectType="CheckBox" fmlaLink="$A$45" lockText="1" noThreeD="1"/>
</file>

<file path=xl/ctrlProps/ctrlProp2634.xml><?xml version="1.0" encoding="utf-8"?>
<formControlPr xmlns="http://schemas.microsoft.com/office/spreadsheetml/2009/9/main" objectType="CheckBox" fmlaLink="$A$46" lockText="1" noThreeD="1"/>
</file>

<file path=xl/ctrlProps/ctrlProp2635.xml><?xml version="1.0" encoding="utf-8"?>
<formControlPr xmlns="http://schemas.microsoft.com/office/spreadsheetml/2009/9/main" objectType="CheckBox" fmlaLink="$A$47" lockText="1" noThreeD="1"/>
</file>

<file path=xl/ctrlProps/ctrlProp2636.xml><?xml version="1.0" encoding="utf-8"?>
<formControlPr xmlns="http://schemas.microsoft.com/office/spreadsheetml/2009/9/main" objectType="CheckBox" fmlaLink="$A$48" lockText="1" noThreeD="1"/>
</file>

<file path=xl/ctrlProps/ctrlProp2637.xml><?xml version="1.0" encoding="utf-8"?>
<formControlPr xmlns="http://schemas.microsoft.com/office/spreadsheetml/2009/9/main" objectType="CheckBox" fmlaLink="$A$49" lockText="1" noThreeD="1"/>
</file>

<file path=xl/ctrlProps/ctrlProp2638.xml><?xml version="1.0" encoding="utf-8"?>
<formControlPr xmlns="http://schemas.microsoft.com/office/spreadsheetml/2009/9/main" objectType="Button" lockText="1"/>
</file>

<file path=xl/ctrlProps/ctrlProp2639.xml><?xml version="1.0" encoding="utf-8"?>
<formControlPr xmlns="http://schemas.microsoft.com/office/spreadsheetml/2009/9/main" objectType="Button" lockText="1"/>
</file>

<file path=xl/ctrlProps/ctrlProp2640.xml><?xml version="1.0" encoding="utf-8"?>
<formControlPr xmlns="http://schemas.microsoft.com/office/spreadsheetml/2009/9/main" objectType="CheckBox" fmlaLink="$A$40" lockText="1" noThreeD="1"/>
</file>

<file path=xl/ctrlProps/ctrlProp2641.xml><?xml version="1.0" encoding="utf-8"?>
<formControlPr xmlns="http://schemas.microsoft.com/office/spreadsheetml/2009/9/main" objectType="Button" lockText="1"/>
</file>

<file path=xl/ctrlProps/ctrlProp2642.xml><?xml version="1.0" encoding="utf-8"?>
<formControlPr xmlns="http://schemas.microsoft.com/office/spreadsheetml/2009/9/main" objectType="Button" lockText="1"/>
</file>

<file path=xl/ctrlProps/ctrlProp2643.xml><?xml version="1.0" encoding="utf-8"?>
<formControlPr xmlns="http://schemas.microsoft.com/office/spreadsheetml/2009/9/main" objectType="Button" lockText="1"/>
</file>

<file path=xl/ctrlProps/ctrlProp2644.xml><?xml version="1.0" encoding="utf-8"?>
<formControlPr xmlns="http://schemas.microsoft.com/office/spreadsheetml/2009/9/main" objectType="Button" lockText="1"/>
</file>

<file path=xl/ctrlProps/ctrlProp2645.xml><?xml version="1.0" encoding="utf-8"?>
<formControlPr xmlns="http://schemas.microsoft.com/office/spreadsheetml/2009/9/main" objectType="CheckBox" fmlaLink="$A$49" lockText="1" noThreeD="1"/>
</file>

<file path=xl/ctrlProps/ctrlProp2646.xml><?xml version="1.0" encoding="utf-8"?>
<formControlPr xmlns="http://schemas.microsoft.com/office/spreadsheetml/2009/9/main" objectType="CheckBox" checked="Checked" fmlaLink="$A$28" lockText="1" noThreeD="1"/>
</file>

<file path=xl/ctrlProps/ctrlProp2647.xml><?xml version="1.0" encoding="utf-8"?>
<formControlPr xmlns="http://schemas.microsoft.com/office/spreadsheetml/2009/9/main" objectType="CheckBox" checked="Checked" fmlaLink="$A$29" lockText="1" noThreeD="1"/>
</file>

<file path=xl/ctrlProps/ctrlProp2648.xml><?xml version="1.0" encoding="utf-8"?>
<formControlPr xmlns="http://schemas.microsoft.com/office/spreadsheetml/2009/9/main" objectType="CheckBox" checked="Checked" fmlaLink="$A$30" lockText="1" noThreeD="1"/>
</file>

<file path=xl/ctrlProps/ctrlProp2649.xml><?xml version="1.0" encoding="utf-8"?>
<formControlPr xmlns="http://schemas.microsoft.com/office/spreadsheetml/2009/9/main" objectType="CheckBox" checked="Checked" fmlaLink="$A$31" lockText="1" noThreeD="1"/>
</file>

<file path=xl/ctrlProps/ctrlProp2650.xml><?xml version="1.0" encoding="utf-8"?>
<formControlPr xmlns="http://schemas.microsoft.com/office/spreadsheetml/2009/9/main" objectType="CheckBox" checked="Checked" fmlaLink="$E$28" lockText="1" noThreeD="1"/>
</file>

<file path=xl/ctrlProps/ctrlProp2651.xml><?xml version="1.0" encoding="utf-8"?>
<formControlPr xmlns="http://schemas.microsoft.com/office/spreadsheetml/2009/9/main" objectType="CheckBox" checked="Checked" fmlaLink="$E$29" lockText="1" noThreeD="1"/>
</file>

<file path=xl/ctrlProps/ctrlProp2652.xml><?xml version="1.0" encoding="utf-8"?>
<formControlPr xmlns="http://schemas.microsoft.com/office/spreadsheetml/2009/9/main" objectType="CheckBox" fmlaLink="$E$30" lockText="1" noThreeD="1"/>
</file>

<file path=xl/ctrlProps/ctrlProp2653.xml><?xml version="1.0" encoding="utf-8"?>
<formControlPr xmlns="http://schemas.microsoft.com/office/spreadsheetml/2009/9/main" objectType="CheckBox" checked="Checked" fmlaLink="$A$33" lockText="1" noThreeD="1"/>
</file>

<file path=xl/ctrlProps/ctrlProp2654.xml><?xml version="1.0" encoding="utf-8"?>
<formControlPr xmlns="http://schemas.microsoft.com/office/spreadsheetml/2009/9/main" objectType="CheckBox" checked="Checked" fmlaLink="$A$34" lockText="1" noThreeD="1"/>
</file>

<file path=xl/ctrlProps/ctrlProp2655.xml><?xml version="1.0" encoding="utf-8"?>
<formControlPr xmlns="http://schemas.microsoft.com/office/spreadsheetml/2009/9/main" objectType="CheckBox" checked="Checked" fmlaLink="$A$35" lockText="1" noThreeD="1"/>
</file>

<file path=xl/ctrlProps/ctrlProp2656.xml><?xml version="1.0" encoding="utf-8"?>
<formControlPr xmlns="http://schemas.microsoft.com/office/spreadsheetml/2009/9/main" objectType="CheckBox" checked="Checked" fmlaLink="$A$36" lockText="1" noThreeD="1"/>
</file>

<file path=xl/ctrlProps/ctrlProp2657.xml><?xml version="1.0" encoding="utf-8"?>
<formControlPr xmlns="http://schemas.microsoft.com/office/spreadsheetml/2009/9/main" objectType="CheckBox" fmlaLink="$A$37" lockText="1" noThreeD="1"/>
</file>

<file path=xl/ctrlProps/ctrlProp2658.xml><?xml version="1.0" encoding="utf-8"?>
<formControlPr xmlns="http://schemas.microsoft.com/office/spreadsheetml/2009/9/main" objectType="Button" lockText="1"/>
</file>

<file path=xl/ctrlProps/ctrlProp2659.xml><?xml version="1.0" encoding="utf-8"?>
<formControlPr xmlns="http://schemas.microsoft.com/office/spreadsheetml/2009/9/main" objectType="Button" lockText="1"/>
</file>

<file path=xl/ctrlProps/ctrlProp2660.xml><?xml version="1.0" encoding="utf-8"?>
<formControlPr xmlns="http://schemas.microsoft.com/office/spreadsheetml/2009/9/main" objectType="CheckBox" checked="Checked" fmlaLink="$D$33" lockText="1" noThreeD="1"/>
</file>

<file path=xl/ctrlProps/ctrlProp2661.xml><?xml version="1.0" encoding="utf-8"?>
<formControlPr xmlns="http://schemas.microsoft.com/office/spreadsheetml/2009/9/main" objectType="CheckBox" checked="Checked" lockText="1" noThreeD="1"/>
</file>

<file path=xl/ctrlProps/ctrlProp2662.xml><?xml version="1.0" encoding="utf-8"?>
<formControlPr xmlns="http://schemas.microsoft.com/office/spreadsheetml/2009/9/main" objectType="CheckBox" checked="Checked" lockText="1" noThreeD="1"/>
</file>

<file path=xl/ctrlProps/ctrlProp2663.xml><?xml version="1.0" encoding="utf-8"?>
<formControlPr xmlns="http://schemas.microsoft.com/office/spreadsheetml/2009/9/main" objectType="CheckBox" checked="Checked" lockText="1" noThreeD="1"/>
</file>

<file path=xl/ctrlProps/ctrlProp2664.xml><?xml version="1.0" encoding="utf-8"?>
<formControlPr xmlns="http://schemas.microsoft.com/office/spreadsheetml/2009/9/main" objectType="CheckBox" checked="Checked" lockText="1" noThreeD="1"/>
</file>

<file path=xl/ctrlProps/ctrlProp2665.xml><?xml version="1.0" encoding="utf-8"?>
<formControlPr xmlns="http://schemas.microsoft.com/office/spreadsheetml/2009/9/main" objectType="CheckBox" checked="Checked" lockText="1" noThreeD="1"/>
</file>

<file path=xl/ctrlProps/ctrlProp2666.xml><?xml version="1.0" encoding="utf-8"?>
<formControlPr xmlns="http://schemas.microsoft.com/office/spreadsheetml/2009/9/main" objectType="CheckBox" checked="Checked" lockText="1" noThreeD="1"/>
</file>

<file path=xl/ctrlProps/ctrlProp2667.xml><?xml version="1.0" encoding="utf-8"?>
<formControlPr xmlns="http://schemas.microsoft.com/office/spreadsheetml/2009/9/main" objectType="CheckBox" lockText="1" noThreeD="1"/>
</file>

<file path=xl/ctrlProps/ctrlProp2668.xml><?xml version="1.0" encoding="utf-8"?>
<formControlPr xmlns="http://schemas.microsoft.com/office/spreadsheetml/2009/9/main" objectType="CheckBox" fmlaLink="$A$43" lockText="1" noThreeD="1"/>
</file>

<file path=xl/ctrlProps/ctrlProp2669.xml><?xml version="1.0" encoding="utf-8"?>
<formControlPr xmlns="http://schemas.microsoft.com/office/spreadsheetml/2009/9/main" objectType="CheckBox" fmlaLink="$A$44" lockText="1" noThreeD="1"/>
</file>

<file path=xl/ctrlProps/ctrlProp2670.xml><?xml version="1.0" encoding="utf-8"?>
<formControlPr xmlns="http://schemas.microsoft.com/office/spreadsheetml/2009/9/main" objectType="CheckBox" fmlaLink="$A$45" lockText="1" noThreeD="1"/>
</file>

<file path=xl/ctrlProps/ctrlProp2671.xml><?xml version="1.0" encoding="utf-8"?>
<formControlPr xmlns="http://schemas.microsoft.com/office/spreadsheetml/2009/9/main" objectType="CheckBox" fmlaLink="$A$46" lockText="1" noThreeD="1"/>
</file>

<file path=xl/ctrlProps/ctrlProp2672.xml><?xml version="1.0" encoding="utf-8"?>
<formControlPr xmlns="http://schemas.microsoft.com/office/spreadsheetml/2009/9/main" objectType="CheckBox" fmlaLink="$A$47" lockText="1" noThreeD="1"/>
</file>

<file path=xl/ctrlProps/ctrlProp2673.xml><?xml version="1.0" encoding="utf-8"?>
<formControlPr xmlns="http://schemas.microsoft.com/office/spreadsheetml/2009/9/main" objectType="CheckBox" fmlaLink="$A$48" lockText="1" noThreeD="1"/>
</file>

<file path=xl/ctrlProps/ctrlProp2674.xml><?xml version="1.0" encoding="utf-8"?>
<formControlPr xmlns="http://schemas.microsoft.com/office/spreadsheetml/2009/9/main" objectType="CheckBox" fmlaLink="$A$49" lockText="1" noThreeD="1"/>
</file>

<file path=xl/ctrlProps/ctrlProp2675.xml><?xml version="1.0" encoding="utf-8"?>
<formControlPr xmlns="http://schemas.microsoft.com/office/spreadsheetml/2009/9/main" objectType="Button" lockText="1"/>
</file>

<file path=xl/ctrlProps/ctrlProp2676.xml><?xml version="1.0" encoding="utf-8"?>
<formControlPr xmlns="http://schemas.microsoft.com/office/spreadsheetml/2009/9/main" objectType="Button" lockText="1"/>
</file>

<file path=xl/ctrlProps/ctrlProp2677.xml><?xml version="1.0" encoding="utf-8"?>
<formControlPr xmlns="http://schemas.microsoft.com/office/spreadsheetml/2009/9/main" objectType="CheckBox" fmlaLink="$A$40" lockText="1" noThreeD="1"/>
</file>

<file path=xl/ctrlProps/ctrlProp2678.xml><?xml version="1.0" encoding="utf-8"?>
<formControlPr xmlns="http://schemas.microsoft.com/office/spreadsheetml/2009/9/main" objectType="Button" lockText="1"/>
</file>

<file path=xl/ctrlProps/ctrlProp2679.xml><?xml version="1.0" encoding="utf-8"?>
<formControlPr xmlns="http://schemas.microsoft.com/office/spreadsheetml/2009/9/main" objectType="Button" lockText="1"/>
</file>

<file path=xl/ctrlProps/ctrlProp2680.xml><?xml version="1.0" encoding="utf-8"?>
<formControlPr xmlns="http://schemas.microsoft.com/office/spreadsheetml/2009/9/main" objectType="Button" lockText="1"/>
</file>

<file path=xl/ctrlProps/ctrlProp2681.xml><?xml version="1.0" encoding="utf-8"?>
<formControlPr xmlns="http://schemas.microsoft.com/office/spreadsheetml/2009/9/main" objectType="Button" lockText="1"/>
</file>

<file path=xl/ctrlProps/ctrlProp2682.xml><?xml version="1.0" encoding="utf-8"?>
<formControlPr xmlns="http://schemas.microsoft.com/office/spreadsheetml/2009/9/main" objectType="CheckBox" fmlaLink="$A$49" lockText="1" noThreeD="1"/>
</file>

<file path=xl/ctrlProps/ctrlProp2683.xml><?xml version="1.0" encoding="utf-8"?>
<formControlPr xmlns="http://schemas.microsoft.com/office/spreadsheetml/2009/9/main" objectType="CheckBox" checked="Checked" fmlaLink="$A$28" lockText="1" noThreeD="1"/>
</file>

<file path=xl/ctrlProps/ctrlProp2684.xml><?xml version="1.0" encoding="utf-8"?>
<formControlPr xmlns="http://schemas.microsoft.com/office/spreadsheetml/2009/9/main" objectType="CheckBox" fmlaLink="$A$29" lockText="1" noThreeD="1"/>
</file>

<file path=xl/ctrlProps/ctrlProp2685.xml><?xml version="1.0" encoding="utf-8"?>
<formControlPr xmlns="http://schemas.microsoft.com/office/spreadsheetml/2009/9/main" objectType="CheckBox" fmlaLink="$A$30" lockText="1" noThreeD="1"/>
</file>

<file path=xl/ctrlProps/ctrlProp2686.xml><?xml version="1.0" encoding="utf-8"?>
<formControlPr xmlns="http://schemas.microsoft.com/office/spreadsheetml/2009/9/main" objectType="CheckBox" fmlaLink="$A$31" lockText="1" noThreeD="1"/>
</file>

<file path=xl/ctrlProps/ctrlProp2687.xml><?xml version="1.0" encoding="utf-8"?>
<formControlPr xmlns="http://schemas.microsoft.com/office/spreadsheetml/2009/9/main" objectType="CheckBox" fmlaLink="$E$28" lockText="1" noThreeD="1"/>
</file>

<file path=xl/ctrlProps/ctrlProp2688.xml><?xml version="1.0" encoding="utf-8"?>
<formControlPr xmlns="http://schemas.microsoft.com/office/spreadsheetml/2009/9/main" objectType="CheckBox" checked="Checked" fmlaLink="$E$29" lockText="1" noThreeD="1"/>
</file>

<file path=xl/ctrlProps/ctrlProp2689.xml><?xml version="1.0" encoding="utf-8"?>
<formControlPr xmlns="http://schemas.microsoft.com/office/spreadsheetml/2009/9/main" objectType="CheckBox" fmlaLink="$E$30" lockText="1" noThreeD="1"/>
</file>

<file path=xl/ctrlProps/ctrlProp2690.xml><?xml version="1.0" encoding="utf-8"?>
<formControlPr xmlns="http://schemas.microsoft.com/office/spreadsheetml/2009/9/main" objectType="CheckBox" checked="Checked" fmlaLink="$A$33" lockText="1" noThreeD="1"/>
</file>

<file path=xl/ctrlProps/ctrlProp2691.xml><?xml version="1.0" encoding="utf-8"?>
<formControlPr xmlns="http://schemas.microsoft.com/office/spreadsheetml/2009/9/main" objectType="CheckBox" checked="Checked" fmlaLink="$A$34" lockText="1" noThreeD="1"/>
</file>

<file path=xl/ctrlProps/ctrlProp2692.xml><?xml version="1.0" encoding="utf-8"?>
<formControlPr xmlns="http://schemas.microsoft.com/office/spreadsheetml/2009/9/main" objectType="CheckBox" checked="Checked" fmlaLink="$A$35" lockText="1" noThreeD="1"/>
</file>

<file path=xl/ctrlProps/ctrlProp2693.xml><?xml version="1.0" encoding="utf-8"?>
<formControlPr xmlns="http://schemas.microsoft.com/office/spreadsheetml/2009/9/main" objectType="CheckBox" checked="Checked" fmlaLink="$A$36" lockText="1" noThreeD="1"/>
</file>

<file path=xl/ctrlProps/ctrlProp2694.xml><?xml version="1.0" encoding="utf-8"?>
<formControlPr xmlns="http://schemas.microsoft.com/office/spreadsheetml/2009/9/main" objectType="CheckBox" fmlaLink="$A$37" lockText="1" noThreeD="1"/>
</file>

<file path=xl/ctrlProps/ctrlProp2695.xml><?xml version="1.0" encoding="utf-8"?>
<formControlPr xmlns="http://schemas.microsoft.com/office/spreadsheetml/2009/9/main" objectType="Button" lockText="1"/>
</file>

<file path=xl/ctrlProps/ctrlProp2696.xml><?xml version="1.0" encoding="utf-8"?>
<formControlPr xmlns="http://schemas.microsoft.com/office/spreadsheetml/2009/9/main" objectType="Button" lockText="1"/>
</file>

<file path=xl/ctrlProps/ctrlProp2697.xml><?xml version="1.0" encoding="utf-8"?>
<formControlPr xmlns="http://schemas.microsoft.com/office/spreadsheetml/2009/9/main" objectType="CheckBox" checked="Checked" fmlaLink="$D$33" lockText="1" noThreeD="1"/>
</file>

<file path=xl/ctrlProps/ctrlProp2698.xml><?xml version="1.0" encoding="utf-8"?>
<formControlPr xmlns="http://schemas.microsoft.com/office/spreadsheetml/2009/9/main" objectType="CheckBox" checked="Checked" lockText="1" noThreeD="1"/>
</file>

<file path=xl/ctrlProps/ctrlProp2699.xml><?xml version="1.0" encoding="utf-8"?>
<formControlPr xmlns="http://schemas.microsoft.com/office/spreadsheetml/2009/9/main" objectType="CheckBox" checked="Checked" lockText="1" noThreeD="1"/>
</file>

<file path=xl/ctrlProps/ctrlProp2700.xml><?xml version="1.0" encoding="utf-8"?>
<formControlPr xmlns="http://schemas.microsoft.com/office/spreadsheetml/2009/9/main" objectType="CheckBox" checked="Checked" lockText="1" noThreeD="1"/>
</file>

<file path=xl/ctrlProps/ctrlProp2701.xml><?xml version="1.0" encoding="utf-8"?>
<formControlPr xmlns="http://schemas.microsoft.com/office/spreadsheetml/2009/9/main" objectType="CheckBox" checked="Checked" lockText="1" noThreeD="1"/>
</file>

<file path=xl/ctrlProps/ctrlProp2702.xml><?xml version="1.0" encoding="utf-8"?>
<formControlPr xmlns="http://schemas.microsoft.com/office/spreadsheetml/2009/9/main" objectType="CheckBox" checked="Checked" lockText="1" noThreeD="1"/>
</file>

<file path=xl/ctrlProps/ctrlProp2703.xml><?xml version="1.0" encoding="utf-8"?>
<formControlPr xmlns="http://schemas.microsoft.com/office/spreadsheetml/2009/9/main" objectType="CheckBox" checked="Checked" lockText="1" noThreeD="1"/>
</file>

<file path=xl/ctrlProps/ctrlProp2704.xml><?xml version="1.0" encoding="utf-8"?>
<formControlPr xmlns="http://schemas.microsoft.com/office/spreadsheetml/2009/9/main" objectType="CheckBox" lockText="1" noThreeD="1"/>
</file>

<file path=xl/ctrlProps/ctrlProp2705.xml><?xml version="1.0" encoding="utf-8"?>
<formControlPr xmlns="http://schemas.microsoft.com/office/spreadsheetml/2009/9/main" objectType="CheckBox" fmlaLink="$A$43" lockText="1" noThreeD="1"/>
</file>

<file path=xl/ctrlProps/ctrlProp2706.xml><?xml version="1.0" encoding="utf-8"?>
<formControlPr xmlns="http://schemas.microsoft.com/office/spreadsheetml/2009/9/main" objectType="CheckBox" fmlaLink="$A$44" lockText="1" noThreeD="1"/>
</file>

<file path=xl/ctrlProps/ctrlProp2707.xml><?xml version="1.0" encoding="utf-8"?>
<formControlPr xmlns="http://schemas.microsoft.com/office/spreadsheetml/2009/9/main" objectType="CheckBox" fmlaLink="$A$45" lockText="1" noThreeD="1"/>
</file>

<file path=xl/ctrlProps/ctrlProp2708.xml><?xml version="1.0" encoding="utf-8"?>
<formControlPr xmlns="http://schemas.microsoft.com/office/spreadsheetml/2009/9/main" objectType="CheckBox" fmlaLink="$A$46" lockText="1" noThreeD="1"/>
</file>

<file path=xl/ctrlProps/ctrlProp2709.xml><?xml version="1.0" encoding="utf-8"?>
<formControlPr xmlns="http://schemas.microsoft.com/office/spreadsheetml/2009/9/main" objectType="CheckBox" fmlaLink="$A$47" lockText="1" noThreeD="1"/>
</file>

<file path=xl/ctrlProps/ctrlProp2710.xml><?xml version="1.0" encoding="utf-8"?>
<formControlPr xmlns="http://schemas.microsoft.com/office/spreadsheetml/2009/9/main" objectType="CheckBox" fmlaLink="$A$48" lockText="1" noThreeD="1"/>
</file>

<file path=xl/ctrlProps/ctrlProp2711.xml><?xml version="1.0" encoding="utf-8"?>
<formControlPr xmlns="http://schemas.microsoft.com/office/spreadsheetml/2009/9/main" objectType="CheckBox" fmlaLink="$A$49" lockText="1" noThreeD="1"/>
</file>

<file path=xl/ctrlProps/ctrlProp2712.xml><?xml version="1.0" encoding="utf-8"?>
<formControlPr xmlns="http://schemas.microsoft.com/office/spreadsheetml/2009/9/main" objectType="Button" lockText="1"/>
</file>

<file path=xl/ctrlProps/ctrlProp2713.xml><?xml version="1.0" encoding="utf-8"?>
<formControlPr xmlns="http://schemas.microsoft.com/office/spreadsheetml/2009/9/main" objectType="Button" lockText="1"/>
</file>

<file path=xl/ctrlProps/ctrlProp2714.xml><?xml version="1.0" encoding="utf-8"?>
<formControlPr xmlns="http://schemas.microsoft.com/office/spreadsheetml/2009/9/main" objectType="CheckBox" fmlaLink="$A$40" lockText="1" noThreeD="1"/>
</file>

<file path=xl/ctrlProps/ctrlProp2715.xml><?xml version="1.0" encoding="utf-8"?>
<formControlPr xmlns="http://schemas.microsoft.com/office/spreadsheetml/2009/9/main" objectType="Button" lockText="1"/>
</file>

<file path=xl/ctrlProps/ctrlProp2716.xml><?xml version="1.0" encoding="utf-8"?>
<formControlPr xmlns="http://schemas.microsoft.com/office/spreadsheetml/2009/9/main" objectType="Button" lockText="1"/>
</file>

<file path=xl/ctrlProps/ctrlProp2717.xml><?xml version="1.0" encoding="utf-8"?>
<formControlPr xmlns="http://schemas.microsoft.com/office/spreadsheetml/2009/9/main" objectType="Button" lockText="1"/>
</file>

<file path=xl/ctrlProps/ctrlProp2718.xml><?xml version="1.0" encoding="utf-8"?>
<formControlPr xmlns="http://schemas.microsoft.com/office/spreadsheetml/2009/9/main" objectType="Button" lockText="1"/>
</file>

<file path=xl/ctrlProps/ctrlProp2719.xml><?xml version="1.0" encoding="utf-8"?>
<formControlPr xmlns="http://schemas.microsoft.com/office/spreadsheetml/2009/9/main" objectType="CheckBox" fmlaLink="$A$49" lockText="1" noThreeD="1"/>
</file>

<file path=xl/ctrlProps/ctrlProp2720.xml><?xml version="1.0" encoding="utf-8"?>
<formControlPr xmlns="http://schemas.microsoft.com/office/spreadsheetml/2009/9/main" objectType="CheckBox" checked="Checked" fmlaLink="$A$28" lockText="1" noThreeD="1"/>
</file>

<file path=xl/ctrlProps/ctrlProp2721.xml><?xml version="1.0" encoding="utf-8"?>
<formControlPr xmlns="http://schemas.microsoft.com/office/spreadsheetml/2009/9/main" objectType="CheckBox" checked="Checked" fmlaLink="$A$29" lockText="1" noThreeD="1"/>
</file>

<file path=xl/ctrlProps/ctrlProp2722.xml><?xml version="1.0" encoding="utf-8"?>
<formControlPr xmlns="http://schemas.microsoft.com/office/spreadsheetml/2009/9/main" objectType="CheckBox" checked="Checked" fmlaLink="$A$30" lockText="1" noThreeD="1"/>
</file>

<file path=xl/ctrlProps/ctrlProp2723.xml><?xml version="1.0" encoding="utf-8"?>
<formControlPr xmlns="http://schemas.microsoft.com/office/spreadsheetml/2009/9/main" objectType="CheckBox" checked="Checked" fmlaLink="$A$31" lockText="1" noThreeD="1"/>
</file>

<file path=xl/ctrlProps/ctrlProp2724.xml><?xml version="1.0" encoding="utf-8"?>
<formControlPr xmlns="http://schemas.microsoft.com/office/spreadsheetml/2009/9/main" objectType="CheckBox" fmlaLink="$E$28" lockText="1" noThreeD="1"/>
</file>

<file path=xl/ctrlProps/ctrlProp2725.xml><?xml version="1.0" encoding="utf-8"?>
<formControlPr xmlns="http://schemas.microsoft.com/office/spreadsheetml/2009/9/main" objectType="CheckBox" checked="Checked" fmlaLink="$E$29" lockText="1" noThreeD="1"/>
</file>

<file path=xl/ctrlProps/ctrlProp2726.xml><?xml version="1.0" encoding="utf-8"?>
<formControlPr xmlns="http://schemas.microsoft.com/office/spreadsheetml/2009/9/main" objectType="CheckBox" checked="Checked" fmlaLink="$E$30" lockText="1" noThreeD="1"/>
</file>

<file path=xl/ctrlProps/ctrlProp2727.xml><?xml version="1.0" encoding="utf-8"?>
<formControlPr xmlns="http://schemas.microsoft.com/office/spreadsheetml/2009/9/main" objectType="CheckBox" checked="Checked" fmlaLink="$A$33" lockText="1" noThreeD="1"/>
</file>

<file path=xl/ctrlProps/ctrlProp2728.xml><?xml version="1.0" encoding="utf-8"?>
<formControlPr xmlns="http://schemas.microsoft.com/office/spreadsheetml/2009/9/main" objectType="CheckBox" checked="Checked" fmlaLink="$A$34" lockText="1" noThreeD="1"/>
</file>

<file path=xl/ctrlProps/ctrlProp2729.xml><?xml version="1.0" encoding="utf-8"?>
<formControlPr xmlns="http://schemas.microsoft.com/office/spreadsheetml/2009/9/main" objectType="CheckBox" checked="Checked" fmlaLink="$A$35" lockText="1" noThreeD="1"/>
</file>

<file path=xl/ctrlProps/ctrlProp2730.xml><?xml version="1.0" encoding="utf-8"?>
<formControlPr xmlns="http://schemas.microsoft.com/office/spreadsheetml/2009/9/main" objectType="CheckBox" checked="Checked" fmlaLink="$A$36" lockText="1" noThreeD="1"/>
</file>

<file path=xl/ctrlProps/ctrlProp2731.xml><?xml version="1.0" encoding="utf-8"?>
<formControlPr xmlns="http://schemas.microsoft.com/office/spreadsheetml/2009/9/main" objectType="CheckBox" fmlaLink="$A$37" lockText="1" noThreeD="1"/>
</file>

<file path=xl/ctrlProps/ctrlProp2732.xml><?xml version="1.0" encoding="utf-8"?>
<formControlPr xmlns="http://schemas.microsoft.com/office/spreadsheetml/2009/9/main" objectType="Button" lockText="1"/>
</file>

<file path=xl/ctrlProps/ctrlProp2733.xml><?xml version="1.0" encoding="utf-8"?>
<formControlPr xmlns="http://schemas.microsoft.com/office/spreadsheetml/2009/9/main" objectType="Button" lockText="1"/>
</file>

<file path=xl/ctrlProps/ctrlProp2734.xml><?xml version="1.0" encoding="utf-8"?>
<formControlPr xmlns="http://schemas.microsoft.com/office/spreadsheetml/2009/9/main" objectType="CheckBox" checked="Checked" fmlaLink="$D$33" lockText="1" noThreeD="1"/>
</file>

<file path=xl/ctrlProps/ctrlProp2735.xml><?xml version="1.0" encoding="utf-8"?>
<formControlPr xmlns="http://schemas.microsoft.com/office/spreadsheetml/2009/9/main" objectType="CheckBox" checked="Checked" lockText="1" noThreeD="1"/>
</file>

<file path=xl/ctrlProps/ctrlProp2736.xml><?xml version="1.0" encoding="utf-8"?>
<formControlPr xmlns="http://schemas.microsoft.com/office/spreadsheetml/2009/9/main" objectType="CheckBox" checked="Checked" lockText="1" noThreeD="1"/>
</file>

<file path=xl/ctrlProps/ctrlProp2737.xml><?xml version="1.0" encoding="utf-8"?>
<formControlPr xmlns="http://schemas.microsoft.com/office/spreadsheetml/2009/9/main" objectType="CheckBox" checked="Checked" lockText="1" noThreeD="1"/>
</file>

<file path=xl/ctrlProps/ctrlProp2738.xml><?xml version="1.0" encoding="utf-8"?>
<formControlPr xmlns="http://schemas.microsoft.com/office/spreadsheetml/2009/9/main" objectType="CheckBox" checked="Checked" lockText="1" noThreeD="1"/>
</file>

<file path=xl/ctrlProps/ctrlProp2739.xml><?xml version="1.0" encoding="utf-8"?>
<formControlPr xmlns="http://schemas.microsoft.com/office/spreadsheetml/2009/9/main" objectType="CheckBox" checked="Checked" lockText="1" noThreeD="1"/>
</file>

<file path=xl/ctrlProps/ctrlProp2740.xml><?xml version="1.0" encoding="utf-8"?>
<formControlPr xmlns="http://schemas.microsoft.com/office/spreadsheetml/2009/9/main" objectType="CheckBox" checked="Checked" lockText="1" noThreeD="1"/>
</file>

<file path=xl/ctrlProps/ctrlProp2741.xml><?xml version="1.0" encoding="utf-8"?>
<formControlPr xmlns="http://schemas.microsoft.com/office/spreadsheetml/2009/9/main" objectType="CheckBox" checked="Checked" lockText="1" noThreeD="1"/>
</file>

<file path=xl/ctrlProps/ctrlProp2742.xml><?xml version="1.0" encoding="utf-8"?>
<formControlPr xmlns="http://schemas.microsoft.com/office/spreadsheetml/2009/9/main" objectType="CheckBox" fmlaLink="$A$43" lockText="1" noThreeD="1"/>
</file>

<file path=xl/ctrlProps/ctrlProp2743.xml><?xml version="1.0" encoding="utf-8"?>
<formControlPr xmlns="http://schemas.microsoft.com/office/spreadsheetml/2009/9/main" objectType="CheckBox" fmlaLink="$A$44" lockText="1" noThreeD="1"/>
</file>

<file path=xl/ctrlProps/ctrlProp2744.xml><?xml version="1.0" encoding="utf-8"?>
<formControlPr xmlns="http://schemas.microsoft.com/office/spreadsheetml/2009/9/main" objectType="CheckBox" fmlaLink="$A$45" lockText="1" noThreeD="1"/>
</file>

<file path=xl/ctrlProps/ctrlProp2745.xml><?xml version="1.0" encoding="utf-8"?>
<formControlPr xmlns="http://schemas.microsoft.com/office/spreadsheetml/2009/9/main" objectType="CheckBox" fmlaLink="$A$46" lockText="1" noThreeD="1"/>
</file>

<file path=xl/ctrlProps/ctrlProp2746.xml><?xml version="1.0" encoding="utf-8"?>
<formControlPr xmlns="http://schemas.microsoft.com/office/spreadsheetml/2009/9/main" objectType="CheckBox" fmlaLink="$A$47" lockText="1" noThreeD="1"/>
</file>

<file path=xl/ctrlProps/ctrlProp2747.xml><?xml version="1.0" encoding="utf-8"?>
<formControlPr xmlns="http://schemas.microsoft.com/office/spreadsheetml/2009/9/main" objectType="CheckBox" fmlaLink="$A$48" lockText="1" noThreeD="1"/>
</file>

<file path=xl/ctrlProps/ctrlProp2748.xml><?xml version="1.0" encoding="utf-8"?>
<formControlPr xmlns="http://schemas.microsoft.com/office/spreadsheetml/2009/9/main" objectType="CheckBox" fmlaLink="$A$49" lockText="1" noThreeD="1"/>
</file>

<file path=xl/ctrlProps/ctrlProp2749.xml><?xml version="1.0" encoding="utf-8"?>
<formControlPr xmlns="http://schemas.microsoft.com/office/spreadsheetml/2009/9/main" objectType="Button" lockText="1"/>
</file>

<file path=xl/ctrlProps/ctrlProp2750.xml><?xml version="1.0" encoding="utf-8"?>
<formControlPr xmlns="http://schemas.microsoft.com/office/spreadsheetml/2009/9/main" objectType="Button" lockText="1"/>
</file>

<file path=xl/ctrlProps/ctrlProp2751.xml><?xml version="1.0" encoding="utf-8"?>
<formControlPr xmlns="http://schemas.microsoft.com/office/spreadsheetml/2009/9/main" objectType="CheckBox" fmlaLink="$A$40" lockText="1" noThreeD="1"/>
</file>

<file path=xl/ctrlProps/ctrlProp2752.xml><?xml version="1.0" encoding="utf-8"?>
<formControlPr xmlns="http://schemas.microsoft.com/office/spreadsheetml/2009/9/main" objectType="Button" lockText="1"/>
</file>

<file path=xl/ctrlProps/ctrlProp2753.xml><?xml version="1.0" encoding="utf-8"?>
<formControlPr xmlns="http://schemas.microsoft.com/office/spreadsheetml/2009/9/main" objectType="Button" lockText="1"/>
</file>

<file path=xl/ctrlProps/ctrlProp2754.xml><?xml version="1.0" encoding="utf-8"?>
<formControlPr xmlns="http://schemas.microsoft.com/office/spreadsheetml/2009/9/main" objectType="Button" lockText="1"/>
</file>

<file path=xl/ctrlProps/ctrlProp2755.xml><?xml version="1.0" encoding="utf-8"?>
<formControlPr xmlns="http://schemas.microsoft.com/office/spreadsheetml/2009/9/main" objectType="Button" lockText="1"/>
</file>

<file path=xl/ctrlProps/ctrlProp2756.xml><?xml version="1.0" encoding="utf-8"?>
<formControlPr xmlns="http://schemas.microsoft.com/office/spreadsheetml/2009/9/main" objectType="CheckBox" fmlaLink="$A$49" lockText="1" noThreeD="1"/>
</file>

<file path=xl/ctrlProps/ctrlProp2757.xml><?xml version="1.0" encoding="utf-8"?>
<formControlPr xmlns="http://schemas.microsoft.com/office/spreadsheetml/2009/9/main" objectType="CheckBox" checked="Checked" fmlaLink="$A$28" lockText="1" noThreeD="1"/>
</file>

<file path=xl/ctrlProps/ctrlProp2758.xml><?xml version="1.0" encoding="utf-8"?>
<formControlPr xmlns="http://schemas.microsoft.com/office/spreadsheetml/2009/9/main" objectType="CheckBox" checked="Checked" fmlaLink="$A$29" lockText="1" noThreeD="1"/>
</file>

<file path=xl/ctrlProps/ctrlProp2759.xml><?xml version="1.0" encoding="utf-8"?>
<formControlPr xmlns="http://schemas.microsoft.com/office/spreadsheetml/2009/9/main" objectType="CheckBox" checked="Checked" fmlaLink="$A$30" lockText="1" noThreeD="1"/>
</file>

<file path=xl/ctrlProps/ctrlProp2760.xml><?xml version="1.0" encoding="utf-8"?>
<formControlPr xmlns="http://schemas.microsoft.com/office/spreadsheetml/2009/9/main" objectType="CheckBox" checked="Checked" fmlaLink="$A$31" lockText="1" noThreeD="1"/>
</file>

<file path=xl/ctrlProps/ctrlProp2761.xml><?xml version="1.0" encoding="utf-8"?>
<formControlPr xmlns="http://schemas.microsoft.com/office/spreadsheetml/2009/9/main" objectType="CheckBox" checked="Checked" fmlaLink="$E$28" lockText="1" noThreeD="1"/>
</file>

<file path=xl/ctrlProps/ctrlProp2762.xml><?xml version="1.0" encoding="utf-8"?>
<formControlPr xmlns="http://schemas.microsoft.com/office/spreadsheetml/2009/9/main" objectType="CheckBox" checked="Checked" fmlaLink="$E$29" lockText="1" noThreeD="1"/>
</file>

<file path=xl/ctrlProps/ctrlProp2763.xml><?xml version="1.0" encoding="utf-8"?>
<formControlPr xmlns="http://schemas.microsoft.com/office/spreadsheetml/2009/9/main" objectType="CheckBox" checked="Checked" fmlaLink="$E$30" lockText="1" noThreeD="1"/>
</file>

<file path=xl/ctrlProps/ctrlProp2764.xml><?xml version="1.0" encoding="utf-8"?>
<formControlPr xmlns="http://schemas.microsoft.com/office/spreadsheetml/2009/9/main" objectType="CheckBox" checked="Checked" fmlaLink="$A$33" lockText="1" noThreeD="1"/>
</file>

<file path=xl/ctrlProps/ctrlProp2765.xml><?xml version="1.0" encoding="utf-8"?>
<formControlPr xmlns="http://schemas.microsoft.com/office/spreadsheetml/2009/9/main" objectType="CheckBox" checked="Checked" fmlaLink="$A$34" lockText="1" noThreeD="1"/>
</file>

<file path=xl/ctrlProps/ctrlProp2766.xml><?xml version="1.0" encoding="utf-8"?>
<formControlPr xmlns="http://schemas.microsoft.com/office/spreadsheetml/2009/9/main" objectType="CheckBox" checked="Checked" fmlaLink="$A$35" lockText="1" noThreeD="1"/>
</file>

<file path=xl/ctrlProps/ctrlProp2767.xml><?xml version="1.0" encoding="utf-8"?>
<formControlPr xmlns="http://schemas.microsoft.com/office/spreadsheetml/2009/9/main" objectType="CheckBox" checked="Checked" fmlaLink="$A$36" lockText="1" noThreeD="1"/>
</file>

<file path=xl/ctrlProps/ctrlProp2768.xml><?xml version="1.0" encoding="utf-8"?>
<formControlPr xmlns="http://schemas.microsoft.com/office/spreadsheetml/2009/9/main" objectType="CheckBox" fmlaLink="$A$37" lockText="1" noThreeD="1"/>
</file>

<file path=xl/ctrlProps/ctrlProp2769.xml><?xml version="1.0" encoding="utf-8"?>
<formControlPr xmlns="http://schemas.microsoft.com/office/spreadsheetml/2009/9/main" objectType="Button" lockText="1"/>
</file>

<file path=xl/ctrlProps/ctrlProp2770.xml><?xml version="1.0" encoding="utf-8"?>
<formControlPr xmlns="http://schemas.microsoft.com/office/spreadsheetml/2009/9/main" objectType="Button" lockText="1"/>
</file>

<file path=xl/ctrlProps/ctrlProp2771.xml><?xml version="1.0" encoding="utf-8"?>
<formControlPr xmlns="http://schemas.microsoft.com/office/spreadsheetml/2009/9/main" objectType="CheckBox" checked="Checked" fmlaLink="$D$33" lockText="1" noThreeD="1"/>
</file>

<file path=xl/ctrlProps/ctrlProp2772.xml><?xml version="1.0" encoding="utf-8"?>
<formControlPr xmlns="http://schemas.microsoft.com/office/spreadsheetml/2009/9/main" objectType="CheckBox" checked="Checked" lockText="1" noThreeD="1"/>
</file>

<file path=xl/ctrlProps/ctrlProp2773.xml><?xml version="1.0" encoding="utf-8"?>
<formControlPr xmlns="http://schemas.microsoft.com/office/spreadsheetml/2009/9/main" objectType="CheckBox" checked="Checked" lockText="1" noThreeD="1"/>
</file>

<file path=xl/ctrlProps/ctrlProp2774.xml><?xml version="1.0" encoding="utf-8"?>
<formControlPr xmlns="http://schemas.microsoft.com/office/spreadsheetml/2009/9/main" objectType="CheckBox" checked="Checked" lockText="1" noThreeD="1"/>
</file>

<file path=xl/ctrlProps/ctrlProp2775.xml><?xml version="1.0" encoding="utf-8"?>
<formControlPr xmlns="http://schemas.microsoft.com/office/spreadsheetml/2009/9/main" objectType="CheckBox" checked="Checked" lockText="1" noThreeD="1"/>
</file>

<file path=xl/ctrlProps/ctrlProp2776.xml><?xml version="1.0" encoding="utf-8"?>
<formControlPr xmlns="http://schemas.microsoft.com/office/spreadsheetml/2009/9/main" objectType="CheckBox" lockText="1" noThreeD="1"/>
</file>

<file path=xl/ctrlProps/ctrlProp2777.xml><?xml version="1.0" encoding="utf-8"?>
<formControlPr xmlns="http://schemas.microsoft.com/office/spreadsheetml/2009/9/main" objectType="CheckBox" checked="Checked" lockText="1" noThreeD="1"/>
</file>

<file path=xl/ctrlProps/ctrlProp2778.xml><?xml version="1.0" encoding="utf-8"?>
<formControlPr xmlns="http://schemas.microsoft.com/office/spreadsheetml/2009/9/main" objectType="CheckBox" lockText="1" noThreeD="1"/>
</file>

<file path=xl/ctrlProps/ctrlProp2779.xml><?xml version="1.0" encoding="utf-8"?>
<formControlPr xmlns="http://schemas.microsoft.com/office/spreadsheetml/2009/9/main" objectType="CheckBox" fmlaLink="$A$43" lockText="1" noThreeD="1"/>
</file>

<file path=xl/ctrlProps/ctrlProp2780.xml><?xml version="1.0" encoding="utf-8"?>
<formControlPr xmlns="http://schemas.microsoft.com/office/spreadsheetml/2009/9/main" objectType="CheckBox" fmlaLink="$A$44" lockText="1" noThreeD="1"/>
</file>

<file path=xl/ctrlProps/ctrlProp2781.xml><?xml version="1.0" encoding="utf-8"?>
<formControlPr xmlns="http://schemas.microsoft.com/office/spreadsheetml/2009/9/main" objectType="CheckBox" fmlaLink="$A$45" lockText="1" noThreeD="1"/>
</file>

<file path=xl/ctrlProps/ctrlProp2782.xml><?xml version="1.0" encoding="utf-8"?>
<formControlPr xmlns="http://schemas.microsoft.com/office/spreadsheetml/2009/9/main" objectType="CheckBox" fmlaLink="$A$46" lockText="1" noThreeD="1"/>
</file>

<file path=xl/ctrlProps/ctrlProp2783.xml><?xml version="1.0" encoding="utf-8"?>
<formControlPr xmlns="http://schemas.microsoft.com/office/spreadsheetml/2009/9/main" objectType="CheckBox" fmlaLink="$A$47" lockText="1" noThreeD="1"/>
</file>

<file path=xl/ctrlProps/ctrlProp2784.xml><?xml version="1.0" encoding="utf-8"?>
<formControlPr xmlns="http://schemas.microsoft.com/office/spreadsheetml/2009/9/main" objectType="CheckBox" fmlaLink="$A$48" lockText="1" noThreeD="1"/>
</file>

<file path=xl/ctrlProps/ctrlProp2785.xml><?xml version="1.0" encoding="utf-8"?>
<formControlPr xmlns="http://schemas.microsoft.com/office/spreadsheetml/2009/9/main" objectType="CheckBox" fmlaLink="$A$49" lockText="1" noThreeD="1"/>
</file>

<file path=xl/ctrlProps/ctrlProp2786.xml><?xml version="1.0" encoding="utf-8"?>
<formControlPr xmlns="http://schemas.microsoft.com/office/spreadsheetml/2009/9/main" objectType="Button" lockText="1"/>
</file>

<file path=xl/ctrlProps/ctrlProp2787.xml><?xml version="1.0" encoding="utf-8"?>
<formControlPr xmlns="http://schemas.microsoft.com/office/spreadsheetml/2009/9/main" objectType="Button" lockText="1"/>
</file>

<file path=xl/ctrlProps/ctrlProp2788.xml><?xml version="1.0" encoding="utf-8"?>
<formControlPr xmlns="http://schemas.microsoft.com/office/spreadsheetml/2009/9/main" objectType="CheckBox" fmlaLink="$A$40" lockText="1" noThreeD="1"/>
</file>

<file path=xl/ctrlProps/ctrlProp2789.xml><?xml version="1.0" encoding="utf-8"?>
<formControlPr xmlns="http://schemas.microsoft.com/office/spreadsheetml/2009/9/main" objectType="Button" lockText="1"/>
</file>

<file path=xl/ctrlProps/ctrlProp2790.xml><?xml version="1.0" encoding="utf-8"?>
<formControlPr xmlns="http://schemas.microsoft.com/office/spreadsheetml/2009/9/main" objectType="Button" lockText="1"/>
</file>

<file path=xl/ctrlProps/ctrlProp2791.xml><?xml version="1.0" encoding="utf-8"?>
<formControlPr xmlns="http://schemas.microsoft.com/office/spreadsheetml/2009/9/main" objectType="Button" lockText="1"/>
</file>

<file path=xl/ctrlProps/ctrlProp2792.xml><?xml version="1.0" encoding="utf-8"?>
<formControlPr xmlns="http://schemas.microsoft.com/office/spreadsheetml/2009/9/main" objectType="Button" lockText="1"/>
</file>

<file path=xl/ctrlProps/ctrlProp2793.xml><?xml version="1.0" encoding="utf-8"?>
<formControlPr xmlns="http://schemas.microsoft.com/office/spreadsheetml/2009/9/main" objectType="CheckBox" fmlaLink="$A$49" lockText="1" noThreeD="1"/>
</file>

<file path=xl/ctrlProps/ctrlProp2794.xml><?xml version="1.0" encoding="utf-8"?>
<formControlPr xmlns="http://schemas.microsoft.com/office/spreadsheetml/2009/9/main" objectType="CheckBox" checked="Checked" fmlaLink="$A$28" lockText="1" noThreeD="1"/>
</file>

<file path=xl/ctrlProps/ctrlProp2795.xml><?xml version="1.0" encoding="utf-8"?>
<formControlPr xmlns="http://schemas.microsoft.com/office/spreadsheetml/2009/9/main" objectType="CheckBox" checked="Checked" fmlaLink="$A$29" lockText="1" noThreeD="1"/>
</file>

<file path=xl/ctrlProps/ctrlProp2796.xml><?xml version="1.0" encoding="utf-8"?>
<formControlPr xmlns="http://schemas.microsoft.com/office/spreadsheetml/2009/9/main" objectType="CheckBox" checked="Checked" fmlaLink="$A$30" lockText="1" noThreeD="1"/>
</file>

<file path=xl/ctrlProps/ctrlProp2797.xml><?xml version="1.0" encoding="utf-8"?>
<formControlPr xmlns="http://schemas.microsoft.com/office/spreadsheetml/2009/9/main" objectType="CheckBox" checked="Checked" fmlaLink="$A$31" lockText="1" noThreeD="1"/>
</file>

<file path=xl/ctrlProps/ctrlProp2798.xml><?xml version="1.0" encoding="utf-8"?>
<formControlPr xmlns="http://schemas.microsoft.com/office/spreadsheetml/2009/9/main" objectType="CheckBox" checked="Checked" fmlaLink="$E$28" lockText="1" noThreeD="1"/>
</file>

<file path=xl/ctrlProps/ctrlProp2799.xml><?xml version="1.0" encoding="utf-8"?>
<formControlPr xmlns="http://schemas.microsoft.com/office/spreadsheetml/2009/9/main" objectType="CheckBox" fmlaLink="$E$29" lockText="1" noThreeD="1"/>
</file>

<file path=xl/ctrlProps/ctrlProp2800.xml><?xml version="1.0" encoding="utf-8"?>
<formControlPr xmlns="http://schemas.microsoft.com/office/spreadsheetml/2009/9/main" objectType="CheckBox" fmlaLink="$E$30" lockText="1" noThreeD="1"/>
</file>

<file path=xl/ctrlProps/ctrlProp2801.xml><?xml version="1.0" encoding="utf-8"?>
<formControlPr xmlns="http://schemas.microsoft.com/office/spreadsheetml/2009/9/main" objectType="CheckBox" checked="Checked" fmlaLink="$A$33" lockText="1" noThreeD="1"/>
</file>

<file path=xl/ctrlProps/ctrlProp2802.xml><?xml version="1.0" encoding="utf-8"?>
<formControlPr xmlns="http://schemas.microsoft.com/office/spreadsheetml/2009/9/main" objectType="CheckBox" checked="Checked" fmlaLink="$A$34" lockText="1" noThreeD="1"/>
</file>

<file path=xl/ctrlProps/ctrlProp2803.xml><?xml version="1.0" encoding="utf-8"?>
<formControlPr xmlns="http://schemas.microsoft.com/office/spreadsheetml/2009/9/main" objectType="CheckBox" checked="Checked" fmlaLink="$A$35" lockText="1" noThreeD="1"/>
</file>

<file path=xl/ctrlProps/ctrlProp2804.xml><?xml version="1.0" encoding="utf-8"?>
<formControlPr xmlns="http://schemas.microsoft.com/office/spreadsheetml/2009/9/main" objectType="CheckBox" checked="Checked" fmlaLink="$A$36" lockText="1" noThreeD="1"/>
</file>

<file path=xl/ctrlProps/ctrlProp2805.xml><?xml version="1.0" encoding="utf-8"?>
<formControlPr xmlns="http://schemas.microsoft.com/office/spreadsheetml/2009/9/main" objectType="CheckBox" fmlaLink="$A$37" lockText="1" noThreeD="1"/>
</file>

<file path=xl/ctrlProps/ctrlProp2806.xml><?xml version="1.0" encoding="utf-8"?>
<formControlPr xmlns="http://schemas.microsoft.com/office/spreadsheetml/2009/9/main" objectType="Button" lockText="1"/>
</file>

<file path=xl/ctrlProps/ctrlProp2807.xml><?xml version="1.0" encoding="utf-8"?>
<formControlPr xmlns="http://schemas.microsoft.com/office/spreadsheetml/2009/9/main" objectType="Button" lockText="1"/>
</file>

<file path=xl/ctrlProps/ctrlProp2808.xml><?xml version="1.0" encoding="utf-8"?>
<formControlPr xmlns="http://schemas.microsoft.com/office/spreadsheetml/2009/9/main" objectType="CheckBox" checked="Checked" fmlaLink="$D$33" lockText="1" noThreeD="1"/>
</file>

<file path=xl/ctrlProps/ctrlProp2809.xml><?xml version="1.0" encoding="utf-8"?>
<formControlPr xmlns="http://schemas.microsoft.com/office/spreadsheetml/2009/9/main" objectType="CheckBox" checked="Checked" lockText="1" noThreeD="1"/>
</file>

<file path=xl/ctrlProps/ctrlProp2810.xml><?xml version="1.0" encoding="utf-8"?>
<formControlPr xmlns="http://schemas.microsoft.com/office/spreadsheetml/2009/9/main" objectType="CheckBox" checked="Checked" lockText="1" noThreeD="1"/>
</file>

<file path=xl/ctrlProps/ctrlProp2811.xml><?xml version="1.0" encoding="utf-8"?>
<formControlPr xmlns="http://schemas.microsoft.com/office/spreadsheetml/2009/9/main" objectType="CheckBox" checked="Checked" lockText="1" noThreeD="1"/>
</file>

<file path=xl/ctrlProps/ctrlProp2812.xml><?xml version="1.0" encoding="utf-8"?>
<formControlPr xmlns="http://schemas.microsoft.com/office/spreadsheetml/2009/9/main" objectType="CheckBox" checked="Checked" lockText="1" noThreeD="1"/>
</file>

<file path=xl/ctrlProps/ctrlProp2813.xml><?xml version="1.0" encoding="utf-8"?>
<formControlPr xmlns="http://schemas.microsoft.com/office/spreadsheetml/2009/9/main" objectType="CheckBox" checked="Checked" lockText="1" noThreeD="1"/>
</file>

<file path=xl/ctrlProps/ctrlProp2814.xml><?xml version="1.0" encoding="utf-8"?>
<formControlPr xmlns="http://schemas.microsoft.com/office/spreadsheetml/2009/9/main" objectType="CheckBox" checked="Checked" lockText="1" noThreeD="1"/>
</file>

<file path=xl/ctrlProps/ctrlProp2815.xml><?xml version="1.0" encoding="utf-8"?>
<formControlPr xmlns="http://schemas.microsoft.com/office/spreadsheetml/2009/9/main" objectType="CheckBox" checked="Checked" lockText="1" noThreeD="1"/>
</file>

<file path=xl/ctrlProps/ctrlProp2816.xml><?xml version="1.0" encoding="utf-8"?>
<formControlPr xmlns="http://schemas.microsoft.com/office/spreadsheetml/2009/9/main" objectType="CheckBox" fmlaLink="$A$43" lockText="1" noThreeD="1"/>
</file>

<file path=xl/ctrlProps/ctrlProp2817.xml><?xml version="1.0" encoding="utf-8"?>
<formControlPr xmlns="http://schemas.microsoft.com/office/spreadsheetml/2009/9/main" objectType="CheckBox" fmlaLink="$A$44" lockText="1" noThreeD="1"/>
</file>

<file path=xl/ctrlProps/ctrlProp2818.xml><?xml version="1.0" encoding="utf-8"?>
<formControlPr xmlns="http://schemas.microsoft.com/office/spreadsheetml/2009/9/main" objectType="CheckBox" fmlaLink="$A$45" lockText="1" noThreeD="1"/>
</file>

<file path=xl/ctrlProps/ctrlProp2819.xml><?xml version="1.0" encoding="utf-8"?>
<formControlPr xmlns="http://schemas.microsoft.com/office/spreadsheetml/2009/9/main" objectType="CheckBox" fmlaLink="$A$46" lockText="1" noThreeD="1"/>
</file>

<file path=xl/ctrlProps/ctrlProp2820.xml><?xml version="1.0" encoding="utf-8"?>
<formControlPr xmlns="http://schemas.microsoft.com/office/spreadsheetml/2009/9/main" objectType="CheckBox" fmlaLink="$A$47" lockText="1" noThreeD="1"/>
</file>

<file path=xl/ctrlProps/ctrlProp2821.xml><?xml version="1.0" encoding="utf-8"?>
<formControlPr xmlns="http://schemas.microsoft.com/office/spreadsheetml/2009/9/main" objectType="CheckBox" fmlaLink="$A$48" lockText="1" noThreeD="1"/>
</file>

<file path=xl/ctrlProps/ctrlProp2822.xml><?xml version="1.0" encoding="utf-8"?>
<formControlPr xmlns="http://schemas.microsoft.com/office/spreadsheetml/2009/9/main" objectType="CheckBox" fmlaLink="$A$49" lockText="1" noThreeD="1"/>
</file>

<file path=xl/ctrlProps/ctrlProp2823.xml><?xml version="1.0" encoding="utf-8"?>
<formControlPr xmlns="http://schemas.microsoft.com/office/spreadsheetml/2009/9/main" objectType="Button" lockText="1"/>
</file>

<file path=xl/ctrlProps/ctrlProp2824.xml><?xml version="1.0" encoding="utf-8"?>
<formControlPr xmlns="http://schemas.microsoft.com/office/spreadsheetml/2009/9/main" objectType="Button" lockText="1"/>
</file>

<file path=xl/ctrlProps/ctrlProp2825.xml><?xml version="1.0" encoding="utf-8"?>
<formControlPr xmlns="http://schemas.microsoft.com/office/spreadsheetml/2009/9/main" objectType="CheckBox" fmlaLink="$A$40" lockText="1" noThreeD="1"/>
</file>

<file path=xl/ctrlProps/ctrlProp2826.xml><?xml version="1.0" encoding="utf-8"?>
<formControlPr xmlns="http://schemas.microsoft.com/office/spreadsheetml/2009/9/main" objectType="Button" lockText="1"/>
</file>

<file path=xl/ctrlProps/ctrlProp2827.xml><?xml version="1.0" encoding="utf-8"?>
<formControlPr xmlns="http://schemas.microsoft.com/office/spreadsheetml/2009/9/main" objectType="Button" lockText="1"/>
</file>

<file path=xl/ctrlProps/ctrlProp2828.xml><?xml version="1.0" encoding="utf-8"?>
<formControlPr xmlns="http://schemas.microsoft.com/office/spreadsheetml/2009/9/main" objectType="Button" lockText="1"/>
</file>

<file path=xl/ctrlProps/ctrlProp2829.xml><?xml version="1.0" encoding="utf-8"?>
<formControlPr xmlns="http://schemas.microsoft.com/office/spreadsheetml/2009/9/main" objectType="Button" lockText="1"/>
</file>

<file path=xl/ctrlProps/ctrlProp2830.xml><?xml version="1.0" encoding="utf-8"?>
<formControlPr xmlns="http://schemas.microsoft.com/office/spreadsheetml/2009/9/main" objectType="CheckBox" fmlaLink="$A$49" lockText="1" noThreeD="1"/>
</file>

<file path=xl/ctrlProps/ctrlProp2831.xml><?xml version="1.0" encoding="utf-8"?>
<formControlPr xmlns="http://schemas.microsoft.com/office/spreadsheetml/2009/9/main" objectType="CheckBox" checked="Checked" fmlaLink="$A$28" lockText="1" noThreeD="1"/>
</file>

<file path=xl/ctrlProps/ctrlProp2832.xml><?xml version="1.0" encoding="utf-8"?>
<formControlPr xmlns="http://schemas.microsoft.com/office/spreadsheetml/2009/9/main" objectType="CheckBox" checked="Checked" fmlaLink="$A$29" lockText="1" noThreeD="1"/>
</file>

<file path=xl/ctrlProps/ctrlProp2833.xml><?xml version="1.0" encoding="utf-8"?>
<formControlPr xmlns="http://schemas.microsoft.com/office/spreadsheetml/2009/9/main" objectType="CheckBox" checked="Checked" fmlaLink="$A$30" lockText="1" noThreeD="1"/>
</file>

<file path=xl/ctrlProps/ctrlProp2834.xml><?xml version="1.0" encoding="utf-8"?>
<formControlPr xmlns="http://schemas.microsoft.com/office/spreadsheetml/2009/9/main" objectType="CheckBox" checked="Checked" fmlaLink="$A$31" lockText="1" noThreeD="1"/>
</file>

<file path=xl/ctrlProps/ctrlProp2835.xml><?xml version="1.0" encoding="utf-8"?>
<formControlPr xmlns="http://schemas.microsoft.com/office/spreadsheetml/2009/9/main" objectType="CheckBox" fmlaLink="$E$28" lockText="1" noThreeD="1"/>
</file>

<file path=xl/ctrlProps/ctrlProp2836.xml><?xml version="1.0" encoding="utf-8"?>
<formControlPr xmlns="http://schemas.microsoft.com/office/spreadsheetml/2009/9/main" objectType="CheckBox" checked="Checked" fmlaLink="$E$29" lockText="1" noThreeD="1"/>
</file>

<file path=xl/ctrlProps/ctrlProp2837.xml><?xml version="1.0" encoding="utf-8"?>
<formControlPr xmlns="http://schemas.microsoft.com/office/spreadsheetml/2009/9/main" objectType="CheckBox" checked="Checked" fmlaLink="$E$30" lockText="1" noThreeD="1"/>
</file>

<file path=xl/ctrlProps/ctrlProp2838.xml><?xml version="1.0" encoding="utf-8"?>
<formControlPr xmlns="http://schemas.microsoft.com/office/spreadsheetml/2009/9/main" objectType="CheckBox" checked="Checked" fmlaLink="$A$33" lockText="1" noThreeD="1"/>
</file>

<file path=xl/ctrlProps/ctrlProp2839.xml><?xml version="1.0" encoding="utf-8"?>
<formControlPr xmlns="http://schemas.microsoft.com/office/spreadsheetml/2009/9/main" objectType="CheckBox" checked="Checked" fmlaLink="$A$34" lockText="1" noThreeD="1"/>
</file>

<file path=xl/ctrlProps/ctrlProp2840.xml><?xml version="1.0" encoding="utf-8"?>
<formControlPr xmlns="http://schemas.microsoft.com/office/spreadsheetml/2009/9/main" objectType="CheckBox" fmlaLink="$A$35" lockText="1" noThreeD="1"/>
</file>

<file path=xl/ctrlProps/ctrlProp2841.xml><?xml version="1.0" encoding="utf-8"?>
<formControlPr xmlns="http://schemas.microsoft.com/office/spreadsheetml/2009/9/main" objectType="CheckBox" checked="Checked" fmlaLink="$A$36" lockText="1" noThreeD="1"/>
</file>

<file path=xl/ctrlProps/ctrlProp2842.xml><?xml version="1.0" encoding="utf-8"?>
<formControlPr xmlns="http://schemas.microsoft.com/office/spreadsheetml/2009/9/main" objectType="CheckBox" fmlaLink="$A$37" lockText="1" noThreeD="1"/>
</file>

<file path=xl/ctrlProps/ctrlProp2843.xml><?xml version="1.0" encoding="utf-8"?>
<formControlPr xmlns="http://schemas.microsoft.com/office/spreadsheetml/2009/9/main" objectType="Button" lockText="1"/>
</file>

<file path=xl/ctrlProps/ctrlProp2844.xml><?xml version="1.0" encoding="utf-8"?>
<formControlPr xmlns="http://schemas.microsoft.com/office/spreadsheetml/2009/9/main" objectType="Button" lockText="1"/>
</file>

<file path=xl/ctrlProps/ctrlProp2845.xml><?xml version="1.0" encoding="utf-8"?>
<formControlPr xmlns="http://schemas.microsoft.com/office/spreadsheetml/2009/9/main" objectType="CheckBox" checked="Checked" fmlaLink="$D$33" lockText="1" noThreeD="1"/>
</file>

<file path=xl/ctrlProps/ctrlProp2846.xml><?xml version="1.0" encoding="utf-8"?>
<formControlPr xmlns="http://schemas.microsoft.com/office/spreadsheetml/2009/9/main" objectType="CheckBox" checked="Checked" lockText="1" noThreeD="1"/>
</file>

<file path=xl/ctrlProps/ctrlProp2847.xml><?xml version="1.0" encoding="utf-8"?>
<formControlPr xmlns="http://schemas.microsoft.com/office/spreadsheetml/2009/9/main" objectType="CheckBox" lockText="1" noThreeD="1"/>
</file>

<file path=xl/ctrlProps/ctrlProp2848.xml><?xml version="1.0" encoding="utf-8"?>
<formControlPr xmlns="http://schemas.microsoft.com/office/spreadsheetml/2009/9/main" objectType="CheckBox" checked="Checked" lockText="1" noThreeD="1"/>
</file>

<file path=xl/ctrlProps/ctrlProp2849.xml><?xml version="1.0" encoding="utf-8"?>
<formControlPr xmlns="http://schemas.microsoft.com/office/spreadsheetml/2009/9/main" objectType="CheckBox" checked="Checked" lockText="1" noThreeD="1"/>
</file>

<file path=xl/ctrlProps/ctrlProp2850.xml><?xml version="1.0" encoding="utf-8"?>
<formControlPr xmlns="http://schemas.microsoft.com/office/spreadsheetml/2009/9/main" objectType="CheckBox" checked="Checked" lockText="1" noThreeD="1"/>
</file>

<file path=xl/ctrlProps/ctrlProp2851.xml><?xml version="1.0" encoding="utf-8"?>
<formControlPr xmlns="http://schemas.microsoft.com/office/spreadsheetml/2009/9/main" objectType="CheckBox" checked="Checked" lockText="1" noThreeD="1"/>
</file>

<file path=xl/ctrlProps/ctrlProp2852.xml><?xml version="1.0" encoding="utf-8"?>
<formControlPr xmlns="http://schemas.microsoft.com/office/spreadsheetml/2009/9/main" objectType="CheckBox" checked="Checked" lockText="1" noThreeD="1"/>
</file>

<file path=xl/ctrlProps/ctrlProp2853.xml><?xml version="1.0" encoding="utf-8"?>
<formControlPr xmlns="http://schemas.microsoft.com/office/spreadsheetml/2009/9/main" objectType="CheckBox" fmlaLink="$A$43" lockText="1" noThreeD="1"/>
</file>

<file path=xl/ctrlProps/ctrlProp2854.xml><?xml version="1.0" encoding="utf-8"?>
<formControlPr xmlns="http://schemas.microsoft.com/office/spreadsheetml/2009/9/main" objectType="CheckBox" fmlaLink="$A$44" lockText="1" noThreeD="1"/>
</file>

<file path=xl/ctrlProps/ctrlProp2855.xml><?xml version="1.0" encoding="utf-8"?>
<formControlPr xmlns="http://schemas.microsoft.com/office/spreadsheetml/2009/9/main" objectType="CheckBox" fmlaLink="$A$45" lockText="1" noThreeD="1"/>
</file>

<file path=xl/ctrlProps/ctrlProp2856.xml><?xml version="1.0" encoding="utf-8"?>
<formControlPr xmlns="http://schemas.microsoft.com/office/spreadsheetml/2009/9/main" objectType="CheckBox" fmlaLink="$A$46" lockText="1" noThreeD="1"/>
</file>

<file path=xl/ctrlProps/ctrlProp2857.xml><?xml version="1.0" encoding="utf-8"?>
<formControlPr xmlns="http://schemas.microsoft.com/office/spreadsheetml/2009/9/main" objectType="CheckBox" fmlaLink="$A$47" lockText="1" noThreeD="1"/>
</file>

<file path=xl/ctrlProps/ctrlProp2858.xml><?xml version="1.0" encoding="utf-8"?>
<formControlPr xmlns="http://schemas.microsoft.com/office/spreadsheetml/2009/9/main" objectType="CheckBox" fmlaLink="$A$48" lockText="1" noThreeD="1"/>
</file>

<file path=xl/ctrlProps/ctrlProp2859.xml><?xml version="1.0" encoding="utf-8"?>
<formControlPr xmlns="http://schemas.microsoft.com/office/spreadsheetml/2009/9/main" objectType="CheckBox" fmlaLink="$A$49" lockText="1" noThreeD="1"/>
</file>

<file path=xl/ctrlProps/ctrlProp2860.xml><?xml version="1.0" encoding="utf-8"?>
<formControlPr xmlns="http://schemas.microsoft.com/office/spreadsheetml/2009/9/main" objectType="Button" lockText="1"/>
</file>

<file path=xl/ctrlProps/ctrlProp2861.xml><?xml version="1.0" encoding="utf-8"?>
<formControlPr xmlns="http://schemas.microsoft.com/office/spreadsheetml/2009/9/main" objectType="Button" lockText="1"/>
</file>

<file path=xl/ctrlProps/ctrlProp2862.xml><?xml version="1.0" encoding="utf-8"?>
<formControlPr xmlns="http://schemas.microsoft.com/office/spreadsheetml/2009/9/main" objectType="CheckBox" checked="Checked" fmlaLink="$A$40" lockText="1" noThreeD="1"/>
</file>

<file path=xl/ctrlProps/ctrlProp2863.xml><?xml version="1.0" encoding="utf-8"?>
<formControlPr xmlns="http://schemas.microsoft.com/office/spreadsheetml/2009/9/main" objectType="Button" lockText="1"/>
</file>

<file path=xl/ctrlProps/ctrlProp2864.xml><?xml version="1.0" encoding="utf-8"?>
<formControlPr xmlns="http://schemas.microsoft.com/office/spreadsheetml/2009/9/main" objectType="Button" lockText="1"/>
</file>

<file path=xl/ctrlProps/ctrlProp2865.xml><?xml version="1.0" encoding="utf-8"?>
<formControlPr xmlns="http://schemas.microsoft.com/office/spreadsheetml/2009/9/main" objectType="Button" lockText="1"/>
</file>

<file path=xl/ctrlProps/ctrlProp2866.xml><?xml version="1.0" encoding="utf-8"?>
<formControlPr xmlns="http://schemas.microsoft.com/office/spreadsheetml/2009/9/main" objectType="Button" lockText="1"/>
</file>

<file path=xl/ctrlProps/ctrlProp2867.xml><?xml version="1.0" encoding="utf-8"?>
<formControlPr xmlns="http://schemas.microsoft.com/office/spreadsheetml/2009/9/main" objectType="CheckBox" fmlaLink="$A$49" lockText="1" noThreeD="1"/>
</file>

<file path=xl/ctrlProps/ctrlProp2868.xml><?xml version="1.0" encoding="utf-8"?>
<formControlPr xmlns="http://schemas.microsoft.com/office/spreadsheetml/2009/9/main" objectType="CheckBox" checked="Checked" fmlaLink="$A$28" lockText="1" noThreeD="1"/>
</file>

<file path=xl/ctrlProps/ctrlProp2869.xml><?xml version="1.0" encoding="utf-8"?>
<formControlPr xmlns="http://schemas.microsoft.com/office/spreadsheetml/2009/9/main" objectType="CheckBox" checked="Checked" fmlaLink="$A$29" lockText="1" noThreeD="1"/>
</file>

<file path=xl/ctrlProps/ctrlProp2870.xml><?xml version="1.0" encoding="utf-8"?>
<formControlPr xmlns="http://schemas.microsoft.com/office/spreadsheetml/2009/9/main" objectType="CheckBox" checked="Checked" fmlaLink="$A$30" lockText="1" noThreeD="1"/>
</file>

<file path=xl/ctrlProps/ctrlProp2871.xml><?xml version="1.0" encoding="utf-8"?>
<formControlPr xmlns="http://schemas.microsoft.com/office/spreadsheetml/2009/9/main" objectType="CheckBox" checked="Checked" fmlaLink="$A$31" lockText="1" noThreeD="1"/>
</file>

<file path=xl/ctrlProps/ctrlProp2872.xml><?xml version="1.0" encoding="utf-8"?>
<formControlPr xmlns="http://schemas.microsoft.com/office/spreadsheetml/2009/9/main" objectType="CheckBox" fmlaLink="$E$28" lockText="1" noThreeD="1"/>
</file>

<file path=xl/ctrlProps/ctrlProp2873.xml><?xml version="1.0" encoding="utf-8"?>
<formControlPr xmlns="http://schemas.microsoft.com/office/spreadsheetml/2009/9/main" objectType="CheckBox" checked="Checked" fmlaLink="$E$29" lockText="1" noThreeD="1"/>
</file>

<file path=xl/ctrlProps/ctrlProp2874.xml><?xml version="1.0" encoding="utf-8"?>
<formControlPr xmlns="http://schemas.microsoft.com/office/spreadsheetml/2009/9/main" objectType="CheckBox" checked="Checked" fmlaLink="$E$30" lockText="1" noThreeD="1"/>
</file>

<file path=xl/ctrlProps/ctrlProp2875.xml><?xml version="1.0" encoding="utf-8"?>
<formControlPr xmlns="http://schemas.microsoft.com/office/spreadsheetml/2009/9/main" objectType="CheckBox" checked="Checked" fmlaLink="$A$33" lockText="1" noThreeD="1"/>
</file>

<file path=xl/ctrlProps/ctrlProp2876.xml><?xml version="1.0" encoding="utf-8"?>
<formControlPr xmlns="http://schemas.microsoft.com/office/spreadsheetml/2009/9/main" objectType="CheckBox" checked="Checked" fmlaLink="$A$34" lockText="1" noThreeD="1"/>
</file>

<file path=xl/ctrlProps/ctrlProp2877.xml><?xml version="1.0" encoding="utf-8"?>
<formControlPr xmlns="http://schemas.microsoft.com/office/spreadsheetml/2009/9/main" objectType="CheckBox" checked="Checked" fmlaLink="$A$35" lockText="1" noThreeD="1"/>
</file>

<file path=xl/ctrlProps/ctrlProp2878.xml><?xml version="1.0" encoding="utf-8"?>
<formControlPr xmlns="http://schemas.microsoft.com/office/spreadsheetml/2009/9/main" objectType="CheckBox" checked="Checked" fmlaLink="$A$36" lockText="1" noThreeD="1"/>
</file>

<file path=xl/ctrlProps/ctrlProp2879.xml><?xml version="1.0" encoding="utf-8"?>
<formControlPr xmlns="http://schemas.microsoft.com/office/spreadsheetml/2009/9/main" objectType="CheckBox" fmlaLink="$A$37" lockText="1" noThreeD="1"/>
</file>

<file path=xl/ctrlProps/ctrlProp2880.xml><?xml version="1.0" encoding="utf-8"?>
<formControlPr xmlns="http://schemas.microsoft.com/office/spreadsheetml/2009/9/main" objectType="Button" lockText="1"/>
</file>

<file path=xl/ctrlProps/ctrlProp2881.xml><?xml version="1.0" encoding="utf-8"?>
<formControlPr xmlns="http://schemas.microsoft.com/office/spreadsheetml/2009/9/main" objectType="Button" lockText="1"/>
</file>

<file path=xl/ctrlProps/ctrlProp2882.xml><?xml version="1.0" encoding="utf-8"?>
<formControlPr xmlns="http://schemas.microsoft.com/office/spreadsheetml/2009/9/main" objectType="CheckBox" checked="Checked" fmlaLink="$D$33" lockText="1" noThreeD="1"/>
</file>

<file path=xl/ctrlProps/ctrlProp2883.xml><?xml version="1.0" encoding="utf-8"?>
<formControlPr xmlns="http://schemas.microsoft.com/office/spreadsheetml/2009/9/main" objectType="CheckBox" checked="Checked" lockText="1" noThreeD="1"/>
</file>

<file path=xl/ctrlProps/ctrlProp2884.xml><?xml version="1.0" encoding="utf-8"?>
<formControlPr xmlns="http://schemas.microsoft.com/office/spreadsheetml/2009/9/main" objectType="CheckBox" checked="Checked" lockText="1" noThreeD="1"/>
</file>

<file path=xl/ctrlProps/ctrlProp2885.xml><?xml version="1.0" encoding="utf-8"?>
<formControlPr xmlns="http://schemas.microsoft.com/office/spreadsheetml/2009/9/main" objectType="CheckBox" checked="Checked" lockText="1" noThreeD="1"/>
</file>

<file path=xl/ctrlProps/ctrlProp2886.xml><?xml version="1.0" encoding="utf-8"?>
<formControlPr xmlns="http://schemas.microsoft.com/office/spreadsheetml/2009/9/main" objectType="CheckBox" checked="Checked" lockText="1" noThreeD="1"/>
</file>

<file path=xl/ctrlProps/ctrlProp2887.xml><?xml version="1.0" encoding="utf-8"?>
<formControlPr xmlns="http://schemas.microsoft.com/office/spreadsheetml/2009/9/main" objectType="CheckBox" checked="Checked" lockText="1" noThreeD="1"/>
</file>

<file path=xl/ctrlProps/ctrlProp2888.xml><?xml version="1.0" encoding="utf-8"?>
<formControlPr xmlns="http://schemas.microsoft.com/office/spreadsheetml/2009/9/main" objectType="CheckBox" checked="Checked" lockText="1" noThreeD="1"/>
</file>

<file path=xl/ctrlProps/ctrlProp2889.xml><?xml version="1.0" encoding="utf-8"?>
<formControlPr xmlns="http://schemas.microsoft.com/office/spreadsheetml/2009/9/main" objectType="CheckBox" checked="Checked" lockText="1" noThreeD="1"/>
</file>

<file path=xl/ctrlProps/ctrlProp2890.xml><?xml version="1.0" encoding="utf-8"?>
<formControlPr xmlns="http://schemas.microsoft.com/office/spreadsheetml/2009/9/main" objectType="CheckBox" fmlaLink="$A$43" lockText="1" noThreeD="1"/>
</file>

<file path=xl/ctrlProps/ctrlProp2891.xml><?xml version="1.0" encoding="utf-8"?>
<formControlPr xmlns="http://schemas.microsoft.com/office/spreadsheetml/2009/9/main" objectType="CheckBox" fmlaLink="$A$44" lockText="1" noThreeD="1"/>
</file>

<file path=xl/ctrlProps/ctrlProp2892.xml><?xml version="1.0" encoding="utf-8"?>
<formControlPr xmlns="http://schemas.microsoft.com/office/spreadsheetml/2009/9/main" objectType="CheckBox" fmlaLink="$A$45" lockText="1" noThreeD="1"/>
</file>

<file path=xl/ctrlProps/ctrlProp2893.xml><?xml version="1.0" encoding="utf-8"?>
<formControlPr xmlns="http://schemas.microsoft.com/office/spreadsheetml/2009/9/main" objectType="CheckBox" fmlaLink="$A$46" lockText="1" noThreeD="1"/>
</file>

<file path=xl/ctrlProps/ctrlProp2894.xml><?xml version="1.0" encoding="utf-8"?>
<formControlPr xmlns="http://schemas.microsoft.com/office/spreadsheetml/2009/9/main" objectType="CheckBox" fmlaLink="$A$47" lockText="1" noThreeD="1"/>
</file>

<file path=xl/ctrlProps/ctrlProp2895.xml><?xml version="1.0" encoding="utf-8"?>
<formControlPr xmlns="http://schemas.microsoft.com/office/spreadsheetml/2009/9/main" objectType="CheckBox" fmlaLink="$A$48" lockText="1" noThreeD="1"/>
</file>

<file path=xl/ctrlProps/ctrlProp2896.xml><?xml version="1.0" encoding="utf-8"?>
<formControlPr xmlns="http://schemas.microsoft.com/office/spreadsheetml/2009/9/main" objectType="CheckBox" fmlaLink="$A$49" lockText="1" noThreeD="1"/>
</file>

<file path=xl/ctrlProps/ctrlProp2897.xml><?xml version="1.0" encoding="utf-8"?>
<formControlPr xmlns="http://schemas.microsoft.com/office/spreadsheetml/2009/9/main" objectType="Button" lockText="1"/>
</file>

<file path=xl/ctrlProps/ctrlProp2898.xml><?xml version="1.0" encoding="utf-8"?>
<formControlPr xmlns="http://schemas.microsoft.com/office/spreadsheetml/2009/9/main" objectType="Button" lockText="1"/>
</file>

<file path=xl/ctrlProps/ctrlProp2899.xml><?xml version="1.0" encoding="utf-8"?>
<formControlPr xmlns="http://schemas.microsoft.com/office/spreadsheetml/2009/9/main" objectType="CheckBox" fmlaLink="$A$40" lockText="1" noThreeD="1"/>
</file>

<file path=xl/ctrlProps/ctrlProp2900.xml><?xml version="1.0" encoding="utf-8"?>
<formControlPr xmlns="http://schemas.microsoft.com/office/spreadsheetml/2009/9/main" objectType="Button" lockText="1"/>
</file>

<file path=xl/ctrlProps/ctrlProp2901.xml><?xml version="1.0" encoding="utf-8"?>
<formControlPr xmlns="http://schemas.microsoft.com/office/spreadsheetml/2009/9/main" objectType="Button" lockText="1"/>
</file>

<file path=xl/ctrlProps/ctrlProp2902.xml><?xml version="1.0" encoding="utf-8"?>
<formControlPr xmlns="http://schemas.microsoft.com/office/spreadsheetml/2009/9/main" objectType="Button" lockText="1"/>
</file>

<file path=xl/ctrlProps/ctrlProp2903.xml><?xml version="1.0" encoding="utf-8"?>
<formControlPr xmlns="http://schemas.microsoft.com/office/spreadsheetml/2009/9/main" objectType="Button" lockText="1"/>
</file>

<file path=xl/ctrlProps/ctrlProp2904.xml><?xml version="1.0" encoding="utf-8"?>
<formControlPr xmlns="http://schemas.microsoft.com/office/spreadsheetml/2009/9/main" objectType="CheckBox" fmlaLink="$A$49" lockText="1" noThreeD="1"/>
</file>

<file path=xl/ctrlProps/ctrlProp2905.xml><?xml version="1.0" encoding="utf-8"?>
<formControlPr xmlns="http://schemas.microsoft.com/office/spreadsheetml/2009/9/main" objectType="CheckBox" checked="Checked" fmlaLink="$A$28" lockText="1" noThreeD="1"/>
</file>

<file path=xl/ctrlProps/ctrlProp2906.xml><?xml version="1.0" encoding="utf-8"?>
<formControlPr xmlns="http://schemas.microsoft.com/office/spreadsheetml/2009/9/main" objectType="CheckBox" checked="Checked" fmlaLink="$A$29" lockText="1" noThreeD="1"/>
</file>

<file path=xl/ctrlProps/ctrlProp2907.xml><?xml version="1.0" encoding="utf-8"?>
<formControlPr xmlns="http://schemas.microsoft.com/office/spreadsheetml/2009/9/main" objectType="CheckBox" checked="Checked" fmlaLink="$A$30" lockText="1" noThreeD="1"/>
</file>

<file path=xl/ctrlProps/ctrlProp2908.xml><?xml version="1.0" encoding="utf-8"?>
<formControlPr xmlns="http://schemas.microsoft.com/office/spreadsheetml/2009/9/main" objectType="CheckBox" checked="Checked" fmlaLink="$A$31" lockText="1" noThreeD="1"/>
</file>

<file path=xl/ctrlProps/ctrlProp2909.xml><?xml version="1.0" encoding="utf-8"?>
<formControlPr xmlns="http://schemas.microsoft.com/office/spreadsheetml/2009/9/main" objectType="CheckBox" checked="Checked" fmlaLink="$E$28" lockText="1" noThreeD="1"/>
</file>

<file path=xl/ctrlProps/ctrlProp2910.xml><?xml version="1.0" encoding="utf-8"?>
<formControlPr xmlns="http://schemas.microsoft.com/office/spreadsheetml/2009/9/main" objectType="CheckBox" checked="Checked" fmlaLink="$E$29" lockText="1" noThreeD="1"/>
</file>

<file path=xl/ctrlProps/ctrlProp2911.xml><?xml version="1.0" encoding="utf-8"?>
<formControlPr xmlns="http://schemas.microsoft.com/office/spreadsheetml/2009/9/main" objectType="CheckBox" fmlaLink="$E$30" lockText="1" noThreeD="1"/>
</file>

<file path=xl/ctrlProps/ctrlProp2912.xml><?xml version="1.0" encoding="utf-8"?>
<formControlPr xmlns="http://schemas.microsoft.com/office/spreadsheetml/2009/9/main" objectType="CheckBox" checked="Checked" fmlaLink="$A$33" lockText="1" noThreeD="1"/>
</file>

<file path=xl/ctrlProps/ctrlProp2913.xml><?xml version="1.0" encoding="utf-8"?>
<formControlPr xmlns="http://schemas.microsoft.com/office/spreadsheetml/2009/9/main" objectType="CheckBox" checked="Checked" fmlaLink="$A$34" lockText="1" noThreeD="1"/>
</file>

<file path=xl/ctrlProps/ctrlProp2914.xml><?xml version="1.0" encoding="utf-8"?>
<formControlPr xmlns="http://schemas.microsoft.com/office/spreadsheetml/2009/9/main" objectType="CheckBox" checked="Checked" fmlaLink="$A$35" lockText="1" noThreeD="1"/>
</file>

<file path=xl/ctrlProps/ctrlProp2915.xml><?xml version="1.0" encoding="utf-8"?>
<formControlPr xmlns="http://schemas.microsoft.com/office/spreadsheetml/2009/9/main" objectType="CheckBox" checked="Checked" fmlaLink="$A$36" lockText="1" noThreeD="1"/>
</file>

<file path=xl/ctrlProps/ctrlProp2916.xml><?xml version="1.0" encoding="utf-8"?>
<formControlPr xmlns="http://schemas.microsoft.com/office/spreadsheetml/2009/9/main" objectType="CheckBox" fmlaLink="$A$37" lockText="1" noThreeD="1"/>
</file>

<file path=xl/ctrlProps/ctrlProp2917.xml><?xml version="1.0" encoding="utf-8"?>
<formControlPr xmlns="http://schemas.microsoft.com/office/spreadsheetml/2009/9/main" objectType="Button" lockText="1"/>
</file>

<file path=xl/ctrlProps/ctrlProp2918.xml><?xml version="1.0" encoding="utf-8"?>
<formControlPr xmlns="http://schemas.microsoft.com/office/spreadsheetml/2009/9/main" objectType="Button" lockText="1"/>
</file>

<file path=xl/ctrlProps/ctrlProp2919.xml><?xml version="1.0" encoding="utf-8"?>
<formControlPr xmlns="http://schemas.microsoft.com/office/spreadsheetml/2009/9/main" objectType="CheckBox" checked="Checked" fmlaLink="$D$33" lockText="1" noThreeD="1"/>
</file>

<file path=xl/ctrlProps/ctrlProp2920.xml><?xml version="1.0" encoding="utf-8"?>
<formControlPr xmlns="http://schemas.microsoft.com/office/spreadsheetml/2009/9/main" objectType="CheckBox" checked="Checked" lockText="1" noThreeD="1"/>
</file>

<file path=xl/ctrlProps/ctrlProp2921.xml><?xml version="1.0" encoding="utf-8"?>
<formControlPr xmlns="http://schemas.microsoft.com/office/spreadsheetml/2009/9/main" objectType="CheckBox" checked="Checked" lockText="1" noThreeD="1"/>
</file>

<file path=xl/ctrlProps/ctrlProp2922.xml><?xml version="1.0" encoding="utf-8"?>
<formControlPr xmlns="http://schemas.microsoft.com/office/spreadsheetml/2009/9/main" objectType="CheckBox" checked="Checked" lockText="1" noThreeD="1"/>
</file>

<file path=xl/ctrlProps/ctrlProp2923.xml><?xml version="1.0" encoding="utf-8"?>
<formControlPr xmlns="http://schemas.microsoft.com/office/spreadsheetml/2009/9/main" objectType="CheckBox" checked="Checked" lockText="1" noThreeD="1"/>
</file>

<file path=xl/ctrlProps/ctrlProp2924.xml><?xml version="1.0" encoding="utf-8"?>
<formControlPr xmlns="http://schemas.microsoft.com/office/spreadsheetml/2009/9/main" objectType="CheckBox" lockText="1" noThreeD="1"/>
</file>

<file path=xl/ctrlProps/ctrlProp2925.xml><?xml version="1.0" encoding="utf-8"?>
<formControlPr xmlns="http://schemas.microsoft.com/office/spreadsheetml/2009/9/main" objectType="CheckBox" checked="Checked" lockText="1" noThreeD="1"/>
</file>

<file path=xl/ctrlProps/ctrlProp2926.xml><?xml version="1.0" encoding="utf-8"?>
<formControlPr xmlns="http://schemas.microsoft.com/office/spreadsheetml/2009/9/main" objectType="CheckBox" checked="Checked" lockText="1" noThreeD="1"/>
</file>

<file path=xl/ctrlProps/ctrlProp2927.xml><?xml version="1.0" encoding="utf-8"?>
<formControlPr xmlns="http://schemas.microsoft.com/office/spreadsheetml/2009/9/main" objectType="CheckBox" fmlaLink="$A$43" lockText="1" noThreeD="1"/>
</file>

<file path=xl/ctrlProps/ctrlProp2928.xml><?xml version="1.0" encoding="utf-8"?>
<formControlPr xmlns="http://schemas.microsoft.com/office/spreadsheetml/2009/9/main" objectType="CheckBox" fmlaLink="$A$44" lockText="1" noThreeD="1"/>
</file>

<file path=xl/ctrlProps/ctrlProp2929.xml><?xml version="1.0" encoding="utf-8"?>
<formControlPr xmlns="http://schemas.microsoft.com/office/spreadsheetml/2009/9/main" objectType="CheckBox" fmlaLink="$A$45" lockText="1" noThreeD="1"/>
</file>

<file path=xl/ctrlProps/ctrlProp2930.xml><?xml version="1.0" encoding="utf-8"?>
<formControlPr xmlns="http://schemas.microsoft.com/office/spreadsheetml/2009/9/main" objectType="CheckBox" fmlaLink="$A$46" lockText="1" noThreeD="1"/>
</file>

<file path=xl/ctrlProps/ctrlProp2931.xml><?xml version="1.0" encoding="utf-8"?>
<formControlPr xmlns="http://schemas.microsoft.com/office/spreadsheetml/2009/9/main" objectType="CheckBox" fmlaLink="$A$47" lockText="1" noThreeD="1"/>
</file>

<file path=xl/ctrlProps/ctrlProp2932.xml><?xml version="1.0" encoding="utf-8"?>
<formControlPr xmlns="http://schemas.microsoft.com/office/spreadsheetml/2009/9/main" objectType="CheckBox" fmlaLink="$A$48" lockText="1" noThreeD="1"/>
</file>

<file path=xl/ctrlProps/ctrlProp2933.xml><?xml version="1.0" encoding="utf-8"?>
<formControlPr xmlns="http://schemas.microsoft.com/office/spreadsheetml/2009/9/main" objectType="CheckBox" fmlaLink="$A$49" lockText="1" noThreeD="1"/>
</file>

<file path=xl/ctrlProps/ctrlProp2934.xml><?xml version="1.0" encoding="utf-8"?>
<formControlPr xmlns="http://schemas.microsoft.com/office/spreadsheetml/2009/9/main" objectType="Button" lockText="1"/>
</file>

<file path=xl/ctrlProps/ctrlProp2935.xml><?xml version="1.0" encoding="utf-8"?>
<formControlPr xmlns="http://schemas.microsoft.com/office/spreadsheetml/2009/9/main" objectType="Button" lockText="1"/>
</file>

<file path=xl/ctrlProps/ctrlProp2936.xml><?xml version="1.0" encoding="utf-8"?>
<formControlPr xmlns="http://schemas.microsoft.com/office/spreadsheetml/2009/9/main" objectType="CheckBox" fmlaLink="$A$40" lockText="1" noThreeD="1"/>
</file>

<file path=xl/ctrlProps/ctrlProp2937.xml><?xml version="1.0" encoding="utf-8"?>
<formControlPr xmlns="http://schemas.microsoft.com/office/spreadsheetml/2009/9/main" objectType="Button" lockText="1"/>
</file>

<file path=xl/ctrlProps/ctrlProp2938.xml><?xml version="1.0" encoding="utf-8"?>
<formControlPr xmlns="http://schemas.microsoft.com/office/spreadsheetml/2009/9/main" objectType="Button" lockText="1"/>
</file>

<file path=xl/ctrlProps/ctrlProp2939.xml><?xml version="1.0" encoding="utf-8"?>
<formControlPr xmlns="http://schemas.microsoft.com/office/spreadsheetml/2009/9/main" objectType="Button" lockText="1"/>
</file>

<file path=xl/ctrlProps/ctrlProp2940.xml><?xml version="1.0" encoding="utf-8"?>
<formControlPr xmlns="http://schemas.microsoft.com/office/spreadsheetml/2009/9/main" objectType="Button" lockText="1"/>
</file>

<file path=xl/ctrlProps/ctrlProp2941.xml><?xml version="1.0" encoding="utf-8"?>
<formControlPr xmlns="http://schemas.microsoft.com/office/spreadsheetml/2009/9/main" objectType="CheckBox" fmlaLink="$A$49" lockText="1" noThreeD="1"/>
</file>

<file path=xl/ctrlProps/ctrlProp2942.xml><?xml version="1.0" encoding="utf-8"?>
<formControlPr xmlns="http://schemas.microsoft.com/office/spreadsheetml/2009/9/main" objectType="CheckBox" checked="Checked" fmlaLink="$A$28" lockText="1" noThreeD="1"/>
</file>

<file path=xl/ctrlProps/ctrlProp2943.xml><?xml version="1.0" encoding="utf-8"?>
<formControlPr xmlns="http://schemas.microsoft.com/office/spreadsheetml/2009/9/main" objectType="CheckBox" checked="Checked" fmlaLink="$A$29" lockText="1" noThreeD="1"/>
</file>

<file path=xl/ctrlProps/ctrlProp2944.xml><?xml version="1.0" encoding="utf-8"?>
<formControlPr xmlns="http://schemas.microsoft.com/office/spreadsheetml/2009/9/main" objectType="CheckBox" checked="Checked" fmlaLink="$A$30" lockText="1" noThreeD="1"/>
</file>

<file path=xl/ctrlProps/ctrlProp2945.xml><?xml version="1.0" encoding="utf-8"?>
<formControlPr xmlns="http://schemas.microsoft.com/office/spreadsheetml/2009/9/main" objectType="CheckBox" checked="Checked" fmlaLink="$A$31" lockText="1" noThreeD="1"/>
</file>

<file path=xl/ctrlProps/ctrlProp2946.xml><?xml version="1.0" encoding="utf-8"?>
<formControlPr xmlns="http://schemas.microsoft.com/office/spreadsheetml/2009/9/main" objectType="CheckBox" checked="Checked" fmlaLink="$E$28" lockText="1" noThreeD="1"/>
</file>

<file path=xl/ctrlProps/ctrlProp2947.xml><?xml version="1.0" encoding="utf-8"?>
<formControlPr xmlns="http://schemas.microsoft.com/office/spreadsheetml/2009/9/main" objectType="CheckBox" checked="Checked" fmlaLink="$E$29" lockText="1" noThreeD="1"/>
</file>

<file path=xl/ctrlProps/ctrlProp2948.xml><?xml version="1.0" encoding="utf-8"?>
<formControlPr xmlns="http://schemas.microsoft.com/office/spreadsheetml/2009/9/main" objectType="CheckBox" fmlaLink="$E$30" lockText="1" noThreeD="1"/>
</file>

<file path=xl/ctrlProps/ctrlProp2949.xml><?xml version="1.0" encoding="utf-8"?>
<formControlPr xmlns="http://schemas.microsoft.com/office/spreadsheetml/2009/9/main" objectType="CheckBox" checked="Checked" fmlaLink="$A$33" lockText="1" noThreeD="1"/>
</file>

<file path=xl/ctrlProps/ctrlProp2950.xml><?xml version="1.0" encoding="utf-8"?>
<formControlPr xmlns="http://schemas.microsoft.com/office/spreadsheetml/2009/9/main" objectType="CheckBox" checked="Checked" fmlaLink="$A$34" lockText="1" noThreeD="1"/>
</file>

<file path=xl/ctrlProps/ctrlProp2951.xml><?xml version="1.0" encoding="utf-8"?>
<formControlPr xmlns="http://schemas.microsoft.com/office/spreadsheetml/2009/9/main" objectType="CheckBox" checked="Checked" fmlaLink="$A$35" lockText="1" noThreeD="1"/>
</file>

<file path=xl/ctrlProps/ctrlProp2952.xml><?xml version="1.0" encoding="utf-8"?>
<formControlPr xmlns="http://schemas.microsoft.com/office/spreadsheetml/2009/9/main" objectType="CheckBox" checked="Checked" fmlaLink="$A$36" lockText="1" noThreeD="1"/>
</file>

<file path=xl/ctrlProps/ctrlProp2953.xml><?xml version="1.0" encoding="utf-8"?>
<formControlPr xmlns="http://schemas.microsoft.com/office/spreadsheetml/2009/9/main" objectType="CheckBox" fmlaLink="$A$37" lockText="1" noThreeD="1"/>
</file>

<file path=xl/ctrlProps/ctrlProp2954.xml><?xml version="1.0" encoding="utf-8"?>
<formControlPr xmlns="http://schemas.microsoft.com/office/spreadsheetml/2009/9/main" objectType="Button" lockText="1"/>
</file>

<file path=xl/ctrlProps/ctrlProp2955.xml><?xml version="1.0" encoding="utf-8"?>
<formControlPr xmlns="http://schemas.microsoft.com/office/spreadsheetml/2009/9/main" objectType="Button" lockText="1"/>
</file>

<file path=xl/ctrlProps/ctrlProp2956.xml><?xml version="1.0" encoding="utf-8"?>
<formControlPr xmlns="http://schemas.microsoft.com/office/spreadsheetml/2009/9/main" objectType="CheckBox" checked="Checked" fmlaLink="$D$33" lockText="1" noThreeD="1"/>
</file>

<file path=xl/ctrlProps/ctrlProp2957.xml><?xml version="1.0" encoding="utf-8"?>
<formControlPr xmlns="http://schemas.microsoft.com/office/spreadsheetml/2009/9/main" objectType="CheckBox" checked="Checked" lockText="1" noThreeD="1"/>
</file>

<file path=xl/ctrlProps/ctrlProp2958.xml><?xml version="1.0" encoding="utf-8"?>
<formControlPr xmlns="http://schemas.microsoft.com/office/spreadsheetml/2009/9/main" objectType="CheckBox" checked="Checked" lockText="1" noThreeD="1"/>
</file>

<file path=xl/ctrlProps/ctrlProp2959.xml><?xml version="1.0" encoding="utf-8"?>
<formControlPr xmlns="http://schemas.microsoft.com/office/spreadsheetml/2009/9/main" objectType="CheckBox" checked="Checked" lockText="1" noThreeD="1"/>
</file>

<file path=xl/ctrlProps/ctrlProp2960.xml><?xml version="1.0" encoding="utf-8"?>
<formControlPr xmlns="http://schemas.microsoft.com/office/spreadsheetml/2009/9/main" objectType="CheckBox" checked="Checked" lockText="1" noThreeD="1"/>
</file>

<file path=xl/ctrlProps/ctrlProp2961.xml><?xml version="1.0" encoding="utf-8"?>
<formControlPr xmlns="http://schemas.microsoft.com/office/spreadsheetml/2009/9/main" objectType="CheckBox" checked="Checked" lockText="1" noThreeD="1"/>
</file>

<file path=xl/ctrlProps/ctrlProp2962.xml><?xml version="1.0" encoding="utf-8"?>
<formControlPr xmlns="http://schemas.microsoft.com/office/spreadsheetml/2009/9/main" objectType="CheckBox" checked="Checked" lockText="1" noThreeD="1"/>
</file>

<file path=xl/ctrlProps/ctrlProp2963.xml><?xml version="1.0" encoding="utf-8"?>
<formControlPr xmlns="http://schemas.microsoft.com/office/spreadsheetml/2009/9/main" objectType="CheckBox" checked="Checked" lockText="1" noThreeD="1"/>
</file>

<file path=xl/ctrlProps/ctrlProp2964.xml><?xml version="1.0" encoding="utf-8"?>
<formControlPr xmlns="http://schemas.microsoft.com/office/spreadsheetml/2009/9/main" objectType="CheckBox" fmlaLink="$A$43" lockText="1" noThreeD="1"/>
</file>

<file path=xl/ctrlProps/ctrlProp2965.xml><?xml version="1.0" encoding="utf-8"?>
<formControlPr xmlns="http://schemas.microsoft.com/office/spreadsheetml/2009/9/main" objectType="CheckBox" fmlaLink="$A$44" lockText="1" noThreeD="1"/>
</file>

<file path=xl/ctrlProps/ctrlProp2966.xml><?xml version="1.0" encoding="utf-8"?>
<formControlPr xmlns="http://schemas.microsoft.com/office/spreadsheetml/2009/9/main" objectType="CheckBox" fmlaLink="$A$45" lockText="1" noThreeD="1"/>
</file>

<file path=xl/ctrlProps/ctrlProp2967.xml><?xml version="1.0" encoding="utf-8"?>
<formControlPr xmlns="http://schemas.microsoft.com/office/spreadsheetml/2009/9/main" objectType="CheckBox" fmlaLink="$A$46" lockText="1" noThreeD="1"/>
</file>

<file path=xl/ctrlProps/ctrlProp2968.xml><?xml version="1.0" encoding="utf-8"?>
<formControlPr xmlns="http://schemas.microsoft.com/office/spreadsheetml/2009/9/main" objectType="CheckBox" fmlaLink="$A$47" lockText="1" noThreeD="1"/>
</file>

<file path=xl/ctrlProps/ctrlProp2969.xml><?xml version="1.0" encoding="utf-8"?>
<formControlPr xmlns="http://schemas.microsoft.com/office/spreadsheetml/2009/9/main" objectType="CheckBox" fmlaLink="$A$48" lockText="1" noThreeD="1"/>
</file>

<file path=xl/ctrlProps/ctrlProp2970.xml><?xml version="1.0" encoding="utf-8"?>
<formControlPr xmlns="http://schemas.microsoft.com/office/spreadsheetml/2009/9/main" objectType="CheckBox" fmlaLink="$A$49" lockText="1" noThreeD="1"/>
</file>

<file path=xl/ctrlProps/ctrlProp2971.xml><?xml version="1.0" encoding="utf-8"?>
<formControlPr xmlns="http://schemas.microsoft.com/office/spreadsheetml/2009/9/main" objectType="Button" lockText="1"/>
</file>

<file path=xl/ctrlProps/ctrlProp2972.xml><?xml version="1.0" encoding="utf-8"?>
<formControlPr xmlns="http://schemas.microsoft.com/office/spreadsheetml/2009/9/main" objectType="Button" lockText="1"/>
</file>

<file path=xl/ctrlProps/ctrlProp2973.xml><?xml version="1.0" encoding="utf-8"?>
<formControlPr xmlns="http://schemas.microsoft.com/office/spreadsheetml/2009/9/main" objectType="CheckBox" fmlaLink="$A$40" lockText="1" noThreeD="1"/>
</file>

<file path=xl/ctrlProps/ctrlProp2974.xml><?xml version="1.0" encoding="utf-8"?>
<formControlPr xmlns="http://schemas.microsoft.com/office/spreadsheetml/2009/9/main" objectType="Button" lockText="1"/>
</file>

<file path=xl/ctrlProps/ctrlProp2975.xml><?xml version="1.0" encoding="utf-8"?>
<formControlPr xmlns="http://schemas.microsoft.com/office/spreadsheetml/2009/9/main" objectType="Button" lockText="1"/>
</file>

<file path=xl/ctrlProps/ctrlProp2976.xml><?xml version="1.0" encoding="utf-8"?>
<formControlPr xmlns="http://schemas.microsoft.com/office/spreadsheetml/2009/9/main" objectType="Button" lockText="1"/>
</file>

<file path=xl/ctrlProps/ctrlProp2977.xml><?xml version="1.0" encoding="utf-8"?>
<formControlPr xmlns="http://schemas.microsoft.com/office/spreadsheetml/2009/9/main" objectType="Button" lockText="1"/>
</file>

<file path=xl/ctrlProps/ctrlProp2978.xml><?xml version="1.0" encoding="utf-8"?>
<formControlPr xmlns="http://schemas.microsoft.com/office/spreadsheetml/2009/9/main" objectType="CheckBox" fmlaLink="$A$49" lockText="1" noThreeD="1"/>
</file>

<file path=xl/ctrlProps/ctrlProp2979.xml><?xml version="1.0" encoding="utf-8"?>
<formControlPr xmlns="http://schemas.microsoft.com/office/spreadsheetml/2009/9/main" objectType="CheckBox" checked="Checked" fmlaLink="$A$28" lockText="1" noThreeD="1"/>
</file>

<file path=xl/ctrlProps/ctrlProp2980.xml><?xml version="1.0" encoding="utf-8"?>
<formControlPr xmlns="http://schemas.microsoft.com/office/spreadsheetml/2009/9/main" objectType="CheckBox" checked="Checked" fmlaLink="$A$29" lockText="1" noThreeD="1"/>
</file>

<file path=xl/ctrlProps/ctrlProp2981.xml><?xml version="1.0" encoding="utf-8"?>
<formControlPr xmlns="http://schemas.microsoft.com/office/spreadsheetml/2009/9/main" objectType="CheckBox" checked="Checked" fmlaLink="$A$30" lockText="1" noThreeD="1"/>
</file>

<file path=xl/ctrlProps/ctrlProp2982.xml><?xml version="1.0" encoding="utf-8"?>
<formControlPr xmlns="http://schemas.microsoft.com/office/spreadsheetml/2009/9/main" objectType="CheckBox" fmlaLink="$A$31" lockText="1" noThreeD="1"/>
</file>

<file path=xl/ctrlProps/ctrlProp2983.xml><?xml version="1.0" encoding="utf-8"?>
<formControlPr xmlns="http://schemas.microsoft.com/office/spreadsheetml/2009/9/main" objectType="CheckBox" checked="Checked" fmlaLink="$E$28" lockText="1" noThreeD="1"/>
</file>

<file path=xl/ctrlProps/ctrlProp2984.xml><?xml version="1.0" encoding="utf-8"?>
<formControlPr xmlns="http://schemas.microsoft.com/office/spreadsheetml/2009/9/main" objectType="CheckBox" fmlaLink="$E$29" lockText="1" noThreeD="1"/>
</file>

<file path=xl/ctrlProps/ctrlProp2985.xml><?xml version="1.0" encoding="utf-8"?>
<formControlPr xmlns="http://schemas.microsoft.com/office/spreadsheetml/2009/9/main" objectType="CheckBox" checked="Checked" fmlaLink="$E$30" lockText="1" noThreeD="1"/>
</file>

<file path=xl/ctrlProps/ctrlProp2986.xml><?xml version="1.0" encoding="utf-8"?>
<formControlPr xmlns="http://schemas.microsoft.com/office/spreadsheetml/2009/9/main" objectType="CheckBox" checked="Checked" fmlaLink="$A$33" lockText="1" noThreeD="1"/>
</file>

<file path=xl/ctrlProps/ctrlProp2987.xml><?xml version="1.0" encoding="utf-8"?>
<formControlPr xmlns="http://schemas.microsoft.com/office/spreadsheetml/2009/9/main" objectType="CheckBox" checked="Checked" fmlaLink="$A$34" lockText="1" noThreeD="1"/>
</file>

<file path=xl/ctrlProps/ctrlProp2988.xml><?xml version="1.0" encoding="utf-8"?>
<formControlPr xmlns="http://schemas.microsoft.com/office/spreadsheetml/2009/9/main" objectType="CheckBox" checked="Checked" fmlaLink="$A$35" lockText="1" noThreeD="1"/>
</file>

<file path=xl/ctrlProps/ctrlProp2989.xml><?xml version="1.0" encoding="utf-8"?>
<formControlPr xmlns="http://schemas.microsoft.com/office/spreadsheetml/2009/9/main" objectType="CheckBox" checked="Checked" fmlaLink="$A$36" lockText="1" noThreeD="1"/>
</file>

<file path=xl/ctrlProps/ctrlProp2990.xml><?xml version="1.0" encoding="utf-8"?>
<formControlPr xmlns="http://schemas.microsoft.com/office/spreadsheetml/2009/9/main" objectType="CheckBox" fmlaLink="$A$37" lockText="1" noThreeD="1"/>
</file>

<file path=xl/ctrlProps/ctrlProp2991.xml><?xml version="1.0" encoding="utf-8"?>
<formControlPr xmlns="http://schemas.microsoft.com/office/spreadsheetml/2009/9/main" objectType="Button" lockText="1"/>
</file>

<file path=xl/ctrlProps/ctrlProp2992.xml><?xml version="1.0" encoding="utf-8"?>
<formControlPr xmlns="http://schemas.microsoft.com/office/spreadsheetml/2009/9/main" objectType="Button" lockText="1"/>
</file>

<file path=xl/ctrlProps/ctrlProp2993.xml><?xml version="1.0" encoding="utf-8"?>
<formControlPr xmlns="http://schemas.microsoft.com/office/spreadsheetml/2009/9/main" objectType="CheckBox" checked="Checked" fmlaLink="$D$33" lockText="1" noThreeD="1"/>
</file>

<file path=xl/ctrlProps/ctrlProp2994.xml><?xml version="1.0" encoding="utf-8"?>
<formControlPr xmlns="http://schemas.microsoft.com/office/spreadsheetml/2009/9/main" objectType="CheckBox" checked="Checked" lockText="1" noThreeD="1"/>
</file>

<file path=xl/ctrlProps/ctrlProp2995.xml><?xml version="1.0" encoding="utf-8"?>
<formControlPr xmlns="http://schemas.microsoft.com/office/spreadsheetml/2009/9/main" objectType="CheckBox" checked="Checked" lockText="1" noThreeD="1"/>
</file>

<file path=xl/ctrlProps/ctrlProp2996.xml><?xml version="1.0" encoding="utf-8"?>
<formControlPr xmlns="http://schemas.microsoft.com/office/spreadsheetml/2009/9/main" objectType="CheckBox" checked="Checked" lockText="1" noThreeD="1"/>
</file>

<file path=xl/ctrlProps/ctrlProp2997.xml><?xml version="1.0" encoding="utf-8"?>
<formControlPr xmlns="http://schemas.microsoft.com/office/spreadsheetml/2009/9/main" objectType="CheckBox" checked="Checked" lockText="1" noThreeD="1"/>
</file>

<file path=xl/ctrlProps/ctrlProp2998.xml><?xml version="1.0" encoding="utf-8"?>
<formControlPr xmlns="http://schemas.microsoft.com/office/spreadsheetml/2009/9/main" objectType="CheckBox" checked="Checked" lockText="1" noThreeD="1"/>
</file>

<file path=xl/ctrlProps/ctrlProp2999.xml><?xml version="1.0" encoding="utf-8"?>
<formControlPr xmlns="http://schemas.microsoft.com/office/spreadsheetml/2009/9/main" objectType="CheckBox" checked="Checked" lockText="1" noThreeD="1"/>
</file>

<file path=xl/ctrlProps/ctrlProp3000.xml><?xml version="1.0" encoding="utf-8"?>
<formControlPr xmlns="http://schemas.microsoft.com/office/spreadsheetml/2009/9/main" objectType="CheckBox" checked="Checked" lockText="1" noThreeD="1"/>
</file>

<file path=xl/ctrlProps/ctrlProp3001.xml><?xml version="1.0" encoding="utf-8"?>
<formControlPr xmlns="http://schemas.microsoft.com/office/spreadsheetml/2009/9/main" objectType="CheckBox" fmlaLink="$A$43" lockText="1" noThreeD="1"/>
</file>

<file path=xl/ctrlProps/ctrlProp3002.xml><?xml version="1.0" encoding="utf-8"?>
<formControlPr xmlns="http://schemas.microsoft.com/office/spreadsheetml/2009/9/main" objectType="CheckBox" fmlaLink="$A$44" lockText="1" noThreeD="1"/>
</file>

<file path=xl/ctrlProps/ctrlProp3003.xml><?xml version="1.0" encoding="utf-8"?>
<formControlPr xmlns="http://schemas.microsoft.com/office/spreadsheetml/2009/9/main" objectType="CheckBox" fmlaLink="$A$45" lockText="1" noThreeD="1"/>
</file>

<file path=xl/ctrlProps/ctrlProp3004.xml><?xml version="1.0" encoding="utf-8"?>
<formControlPr xmlns="http://schemas.microsoft.com/office/spreadsheetml/2009/9/main" objectType="CheckBox" fmlaLink="$A$46" lockText="1" noThreeD="1"/>
</file>

<file path=xl/ctrlProps/ctrlProp3005.xml><?xml version="1.0" encoding="utf-8"?>
<formControlPr xmlns="http://schemas.microsoft.com/office/spreadsheetml/2009/9/main" objectType="CheckBox" fmlaLink="$A$47" lockText="1" noThreeD="1"/>
</file>

<file path=xl/ctrlProps/ctrlProp3006.xml><?xml version="1.0" encoding="utf-8"?>
<formControlPr xmlns="http://schemas.microsoft.com/office/spreadsheetml/2009/9/main" objectType="CheckBox" fmlaLink="$A$48" lockText="1" noThreeD="1"/>
</file>

<file path=xl/ctrlProps/ctrlProp3007.xml><?xml version="1.0" encoding="utf-8"?>
<formControlPr xmlns="http://schemas.microsoft.com/office/spreadsheetml/2009/9/main" objectType="CheckBox" fmlaLink="$A$49" lockText="1" noThreeD="1"/>
</file>

<file path=xl/ctrlProps/ctrlProp3008.xml><?xml version="1.0" encoding="utf-8"?>
<formControlPr xmlns="http://schemas.microsoft.com/office/spreadsheetml/2009/9/main" objectType="Button" lockText="1"/>
</file>

<file path=xl/ctrlProps/ctrlProp3009.xml><?xml version="1.0" encoding="utf-8"?>
<formControlPr xmlns="http://schemas.microsoft.com/office/spreadsheetml/2009/9/main" objectType="Button" lockText="1"/>
</file>

<file path=xl/ctrlProps/ctrlProp3010.xml><?xml version="1.0" encoding="utf-8"?>
<formControlPr xmlns="http://schemas.microsoft.com/office/spreadsheetml/2009/9/main" objectType="CheckBox" fmlaLink="$A$40" lockText="1" noThreeD="1"/>
</file>

<file path=xl/ctrlProps/ctrlProp3011.xml><?xml version="1.0" encoding="utf-8"?>
<formControlPr xmlns="http://schemas.microsoft.com/office/spreadsheetml/2009/9/main" objectType="Button" lockText="1"/>
</file>

<file path=xl/ctrlProps/ctrlProp3012.xml><?xml version="1.0" encoding="utf-8"?>
<formControlPr xmlns="http://schemas.microsoft.com/office/spreadsheetml/2009/9/main" objectType="Button" lockText="1"/>
</file>

<file path=xl/ctrlProps/ctrlProp3013.xml><?xml version="1.0" encoding="utf-8"?>
<formControlPr xmlns="http://schemas.microsoft.com/office/spreadsheetml/2009/9/main" objectType="Button" lockText="1"/>
</file>

<file path=xl/ctrlProps/ctrlProp3014.xml><?xml version="1.0" encoding="utf-8"?>
<formControlPr xmlns="http://schemas.microsoft.com/office/spreadsheetml/2009/9/main" objectType="Button" lockText="1"/>
</file>

<file path=xl/ctrlProps/ctrlProp3015.xml><?xml version="1.0" encoding="utf-8"?>
<formControlPr xmlns="http://schemas.microsoft.com/office/spreadsheetml/2009/9/main" objectType="CheckBox" fmlaLink="$A$49" lockText="1" noThreeD="1"/>
</file>

<file path=xl/ctrlProps/ctrlProp3016.xml><?xml version="1.0" encoding="utf-8"?>
<formControlPr xmlns="http://schemas.microsoft.com/office/spreadsheetml/2009/9/main" objectType="CheckBox" checked="Checked" fmlaLink="$A$28" lockText="1" noThreeD="1"/>
</file>

<file path=xl/ctrlProps/ctrlProp3017.xml><?xml version="1.0" encoding="utf-8"?>
<formControlPr xmlns="http://schemas.microsoft.com/office/spreadsheetml/2009/9/main" objectType="CheckBox" checked="Checked" fmlaLink="$A$29" lockText="1" noThreeD="1"/>
</file>

<file path=xl/ctrlProps/ctrlProp3018.xml><?xml version="1.0" encoding="utf-8"?>
<formControlPr xmlns="http://schemas.microsoft.com/office/spreadsheetml/2009/9/main" objectType="CheckBox" checked="Checked" fmlaLink="$A$30" lockText="1" noThreeD="1"/>
</file>

<file path=xl/ctrlProps/ctrlProp3019.xml><?xml version="1.0" encoding="utf-8"?>
<formControlPr xmlns="http://schemas.microsoft.com/office/spreadsheetml/2009/9/main" objectType="CheckBox" fmlaLink="$A$31" lockText="1" noThreeD="1"/>
</file>

<file path=xl/ctrlProps/ctrlProp3020.xml><?xml version="1.0" encoding="utf-8"?>
<formControlPr xmlns="http://schemas.microsoft.com/office/spreadsheetml/2009/9/main" objectType="CheckBox" checked="Checked" fmlaLink="$E$28" lockText="1" noThreeD="1"/>
</file>

<file path=xl/ctrlProps/ctrlProp3021.xml><?xml version="1.0" encoding="utf-8"?>
<formControlPr xmlns="http://schemas.microsoft.com/office/spreadsheetml/2009/9/main" objectType="CheckBox" fmlaLink="$E$29" lockText="1" noThreeD="1"/>
</file>

<file path=xl/ctrlProps/ctrlProp3022.xml><?xml version="1.0" encoding="utf-8"?>
<formControlPr xmlns="http://schemas.microsoft.com/office/spreadsheetml/2009/9/main" objectType="CheckBox" checked="Checked" fmlaLink="$E$30" lockText="1" noThreeD="1"/>
</file>

<file path=xl/ctrlProps/ctrlProp3023.xml><?xml version="1.0" encoding="utf-8"?>
<formControlPr xmlns="http://schemas.microsoft.com/office/spreadsheetml/2009/9/main" objectType="CheckBox" checked="Checked" fmlaLink="$A$33" lockText="1" noThreeD="1"/>
</file>

<file path=xl/ctrlProps/ctrlProp3024.xml><?xml version="1.0" encoding="utf-8"?>
<formControlPr xmlns="http://schemas.microsoft.com/office/spreadsheetml/2009/9/main" objectType="CheckBox" checked="Checked" fmlaLink="$A$34" lockText="1" noThreeD="1"/>
</file>

<file path=xl/ctrlProps/ctrlProp3025.xml><?xml version="1.0" encoding="utf-8"?>
<formControlPr xmlns="http://schemas.microsoft.com/office/spreadsheetml/2009/9/main" objectType="CheckBox" checked="Checked" fmlaLink="$A$35" lockText="1" noThreeD="1"/>
</file>

<file path=xl/ctrlProps/ctrlProp3026.xml><?xml version="1.0" encoding="utf-8"?>
<formControlPr xmlns="http://schemas.microsoft.com/office/spreadsheetml/2009/9/main" objectType="CheckBox" checked="Checked" fmlaLink="$A$36" lockText="1" noThreeD="1"/>
</file>

<file path=xl/ctrlProps/ctrlProp3027.xml><?xml version="1.0" encoding="utf-8"?>
<formControlPr xmlns="http://schemas.microsoft.com/office/spreadsheetml/2009/9/main" objectType="CheckBox" fmlaLink="$A$37" lockText="1" noThreeD="1"/>
</file>

<file path=xl/ctrlProps/ctrlProp3028.xml><?xml version="1.0" encoding="utf-8"?>
<formControlPr xmlns="http://schemas.microsoft.com/office/spreadsheetml/2009/9/main" objectType="Button" lockText="1"/>
</file>

<file path=xl/ctrlProps/ctrlProp3029.xml><?xml version="1.0" encoding="utf-8"?>
<formControlPr xmlns="http://schemas.microsoft.com/office/spreadsheetml/2009/9/main" objectType="Button" lockText="1"/>
</file>

<file path=xl/ctrlProps/ctrlProp3030.xml><?xml version="1.0" encoding="utf-8"?>
<formControlPr xmlns="http://schemas.microsoft.com/office/spreadsheetml/2009/9/main" objectType="CheckBox" checked="Checked" fmlaLink="$D$33" lockText="1" noThreeD="1"/>
</file>

<file path=xl/ctrlProps/ctrlProp3031.xml><?xml version="1.0" encoding="utf-8"?>
<formControlPr xmlns="http://schemas.microsoft.com/office/spreadsheetml/2009/9/main" objectType="CheckBox" checked="Checked" lockText="1" noThreeD="1"/>
</file>

<file path=xl/ctrlProps/ctrlProp3032.xml><?xml version="1.0" encoding="utf-8"?>
<formControlPr xmlns="http://schemas.microsoft.com/office/spreadsheetml/2009/9/main" objectType="CheckBox" checked="Checked" lockText="1" noThreeD="1"/>
</file>

<file path=xl/ctrlProps/ctrlProp3033.xml><?xml version="1.0" encoding="utf-8"?>
<formControlPr xmlns="http://schemas.microsoft.com/office/spreadsheetml/2009/9/main" objectType="CheckBox" checked="Checked" lockText="1" noThreeD="1"/>
</file>

<file path=xl/ctrlProps/ctrlProp3034.xml><?xml version="1.0" encoding="utf-8"?>
<formControlPr xmlns="http://schemas.microsoft.com/office/spreadsheetml/2009/9/main" objectType="CheckBox" checked="Checked" lockText="1" noThreeD="1"/>
</file>

<file path=xl/ctrlProps/ctrlProp3035.xml><?xml version="1.0" encoding="utf-8"?>
<formControlPr xmlns="http://schemas.microsoft.com/office/spreadsheetml/2009/9/main" objectType="CheckBox" lockText="1" noThreeD="1"/>
</file>

<file path=xl/ctrlProps/ctrlProp3036.xml><?xml version="1.0" encoding="utf-8"?>
<formControlPr xmlns="http://schemas.microsoft.com/office/spreadsheetml/2009/9/main" objectType="CheckBox" checked="Checked" lockText="1" noThreeD="1"/>
</file>

<file path=xl/ctrlProps/ctrlProp3037.xml><?xml version="1.0" encoding="utf-8"?>
<formControlPr xmlns="http://schemas.microsoft.com/office/spreadsheetml/2009/9/main" objectType="CheckBox" lockText="1" noThreeD="1"/>
</file>

<file path=xl/ctrlProps/ctrlProp3038.xml><?xml version="1.0" encoding="utf-8"?>
<formControlPr xmlns="http://schemas.microsoft.com/office/spreadsheetml/2009/9/main" objectType="CheckBox" fmlaLink="$A$43" lockText="1" noThreeD="1"/>
</file>

<file path=xl/ctrlProps/ctrlProp3039.xml><?xml version="1.0" encoding="utf-8"?>
<formControlPr xmlns="http://schemas.microsoft.com/office/spreadsheetml/2009/9/main" objectType="CheckBox" fmlaLink="$A$44" lockText="1" noThreeD="1"/>
</file>

<file path=xl/ctrlProps/ctrlProp3040.xml><?xml version="1.0" encoding="utf-8"?>
<formControlPr xmlns="http://schemas.microsoft.com/office/spreadsheetml/2009/9/main" objectType="CheckBox" fmlaLink="$A$45" lockText="1" noThreeD="1"/>
</file>

<file path=xl/ctrlProps/ctrlProp3041.xml><?xml version="1.0" encoding="utf-8"?>
<formControlPr xmlns="http://schemas.microsoft.com/office/spreadsheetml/2009/9/main" objectType="CheckBox" fmlaLink="$A$46" lockText="1" noThreeD="1"/>
</file>

<file path=xl/ctrlProps/ctrlProp3042.xml><?xml version="1.0" encoding="utf-8"?>
<formControlPr xmlns="http://schemas.microsoft.com/office/spreadsheetml/2009/9/main" objectType="CheckBox" fmlaLink="$A$47" lockText="1" noThreeD="1"/>
</file>

<file path=xl/ctrlProps/ctrlProp3043.xml><?xml version="1.0" encoding="utf-8"?>
<formControlPr xmlns="http://schemas.microsoft.com/office/spreadsheetml/2009/9/main" objectType="CheckBox" fmlaLink="$A$48" lockText="1" noThreeD="1"/>
</file>

<file path=xl/ctrlProps/ctrlProp3044.xml><?xml version="1.0" encoding="utf-8"?>
<formControlPr xmlns="http://schemas.microsoft.com/office/spreadsheetml/2009/9/main" objectType="CheckBox" fmlaLink="$A$49" lockText="1" noThreeD="1"/>
</file>

<file path=xl/ctrlProps/ctrlProp3045.xml><?xml version="1.0" encoding="utf-8"?>
<formControlPr xmlns="http://schemas.microsoft.com/office/spreadsheetml/2009/9/main" objectType="Button" lockText="1"/>
</file>

<file path=xl/ctrlProps/ctrlProp3046.xml><?xml version="1.0" encoding="utf-8"?>
<formControlPr xmlns="http://schemas.microsoft.com/office/spreadsheetml/2009/9/main" objectType="Button" lockText="1"/>
</file>

<file path=xl/ctrlProps/ctrlProp3047.xml><?xml version="1.0" encoding="utf-8"?>
<formControlPr xmlns="http://schemas.microsoft.com/office/spreadsheetml/2009/9/main" objectType="CheckBox" fmlaLink="$A$40" lockText="1" noThreeD="1"/>
</file>

<file path=xl/ctrlProps/ctrlProp3048.xml><?xml version="1.0" encoding="utf-8"?>
<formControlPr xmlns="http://schemas.microsoft.com/office/spreadsheetml/2009/9/main" objectType="Button" lockText="1"/>
</file>

<file path=xl/ctrlProps/ctrlProp3049.xml><?xml version="1.0" encoding="utf-8"?>
<formControlPr xmlns="http://schemas.microsoft.com/office/spreadsheetml/2009/9/main" objectType="Button" lockText="1"/>
</file>

<file path=xl/ctrlProps/ctrlProp3050.xml><?xml version="1.0" encoding="utf-8"?>
<formControlPr xmlns="http://schemas.microsoft.com/office/spreadsheetml/2009/9/main" objectType="Button" lockText="1"/>
</file>

<file path=xl/ctrlProps/ctrlProp3051.xml><?xml version="1.0" encoding="utf-8"?>
<formControlPr xmlns="http://schemas.microsoft.com/office/spreadsheetml/2009/9/main" objectType="Button" lockText="1"/>
</file>

<file path=xl/ctrlProps/ctrlProp3052.xml><?xml version="1.0" encoding="utf-8"?>
<formControlPr xmlns="http://schemas.microsoft.com/office/spreadsheetml/2009/9/main" objectType="CheckBox" fmlaLink="$A$49" lockText="1" noThreeD="1"/>
</file>

<file path=xl/ctrlProps/ctrlProp3053.xml><?xml version="1.0" encoding="utf-8"?>
<formControlPr xmlns="http://schemas.microsoft.com/office/spreadsheetml/2009/9/main" objectType="CheckBox" checked="Checked" fmlaLink="$A$28" lockText="1" noThreeD="1"/>
</file>

<file path=xl/ctrlProps/ctrlProp3054.xml><?xml version="1.0" encoding="utf-8"?>
<formControlPr xmlns="http://schemas.microsoft.com/office/spreadsheetml/2009/9/main" objectType="CheckBox" checked="Checked" fmlaLink="$A$29" lockText="1" noThreeD="1"/>
</file>

<file path=xl/ctrlProps/ctrlProp3055.xml><?xml version="1.0" encoding="utf-8"?>
<formControlPr xmlns="http://schemas.microsoft.com/office/spreadsheetml/2009/9/main" objectType="CheckBox" checked="Checked" fmlaLink="$A$30" lockText="1" noThreeD="1"/>
</file>

<file path=xl/ctrlProps/ctrlProp3056.xml><?xml version="1.0" encoding="utf-8"?>
<formControlPr xmlns="http://schemas.microsoft.com/office/spreadsheetml/2009/9/main" objectType="CheckBox" checked="Checked" fmlaLink="$A$31" lockText="1" noThreeD="1"/>
</file>

<file path=xl/ctrlProps/ctrlProp3057.xml><?xml version="1.0" encoding="utf-8"?>
<formControlPr xmlns="http://schemas.microsoft.com/office/spreadsheetml/2009/9/main" objectType="CheckBox" fmlaLink="$E$28" lockText="1" noThreeD="1"/>
</file>

<file path=xl/ctrlProps/ctrlProp3058.xml><?xml version="1.0" encoding="utf-8"?>
<formControlPr xmlns="http://schemas.microsoft.com/office/spreadsheetml/2009/9/main" objectType="CheckBox" checked="Checked" fmlaLink="$E$29" lockText="1" noThreeD="1"/>
</file>

<file path=xl/ctrlProps/ctrlProp3059.xml><?xml version="1.0" encoding="utf-8"?>
<formControlPr xmlns="http://schemas.microsoft.com/office/spreadsheetml/2009/9/main" objectType="CheckBox" checked="Checked" fmlaLink="$E$30" lockText="1" noThreeD="1"/>
</file>

<file path=xl/ctrlProps/ctrlProp3060.xml><?xml version="1.0" encoding="utf-8"?>
<formControlPr xmlns="http://schemas.microsoft.com/office/spreadsheetml/2009/9/main" objectType="CheckBox" checked="Checked" fmlaLink="$A$33" lockText="1" noThreeD="1"/>
</file>

<file path=xl/ctrlProps/ctrlProp3061.xml><?xml version="1.0" encoding="utf-8"?>
<formControlPr xmlns="http://schemas.microsoft.com/office/spreadsheetml/2009/9/main" objectType="CheckBox" checked="Checked" fmlaLink="$A$34" lockText="1" noThreeD="1"/>
</file>

<file path=xl/ctrlProps/ctrlProp3062.xml><?xml version="1.0" encoding="utf-8"?>
<formControlPr xmlns="http://schemas.microsoft.com/office/spreadsheetml/2009/9/main" objectType="CheckBox" checked="Checked" fmlaLink="$A$35" lockText="1" noThreeD="1"/>
</file>

<file path=xl/ctrlProps/ctrlProp3063.xml><?xml version="1.0" encoding="utf-8"?>
<formControlPr xmlns="http://schemas.microsoft.com/office/spreadsheetml/2009/9/main" objectType="CheckBox" checked="Checked" fmlaLink="$A$36" lockText="1" noThreeD="1"/>
</file>

<file path=xl/ctrlProps/ctrlProp3064.xml><?xml version="1.0" encoding="utf-8"?>
<formControlPr xmlns="http://schemas.microsoft.com/office/spreadsheetml/2009/9/main" objectType="CheckBox" fmlaLink="$A$37" lockText="1" noThreeD="1"/>
</file>

<file path=xl/ctrlProps/ctrlProp3065.xml><?xml version="1.0" encoding="utf-8"?>
<formControlPr xmlns="http://schemas.microsoft.com/office/spreadsheetml/2009/9/main" objectType="Button" lockText="1"/>
</file>

<file path=xl/ctrlProps/ctrlProp3066.xml><?xml version="1.0" encoding="utf-8"?>
<formControlPr xmlns="http://schemas.microsoft.com/office/spreadsheetml/2009/9/main" objectType="Button" lockText="1"/>
</file>

<file path=xl/ctrlProps/ctrlProp3067.xml><?xml version="1.0" encoding="utf-8"?>
<formControlPr xmlns="http://schemas.microsoft.com/office/spreadsheetml/2009/9/main" objectType="CheckBox" checked="Checked" fmlaLink="$D$33" lockText="1" noThreeD="1"/>
</file>

<file path=xl/ctrlProps/ctrlProp3068.xml><?xml version="1.0" encoding="utf-8"?>
<formControlPr xmlns="http://schemas.microsoft.com/office/spreadsheetml/2009/9/main" objectType="CheckBox" checked="Checked" lockText="1" noThreeD="1"/>
</file>

<file path=xl/ctrlProps/ctrlProp3069.xml><?xml version="1.0" encoding="utf-8"?>
<formControlPr xmlns="http://schemas.microsoft.com/office/spreadsheetml/2009/9/main" objectType="CheckBox" checked="Checked" lockText="1" noThreeD="1"/>
</file>

<file path=xl/ctrlProps/ctrlProp3070.xml><?xml version="1.0" encoding="utf-8"?>
<formControlPr xmlns="http://schemas.microsoft.com/office/spreadsheetml/2009/9/main" objectType="CheckBox" checked="Checked" lockText="1" noThreeD="1"/>
</file>

<file path=xl/ctrlProps/ctrlProp3071.xml><?xml version="1.0" encoding="utf-8"?>
<formControlPr xmlns="http://schemas.microsoft.com/office/spreadsheetml/2009/9/main" objectType="CheckBox" checked="Checked" lockText="1" noThreeD="1"/>
</file>

<file path=xl/ctrlProps/ctrlProp3072.xml><?xml version="1.0" encoding="utf-8"?>
<formControlPr xmlns="http://schemas.microsoft.com/office/spreadsheetml/2009/9/main" objectType="CheckBox" checked="Checked" lockText="1" noThreeD="1"/>
</file>

<file path=xl/ctrlProps/ctrlProp3073.xml><?xml version="1.0" encoding="utf-8"?>
<formControlPr xmlns="http://schemas.microsoft.com/office/spreadsheetml/2009/9/main" objectType="CheckBox" checked="Checked" lockText="1" noThreeD="1"/>
</file>

<file path=xl/ctrlProps/ctrlProp3074.xml><?xml version="1.0" encoding="utf-8"?>
<formControlPr xmlns="http://schemas.microsoft.com/office/spreadsheetml/2009/9/main" objectType="CheckBox" checked="Checked" lockText="1" noThreeD="1"/>
</file>

<file path=xl/ctrlProps/ctrlProp3075.xml><?xml version="1.0" encoding="utf-8"?>
<formControlPr xmlns="http://schemas.microsoft.com/office/spreadsheetml/2009/9/main" objectType="CheckBox" fmlaLink="$A$43" lockText="1" noThreeD="1"/>
</file>

<file path=xl/ctrlProps/ctrlProp3076.xml><?xml version="1.0" encoding="utf-8"?>
<formControlPr xmlns="http://schemas.microsoft.com/office/spreadsheetml/2009/9/main" objectType="CheckBox" fmlaLink="$A$44" lockText="1" noThreeD="1"/>
</file>

<file path=xl/ctrlProps/ctrlProp3077.xml><?xml version="1.0" encoding="utf-8"?>
<formControlPr xmlns="http://schemas.microsoft.com/office/spreadsheetml/2009/9/main" objectType="CheckBox" fmlaLink="$A$45" lockText="1" noThreeD="1"/>
</file>

<file path=xl/ctrlProps/ctrlProp3078.xml><?xml version="1.0" encoding="utf-8"?>
<formControlPr xmlns="http://schemas.microsoft.com/office/spreadsheetml/2009/9/main" objectType="CheckBox" fmlaLink="$A$46" lockText="1" noThreeD="1"/>
</file>

<file path=xl/ctrlProps/ctrlProp3079.xml><?xml version="1.0" encoding="utf-8"?>
<formControlPr xmlns="http://schemas.microsoft.com/office/spreadsheetml/2009/9/main" objectType="CheckBox" fmlaLink="$A$47" lockText="1" noThreeD="1"/>
</file>

<file path=xl/ctrlProps/ctrlProp3080.xml><?xml version="1.0" encoding="utf-8"?>
<formControlPr xmlns="http://schemas.microsoft.com/office/spreadsheetml/2009/9/main" objectType="CheckBox" fmlaLink="$A$48" lockText="1" noThreeD="1"/>
</file>

<file path=xl/ctrlProps/ctrlProp3081.xml><?xml version="1.0" encoding="utf-8"?>
<formControlPr xmlns="http://schemas.microsoft.com/office/spreadsheetml/2009/9/main" objectType="CheckBox" fmlaLink="$A$49" lockText="1" noThreeD="1"/>
</file>

<file path=xl/ctrlProps/ctrlProp3082.xml><?xml version="1.0" encoding="utf-8"?>
<formControlPr xmlns="http://schemas.microsoft.com/office/spreadsheetml/2009/9/main" objectType="Button" lockText="1"/>
</file>

<file path=xl/ctrlProps/ctrlProp3083.xml><?xml version="1.0" encoding="utf-8"?>
<formControlPr xmlns="http://schemas.microsoft.com/office/spreadsheetml/2009/9/main" objectType="Button" lockText="1"/>
</file>

<file path=xl/ctrlProps/ctrlProp3084.xml><?xml version="1.0" encoding="utf-8"?>
<formControlPr xmlns="http://schemas.microsoft.com/office/spreadsheetml/2009/9/main" objectType="CheckBox" fmlaLink="$A$40" lockText="1" noThreeD="1"/>
</file>

<file path=xl/ctrlProps/ctrlProp3085.xml><?xml version="1.0" encoding="utf-8"?>
<formControlPr xmlns="http://schemas.microsoft.com/office/spreadsheetml/2009/9/main" objectType="Button" lockText="1"/>
</file>

<file path=xl/ctrlProps/ctrlProp3086.xml><?xml version="1.0" encoding="utf-8"?>
<formControlPr xmlns="http://schemas.microsoft.com/office/spreadsheetml/2009/9/main" objectType="Button" lockText="1"/>
</file>

<file path=xl/ctrlProps/ctrlProp3087.xml><?xml version="1.0" encoding="utf-8"?>
<formControlPr xmlns="http://schemas.microsoft.com/office/spreadsheetml/2009/9/main" objectType="Button" lockText="1"/>
</file>

<file path=xl/ctrlProps/ctrlProp3088.xml><?xml version="1.0" encoding="utf-8"?>
<formControlPr xmlns="http://schemas.microsoft.com/office/spreadsheetml/2009/9/main" objectType="Button" lockText="1"/>
</file>

<file path=xl/ctrlProps/ctrlProp3089.xml><?xml version="1.0" encoding="utf-8"?>
<formControlPr xmlns="http://schemas.microsoft.com/office/spreadsheetml/2009/9/main" objectType="CheckBox" fmlaLink="$A$49" lockText="1" noThreeD="1"/>
</file>

<file path=xl/ctrlProps/ctrlProp3090.xml><?xml version="1.0" encoding="utf-8"?>
<formControlPr xmlns="http://schemas.microsoft.com/office/spreadsheetml/2009/9/main" objectType="CheckBox" checked="Checked" fmlaLink="$A$28" lockText="1" noThreeD="1"/>
</file>

<file path=xl/ctrlProps/ctrlProp3091.xml><?xml version="1.0" encoding="utf-8"?>
<formControlPr xmlns="http://schemas.microsoft.com/office/spreadsheetml/2009/9/main" objectType="CheckBox" checked="Checked" fmlaLink="$A$29" lockText="1" noThreeD="1"/>
</file>

<file path=xl/ctrlProps/ctrlProp3092.xml><?xml version="1.0" encoding="utf-8"?>
<formControlPr xmlns="http://schemas.microsoft.com/office/spreadsheetml/2009/9/main" objectType="CheckBox" checked="Checked" fmlaLink="$A$30" lockText="1" noThreeD="1"/>
</file>

<file path=xl/ctrlProps/ctrlProp3093.xml><?xml version="1.0" encoding="utf-8"?>
<formControlPr xmlns="http://schemas.microsoft.com/office/spreadsheetml/2009/9/main" objectType="CheckBox" checked="Checked" fmlaLink="$A$31" lockText="1" noThreeD="1"/>
</file>

<file path=xl/ctrlProps/ctrlProp3094.xml><?xml version="1.0" encoding="utf-8"?>
<formControlPr xmlns="http://schemas.microsoft.com/office/spreadsheetml/2009/9/main" objectType="CheckBox" checked="Checked" fmlaLink="$E$28" lockText="1" noThreeD="1"/>
</file>

<file path=xl/ctrlProps/ctrlProp3095.xml><?xml version="1.0" encoding="utf-8"?>
<formControlPr xmlns="http://schemas.microsoft.com/office/spreadsheetml/2009/9/main" objectType="CheckBox" checked="Checked" fmlaLink="$E$29" lockText="1" noThreeD="1"/>
</file>

<file path=xl/ctrlProps/ctrlProp3096.xml><?xml version="1.0" encoding="utf-8"?>
<formControlPr xmlns="http://schemas.microsoft.com/office/spreadsheetml/2009/9/main" objectType="CheckBox" checked="Checked" fmlaLink="$E$30" lockText="1" noThreeD="1"/>
</file>

<file path=xl/ctrlProps/ctrlProp3097.xml><?xml version="1.0" encoding="utf-8"?>
<formControlPr xmlns="http://schemas.microsoft.com/office/spreadsheetml/2009/9/main" objectType="CheckBox" checked="Checked" fmlaLink="$A$33" lockText="1" noThreeD="1"/>
</file>

<file path=xl/ctrlProps/ctrlProp3098.xml><?xml version="1.0" encoding="utf-8"?>
<formControlPr xmlns="http://schemas.microsoft.com/office/spreadsheetml/2009/9/main" objectType="CheckBox" checked="Checked" fmlaLink="$A$34" lockText="1" noThreeD="1"/>
</file>

<file path=xl/ctrlProps/ctrlProp3099.xml><?xml version="1.0" encoding="utf-8"?>
<formControlPr xmlns="http://schemas.microsoft.com/office/spreadsheetml/2009/9/main" objectType="CheckBox" checked="Checked" fmlaLink="$A$35" lockText="1" noThreeD="1"/>
</file>

<file path=xl/ctrlProps/ctrlProp3100.xml><?xml version="1.0" encoding="utf-8"?>
<formControlPr xmlns="http://schemas.microsoft.com/office/spreadsheetml/2009/9/main" objectType="CheckBox" checked="Checked" fmlaLink="$A$36" lockText="1" noThreeD="1"/>
</file>

<file path=xl/ctrlProps/ctrlProp3101.xml><?xml version="1.0" encoding="utf-8"?>
<formControlPr xmlns="http://schemas.microsoft.com/office/spreadsheetml/2009/9/main" objectType="CheckBox" fmlaLink="$A$37" lockText="1" noThreeD="1"/>
</file>

<file path=xl/ctrlProps/ctrlProp3102.xml><?xml version="1.0" encoding="utf-8"?>
<formControlPr xmlns="http://schemas.microsoft.com/office/spreadsheetml/2009/9/main" objectType="Button" lockText="1"/>
</file>

<file path=xl/ctrlProps/ctrlProp3103.xml><?xml version="1.0" encoding="utf-8"?>
<formControlPr xmlns="http://schemas.microsoft.com/office/spreadsheetml/2009/9/main" objectType="Button" lockText="1"/>
</file>

<file path=xl/ctrlProps/ctrlProp3104.xml><?xml version="1.0" encoding="utf-8"?>
<formControlPr xmlns="http://schemas.microsoft.com/office/spreadsheetml/2009/9/main" objectType="CheckBox" checked="Checked" fmlaLink="$D$33" lockText="1" noThreeD="1"/>
</file>

<file path=xl/ctrlProps/ctrlProp3105.xml><?xml version="1.0" encoding="utf-8"?>
<formControlPr xmlns="http://schemas.microsoft.com/office/spreadsheetml/2009/9/main" objectType="CheckBox" checked="Checked" lockText="1" noThreeD="1"/>
</file>

<file path=xl/ctrlProps/ctrlProp3106.xml><?xml version="1.0" encoding="utf-8"?>
<formControlPr xmlns="http://schemas.microsoft.com/office/spreadsheetml/2009/9/main" objectType="CheckBox" checked="Checked" lockText="1" noThreeD="1"/>
</file>

<file path=xl/ctrlProps/ctrlProp3107.xml><?xml version="1.0" encoding="utf-8"?>
<formControlPr xmlns="http://schemas.microsoft.com/office/spreadsheetml/2009/9/main" objectType="CheckBox" checked="Checked" lockText="1" noThreeD="1"/>
</file>

<file path=xl/ctrlProps/ctrlProp3108.xml><?xml version="1.0" encoding="utf-8"?>
<formControlPr xmlns="http://schemas.microsoft.com/office/spreadsheetml/2009/9/main" objectType="CheckBox" checked="Checked" lockText="1" noThreeD="1"/>
</file>

<file path=xl/ctrlProps/ctrlProp3109.xml><?xml version="1.0" encoding="utf-8"?>
<formControlPr xmlns="http://schemas.microsoft.com/office/spreadsheetml/2009/9/main" objectType="CheckBox" checked="Checked" lockText="1" noThreeD="1"/>
</file>

<file path=xl/ctrlProps/ctrlProp3110.xml><?xml version="1.0" encoding="utf-8"?>
<formControlPr xmlns="http://schemas.microsoft.com/office/spreadsheetml/2009/9/main" objectType="CheckBox" checked="Checked" lockText="1" noThreeD="1"/>
</file>

<file path=xl/ctrlProps/ctrlProp3111.xml><?xml version="1.0" encoding="utf-8"?>
<formControlPr xmlns="http://schemas.microsoft.com/office/spreadsheetml/2009/9/main" objectType="CheckBox" checked="Checked" lockText="1" noThreeD="1"/>
</file>

<file path=xl/ctrlProps/ctrlProp3112.xml><?xml version="1.0" encoding="utf-8"?>
<formControlPr xmlns="http://schemas.microsoft.com/office/spreadsheetml/2009/9/main" objectType="CheckBox" fmlaLink="$A$43" lockText="1" noThreeD="1"/>
</file>

<file path=xl/ctrlProps/ctrlProp3113.xml><?xml version="1.0" encoding="utf-8"?>
<formControlPr xmlns="http://schemas.microsoft.com/office/spreadsheetml/2009/9/main" objectType="CheckBox" fmlaLink="$A$44" lockText="1" noThreeD="1"/>
</file>

<file path=xl/ctrlProps/ctrlProp3114.xml><?xml version="1.0" encoding="utf-8"?>
<formControlPr xmlns="http://schemas.microsoft.com/office/spreadsheetml/2009/9/main" objectType="CheckBox" fmlaLink="$A$45" lockText="1" noThreeD="1"/>
</file>

<file path=xl/ctrlProps/ctrlProp3115.xml><?xml version="1.0" encoding="utf-8"?>
<formControlPr xmlns="http://schemas.microsoft.com/office/spreadsheetml/2009/9/main" objectType="CheckBox" fmlaLink="$A$46" lockText="1" noThreeD="1"/>
</file>

<file path=xl/ctrlProps/ctrlProp3116.xml><?xml version="1.0" encoding="utf-8"?>
<formControlPr xmlns="http://schemas.microsoft.com/office/spreadsheetml/2009/9/main" objectType="CheckBox" fmlaLink="$A$47" lockText="1" noThreeD="1"/>
</file>

<file path=xl/ctrlProps/ctrlProp3117.xml><?xml version="1.0" encoding="utf-8"?>
<formControlPr xmlns="http://schemas.microsoft.com/office/spreadsheetml/2009/9/main" objectType="CheckBox" fmlaLink="$A$48" lockText="1" noThreeD="1"/>
</file>

<file path=xl/ctrlProps/ctrlProp3118.xml><?xml version="1.0" encoding="utf-8"?>
<formControlPr xmlns="http://schemas.microsoft.com/office/spreadsheetml/2009/9/main" objectType="CheckBox" fmlaLink="$A$49" lockText="1" noThreeD="1"/>
</file>

<file path=xl/ctrlProps/ctrlProp3119.xml><?xml version="1.0" encoding="utf-8"?>
<formControlPr xmlns="http://schemas.microsoft.com/office/spreadsheetml/2009/9/main" objectType="Button" lockText="1"/>
</file>

<file path=xl/ctrlProps/ctrlProp3120.xml><?xml version="1.0" encoding="utf-8"?>
<formControlPr xmlns="http://schemas.microsoft.com/office/spreadsheetml/2009/9/main" objectType="Button" lockText="1"/>
</file>

<file path=xl/ctrlProps/ctrlProp3121.xml><?xml version="1.0" encoding="utf-8"?>
<formControlPr xmlns="http://schemas.microsoft.com/office/spreadsheetml/2009/9/main" objectType="CheckBox" fmlaLink="$A$40" lockText="1" noThreeD="1"/>
</file>

<file path=xl/ctrlProps/ctrlProp3122.xml><?xml version="1.0" encoding="utf-8"?>
<formControlPr xmlns="http://schemas.microsoft.com/office/spreadsheetml/2009/9/main" objectType="Button" lockText="1"/>
</file>

<file path=xl/ctrlProps/ctrlProp3123.xml><?xml version="1.0" encoding="utf-8"?>
<formControlPr xmlns="http://schemas.microsoft.com/office/spreadsheetml/2009/9/main" objectType="Button" lockText="1"/>
</file>

<file path=xl/ctrlProps/ctrlProp3124.xml><?xml version="1.0" encoding="utf-8"?>
<formControlPr xmlns="http://schemas.microsoft.com/office/spreadsheetml/2009/9/main" objectType="Button" lockText="1"/>
</file>

<file path=xl/ctrlProps/ctrlProp3125.xml><?xml version="1.0" encoding="utf-8"?>
<formControlPr xmlns="http://schemas.microsoft.com/office/spreadsheetml/2009/9/main" objectType="Button" lockText="1"/>
</file>

<file path=xl/ctrlProps/ctrlProp3126.xml><?xml version="1.0" encoding="utf-8"?>
<formControlPr xmlns="http://schemas.microsoft.com/office/spreadsheetml/2009/9/main" objectType="CheckBox" fmlaLink="$A$49" lockText="1" noThreeD="1"/>
</file>

<file path=xl/ctrlProps/ctrlProp3127.xml><?xml version="1.0" encoding="utf-8"?>
<formControlPr xmlns="http://schemas.microsoft.com/office/spreadsheetml/2009/9/main" objectType="CheckBox" checked="Checked" fmlaLink="$A$28" lockText="1" noThreeD="1"/>
</file>

<file path=xl/ctrlProps/ctrlProp3128.xml><?xml version="1.0" encoding="utf-8"?>
<formControlPr xmlns="http://schemas.microsoft.com/office/spreadsheetml/2009/9/main" objectType="CheckBox" fmlaLink="$A$29" lockText="1" noThreeD="1"/>
</file>

<file path=xl/ctrlProps/ctrlProp3129.xml><?xml version="1.0" encoding="utf-8"?>
<formControlPr xmlns="http://schemas.microsoft.com/office/spreadsheetml/2009/9/main" objectType="CheckBox" fmlaLink="$A$30" lockText="1" noThreeD="1"/>
</file>

<file path=xl/ctrlProps/ctrlProp3130.xml><?xml version="1.0" encoding="utf-8"?>
<formControlPr xmlns="http://schemas.microsoft.com/office/spreadsheetml/2009/9/main" objectType="CheckBox" fmlaLink="$A$31" lockText="1" noThreeD="1"/>
</file>

<file path=xl/ctrlProps/ctrlProp3131.xml><?xml version="1.0" encoding="utf-8"?>
<formControlPr xmlns="http://schemas.microsoft.com/office/spreadsheetml/2009/9/main" objectType="CheckBox" checked="Checked" fmlaLink="$E$28" lockText="1" noThreeD="1"/>
</file>

<file path=xl/ctrlProps/ctrlProp3132.xml><?xml version="1.0" encoding="utf-8"?>
<formControlPr xmlns="http://schemas.microsoft.com/office/spreadsheetml/2009/9/main" objectType="CheckBox" fmlaLink="$E$29" lockText="1" noThreeD="1"/>
</file>

<file path=xl/ctrlProps/ctrlProp3133.xml><?xml version="1.0" encoding="utf-8"?>
<formControlPr xmlns="http://schemas.microsoft.com/office/spreadsheetml/2009/9/main" objectType="CheckBox" fmlaLink="$E$30" lockText="1" noThreeD="1"/>
</file>

<file path=xl/ctrlProps/ctrlProp3134.xml><?xml version="1.0" encoding="utf-8"?>
<formControlPr xmlns="http://schemas.microsoft.com/office/spreadsheetml/2009/9/main" objectType="CheckBox" fmlaLink="$A$33" lockText="1" noThreeD="1"/>
</file>

<file path=xl/ctrlProps/ctrlProp3135.xml><?xml version="1.0" encoding="utf-8"?>
<formControlPr xmlns="http://schemas.microsoft.com/office/spreadsheetml/2009/9/main" objectType="CheckBox" fmlaLink="$A$34" lockText="1" noThreeD="1"/>
</file>

<file path=xl/ctrlProps/ctrlProp3136.xml><?xml version="1.0" encoding="utf-8"?>
<formControlPr xmlns="http://schemas.microsoft.com/office/spreadsheetml/2009/9/main" objectType="CheckBox" fmlaLink="$A$35" lockText="1" noThreeD="1"/>
</file>

<file path=xl/ctrlProps/ctrlProp3137.xml><?xml version="1.0" encoding="utf-8"?>
<formControlPr xmlns="http://schemas.microsoft.com/office/spreadsheetml/2009/9/main" objectType="CheckBox" fmlaLink="$A$36" lockText="1" noThreeD="1"/>
</file>

<file path=xl/ctrlProps/ctrlProp3138.xml><?xml version="1.0" encoding="utf-8"?>
<formControlPr xmlns="http://schemas.microsoft.com/office/spreadsheetml/2009/9/main" objectType="CheckBox" fmlaLink="$A$37" lockText="1" noThreeD="1"/>
</file>

<file path=xl/ctrlProps/ctrlProp3139.xml><?xml version="1.0" encoding="utf-8"?>
<formControlPr xmlns="http://schemas.microsoft.com/office/spreadsheetml/2009/9/main" objectType="Button" lockText="1"/>
</file>

<file path=xl/ctrlProps/ctrlProp3140.xml><?xml version="1.0" encoding="utf-8"?>
<formControlPr xmlns="http://schemas.microsoft.com/office/spreadsheetml/2009/9/main" objectType="Button" lockText="1"/>
</file>

<file path=xl/ctrlProps/ctrlProp3141.xml><?xml version="1.0" encoding="utf-8"?>
<formControlPr xmlns="http://schemas.microsoft.com/office/spreadsheetml/2009/9/main" objectType="CheckBox" fmlaLink="$D$33" lockText="1" noThreeD="1"/>
</file>

<file path=xl/ctrlProps/ctrlProp3142.xml><?xml version="1.0" encoding="utf-8"?>
<formControlPr xmlns="http://schemas.microsoft.com/office/spreadsheetml/2009/9/main" objectType="CheckBox" lockText="1" noThreeD="1"/>
</file>

<file path=xl/ctrlProps/ctrlProp3143.xml><?xml version="1.0" encoding="utf-8"?>
<formControlPr xmlns="http://schemas.microsoft.com/office/spreadsheetml/2009/9/main" objectType="CheckBox" lockText="1" noThreeD="1"/>
</file>

<file path=xl/ctrlProps/ctrlProp3144.xml><?xml version="1.0" encoding="utf-8"?>
<formControlPr xmlns="http://schemas.microsoft.com/office/spreadsheetml/2009/9/main" objectType="CheckBox" lockText="1" noThreeD="1"/>
</file>

<file path=xl/ctrlProps/ctrlProp3145.xml><?xml version="1.0" encoding="utf-8"?>
<formControlPr xmlns="http://schemas.microsoft.com/office/spreadsheetml/2009/9/main" objectType="CheckBox" lockText="1" noThreeD="1"/>
</file>

<file path=xl/ctrlProps/ctrlProp3146.xml><?xml version="1.0" encoding="utf-8"?>
<formControlPr xmlns="http://schemas.microsoft.com/office/spreadsheetml/2009/9/main" objectType="CheckBox" lockText="1" noThreeD="1"/>
</file>

<file path=xl/ctrlProps/ctrlProp3147.xml><?xml version="1.0" encoding="utf-8"?>
<formControlPr xmlns="http://schemas.microsoft.com/office/spreadsheetml/2009/9/main" objectType="CheckBox" lockText="1" noThreeD="1"/>
</file>

<file path=xl/ctrlProps/ctrlProp3148.xml><?xml version="1.0" encoding="utf-8"?>
<formControlPr xmlns="http://schemas.microsoft.com/office/spreadsheetml/2009/9/main" objectType="CheckBox" lockText="1" noThreeD="1"/>
</file>

<file path=xl/ctrlProps/ctrlProp3149.xml><?xml version="1.0" encoding="utf-8"?>
<formControlPr xmlns="http://schemas.microsoft.com/office/spreadsheetml/2009/9/main" objectType="CheckBox" fmlaLink="$A$43" lockText="1" noThreeD="1"/>
</file>

<file path=xl/ctrlProps/ctrlProp3150.xml><?xml version="1.0" encoding="utf-8"?>
<formControlPr xmlns="http://schemas.microsoft.com/office/spreadsheetml/2009/9/main" objectType="CheckBox" fmlaLink="$A$44" lockText="1" noThreeD="1"/>
</file>

<file path=xl/ctrlProps/ctrlProp3151.xml><?xml version="1.0" encoding="utf-8"?>
<formControlPr xmlns="http://schemas.microsoft.com/office/spreadsheetml/2009/9/main" objectType="CheckBox" fmlaLink="$A$45" lockText="1" noThreeD="1"/>
</file>

<file path=xl/ctrlProps/ctrlProp3152.xml><?xml version="1.0" encoding="utf-8"?>
<formControlPr xmlns="http://schemas.microsoft.com/office/spreadsheetml/2009/9/main" objectType="CheckBox" fmlaLink="$A$46" lockText="1" noThreeD="1"/>
</file>

<file path=xl/ctrlProps/ctrlProp3153.xml><?xml version="1.0" encoding="utf-8"?>
<formControlPr xmlns="http://schemas.microsoft.com/office/spreadsheetml/2009/9/main" objectType="CheckBox" fmlaLink="$A$47" lockText="1" noThreeD="1"/>
</file>

<file path=xl/ctrlProps/ctrlProp3154.xml><?xml version="1.0" encoding="utf-8"?>
<formControlPr xmlns="http://schemas.microsoft.com/office/spreadsheetml/2009/9/main" objectType="CheckBox" fmlaLink="$A$48" lockText="1" noThreeD="1"/>
</file>

<file path=xl/ctrlProps/ctrlProp3155.xml><?xml version="1.0" encoding="utf-8"?>
<formControlPr xmlns="http://schemas.microsoft.com/office/spreadsheetml/2009/9/main" objectType="CheckBox" fmlaLink="$A$49" lockText="1" noThreeD="1"/>
</file>

<file path=xl/ctrlProps/ctrlProp3156.xml><?xml version="1.0" encoding="utf-8"?>
<formControlPr xmlns="http://schemas.microsoft.com/office/spreadsheetml/2009/9/main" objectType="Button" lockText="1"/>
</file>

<file path=xl/ctrlProps/ctrlProp3157.xml><?xml version="1.0" encoding="utf-8"?>
<formControlPr xmlns="http://schemas.microsoft.com/office/spreadsheetml/2009/9/main" objectType="Button" lockText="1"/>
</file>

<file path=xl/ctrlProps/ctrlProp3158.xml><?xml version="1.0" encoding="utf-8"?>
<formControlPr xmlns="http://schemas.microsoft.com/office/spreadsheetml/2009/9/main" objectType="CheckBox" fmlaLink="$A$40" lockText="1" noThreeD="1"/>
</file>

<file path=xl/ctrlProps/ctrlProp3159.xml><?xml version="1.0" encoding="utf-8"?>
<formControlPr xmlns="http://schemas.microsoft.com/office/spreadsheetml/2009/9/main" objectType="Button" lockText="1"/>
</file>

<file path=xl/ctrlProps/ctrlProp3160.xml><?xml version="1.0" encoding="utf-8"?>
<formControlPr xmlns="http://schemas.microsoft.com/office/spreadsheetml/2009/9/main" objectType="Button" lockText="1"/>
</file>

<file path=xl/ctrlProps/ctrlProp3161.xml><?xml version="1.0" encoding="utf-8"?>
<formControlPr xmlns="http://schemas.microsoft.com/office/spreadsheetml/2009/9/main" objectType="Button" lockText="1"/>
</file>

<file path=xl/ctrlProps/ctrlProp3162.xml><?xml version="1.0" encoding="utf-8"?>
<formControlPr xmlns="http://schemas.microsoft.com/office/spreadsheetml/2009/9/main" objectType="Button" lockText="1"/>
</file>

<file path=xl/ctrlProps/ctrlProp3163.xml><?xml version="1.0" encoding="utf-8"?>
<formControlPr xmlns="http://schemas.microsoft.com/office/spreadsheetml/2009/9/main" objectType="CheckBox" fmlaLink="$A$49" lockText="1" noThreeD="1"/>
</file>

<file path=xl/ctrlProps/ctrlProp3164.xml><?xml version="1.0" encoding="utf-8"?>
<formControlPr xmlns="http://schemas.microsoft.com/office/spreadsheetml/2009/9/main" objectType="CheckBox" fmlaLink="$A$28" lockText="1" noThreeD="1"/>
</file>

<file path=xl/ctrlProps/ctrlProp3165.xml><?xml version="1.0" encoding="utf-8"?>
<formControlPr xmlns="http://schemas.microsoft.com/office/spreadsheetml/2009/9/main" objectType="CheckBox" fmlaLink="$A$29" lockText="1" noThreeD="1"/>
</file>

<file path=xl/ctrlProps/ctrlProp3166.xml><?xml version="1.0" encoding="utf-8"?>
<formControlPr xmlns="http://schemas.microsoft.com/office/spreadsheetml/2009/9/main" objectType="CheckBox" fmlaLink="$A$30" lockText="1" noThreeD="1"/>
</file>

<file path=xl/ctrlProps/ctrlProp3167.xml><?xml version="1.0" encoding="utf-8"?>
<formControlPr xmlns="http://schemas.microsoft.com/office/spreadsheetml/2009/9/main" objectType="CheckBox" fmlaLink="$A$31" lockText="1" noThreeD="1"/>
</file>

<file path=xl/ctrlProps/ctrlProp3168.xml><?xml version="1.0" encoding="utf-8"?>
<formControlPr xmlns="http://schemas.microsoft.com/office/spreadsheetml/2009/9/main" objectType="CheckBox" fmlaLink="$E$28" lockText="1" noThreeD="1"/>
</file>

<file path=xl/ctrlProps/ctrlProp3169.xml><?xml version="1.0" encoding="utf-8"?>
<formControlPr xmlns="http://schemas.microsoft.com/office/spreadsheetml/2009/9/main" objectType="CheckBox" fmlaLink="$E$29" lockText="1" noThreeD="1"/>
</file>

<file path=xl/ctrlProps/ctrlProp3170.xml><?xml version="1.0" encoding="utf-8"?>
<formControlPr xmlns="http://schemas.microsoft.com/office/spreadsheetml/2009/9/main" objectType="CheckBox" fmlaLink="$E$30" lockText="1" noThreeD="1"/>
</file>

<file path=xl/ctrlProps/ctrlProp3171.xml><?xml version="1.0" encoding="utf-8"?>
<formControlPr xmlns="http://schemas.microsoft.com/office/spreadsheetml/2009/9/main" objectType="CheckBox" checked="Checked" fmlaLink="$A$33" lockText="1" noThreeD="1"/>
</file>

<file path=xl/ctrlProps/ctrlProp3172.xml><?xml version="1.0" encoding="utf-8"?>
<formControlPr xmlns="http://schemas.microsoft.com/office/spreadsheetml/2009/9/main" objectType="CheckBox" checked="Checked" fmlaLink="$A$34" lockText="1" noThreeD="1"/>
</file>

<file path=xl/ctrlProps/ctrlProp3173.xml><?xml version="1.0" encoding="utf-8"?>
<formControlPr xmlns="http://schemas.microsoft.com/office/spreadsheetml/2009/9/main" objectType="CheckBox" checked="Checked" fmlaLink="$A$35" lockText="1" noThreeD="1"/>
</file>

<file path=xl/ctrlProps/ctrlProp3174.xml><?xml version="1.0" encoding="utf-8"?>
<formControlPr xmlns="http://schemas.microsoft.com/office/spreadsheetml/2009/9/main" objectType="CheckBox" checked="Checked" fmlaLink="$A$36" lockText="1" noThreeD="1"/>
</file>

<file path=xl/ctrlProps/ctrlProp3175.xml><?xml version="1.0" encoding="utf-8"?>
<formControlPr xmlns="http://schemas.microsoft.com/office/spreadsheetml/2009/9/main" objectType="CheckBox" fmlaLink="$A$37" lockText="1" noThreeD="1"/>
</file>

<file path=xl/ctrlProps/ctrlProp3176.xml><?xml version="1.0" encoding="utf-8"?>
<formControlPr xmlns="http://schemas.microsoft.com/office/spreadsheetml/2009/9/main" objectType="Button" lockText="1"/>
</file>

<file path=xl/ctrlProps/ctrlProp3177.xml><?xml version="1.0" encoding="utf-8"?>
<formControlPr xmlns="http://schemas.microsoft.com/office/spreadsheetml/2009/9/main" objectType="Button" lockText="1"/>
</file>

<file path=xl/ctrlProps/ctrlProp3178.xml><?xml version="1.0" encoding="utf-8"?>
<formControlPr xmlns="http://schemas.microsoft.com/office/spreadsheetml/2009/9/main" objectType="CheckBox" checked="Checked" fmlaLink="$D$33" lockText="1" noThreeD="1"/>
</file>

<file path=xl/ctrlProps/ctrlProp3179.xml><?xml version="1.0" encoding="utf-8"?>
<formControlPr xmlns="http://schemas.microsoft.com/office/spreadsheetml/2009/9/main" objectType="CheckBox" checked="Checked" lockText="1" noThreeD="1"/>
</file>

<file path=xl/ctrlProps/ctrlProp3180.xml><?xml version="1.0" encoding="utf-8"?>
<formControlPr xmlns="http://schemas.microsoft.com/office/spreadsheetml/2009/9/main" objectType="CheckBox" checked="Checked" lockText="1" noThreeD="1"/>
</file>

<file path=xl/ctrlProps/ctrlProp3181.xml><?xml version="1.0" encoding="utf-8"?>
<formControlPr xmlns="http://schemas.microsoft.com/office/spreadsheetml/2009/9/main" objectType="CheckBox" checked="Checked" lockText="1" noThreeD="1"/>
</file>

<file path=xl/ctrlProps/ctrlProp3182.xml><?xml version="1.0" encoding="utf-8"?>
<formControlPr xmlns="http://schemas.microsoft.com/office/spreadsheetml/2009/9/main" objectType="CheckBox" checked="Checked" lockText="1" noThreeD="1"/>
</file>

<file path=xl/ctrlProps/ctrlProp3183.xml><?xml version="1.0" encoding="utf-8"?>
<formControlPr xmlns="http://schemas.microsoft.com/office/spreadsheetml/2009/9/main" objectType="CheckBox" checked="Checked" lockText="1" noThreeD="1"/>
</file>

<file path=xl/ctrlProps/ctrlProp3184.xml><?xml version="1.0" encoding="utf-8"?>
<formControlPr xmlns="http://schemas.microsoft.com/office/spreadsheetml/2009/9/main" objectType="CheckBox" checked="Checked" lockText="1" noThreeD="1"/>
</file>

<file path=xl/ctrlProps/ctrlProp3185.xml><?xml version="1.0" encoding="utf-8"?>
<formControlPr xmlns="http://schemas.microsoft.com/office/spreadsheetml/2009/9/main" objectType="CheckBox" lockText="1" noThreeD="1"/>
</file>

<file path=xl/ctrlProps/ctrlProp3186.xml><?xml version="1.0" encoding="utf-8"?>
<formControlPr xmlns="http://schemas.microsoft.com/office/spreadsheetml/2009/9/main" objectType="CheckBox" fmlaLink="$A$43" lockText="1" noThreeD="1"/>
</file>

<file path=xl/ctrlProps/ctrlProp3187.xml><?xml version="1.0" encoding="utf-8"?>
<formControlPr xmlns="http://schemas.microsoft.com/office/spreadsheetml/2009/9/main" objectType="CheckBox" fmlaLink="$A$44" lockText="1" noThreeD="1"/>
</file>

<file path=xl/ctrlProps/ctrlProp3188.xml><?xml version="1.0" encoding="utf-8"?>
<formControlPr xmlns="http://schemas.microsoft.com/office/spreadsheetml/2009/9/main" objectType="CheckBox" fmlaLink="$A$45" lockText="1" noThreeD="1"/>
</file>

<file path=xl/ctrlProps/ctrlProp3189.xml><?xml version="1.0" encoding="utf-8"?>
<formControlPr xmlns="http://schemas.microsoft.com/office/spreadsheetml/2009/9/main" objectType="CheckBox" fmlaLink="$A$46" lockText="1" noThreeD="1"/>
</file>

<file path=xl/ctrlProps/ctrlProp3190.xml><?xml version="1.0" encoding="utf-8"?>
<formControlPr xmlns="http://schemas.microsoft.com/office/spreadsheetml/2009/9/main" objectType="CheckBox" fmlaLink="$A$47" lockText="1" noThreeD="1"/>
</file>

<file path=xl/ctrlProps/ctrlProp3191.xml><?xml version="1.0" encoding="utf-8"?>
<formControlPr xmlns="http://schemas.microsoft.com/office/spreadsheetml/2009/9/main" objectType="CheckBox" fmlaLink="$A$48" lockText="1" noThreeD="1"/>
</file>

<file path=xl/ctrlProps/ctrlProp3192.xml><?xml version="1.0" encoding="utf-8"?>
<formControlPr xmlns="http://schemas.microsoft.com/office/spreadsheetml/2009/9/main" objectType="CheckBox" fmlaLink="$A$49" lockText="1" noThreeD="1"/>
</file>

<file path=xl/ctrlProps/ctrlProp3193.xml><?xml version="1.0" encoding="utf-8"?>
<formControlPr xmlns="http://schemas.microsoft.com/office/spreadsheetml/2009/9/main" objectType="Button" lockText="1"/>
</file>

<file path=xl/ctrlProps/ctrlProp3194.xml><?xml version="1.0" encoding="utf-8"?>
<formControlPr xmlns="http://schemas.microsoft.com/office/spreadsheetml/2009/9/main" objectType="Button" lockText="1"/>
</file>

<file path=xl/ctrlProps/ctrlProp3195.xml><?xml version="1.0" encoding="utf-8"?>
<formControlPr xmlns="http://schemas.microsoft.com/office/spreadsheetml/2009/9/main" objectType="CheckBox" fmlaLink="$A$40" lockText="1" noThreeD="1"/>
</file>

<file path=xl/ctrlProps/ctrlProp3196.xml><?xml version="1.0" encoding="utf-8"?>
<formControlPr xmlns="http://schemas.microsoft.com/office/spreadsheetml/2009/9/main" objectType="Button" lockText="1"/>
</file>

<file path=xl/ctrlProps/ctrlProp3197.xml><?xml version="1.0" encoding="utf-8"?>
<formControlPr xmlns="http://schemas.microsoft.com/office/spreadsheetml/2009/9/main" objectType="Button" lockText="1"/>
</file>

<file path=xl/ctrlProps/ctrlProp3198.xml><?xml version="1.0" encoding="utf-8"?>
<formControlPr xmlns="http://schemas.microsoft.com/office/spreadsheetml/2009/9/main" objectType="Button" lockText="1"/>
</file>

<file path=xl/ctrlProps/ctrlProp3199.xml><?xml version="1.0" encoding="utf-8"?>
<formControlPr xmlns="http://schemas.microsoft.com/office/spreadsheetml/2009/9/main" objectType="Button" lockText="1"/>
</file>

<file path=xl/ctrlProps/ctrlProp3200.xml><?xml version="1.0" encoding="utf-8"?>
<formControlPr xmlns="http://schemas.microsoft.com/office/spreadsheetml/2009/9/main" objectType="CheckBox" fmlaLink="$A$49" lockText="1" noThreeD="1"/>
</file>

<file path=xl/ctrlProps/ctrlProp3201.xml><?xml version="1.0" encoding="utf-8"?>
<formControlPr xmlns="http://schemas.microsoft.com/office/spreadsheetml/2009/9/main" objectType="CheckBox" fmlaLink="$A$28" lockText="1" noThreeD="1"/>
</file>

<file path=xl/ctrlProps/ctrlProp3202.xml><?xml version="1.0" encoding="utf-8"?>
<formControlPr xmlns="http://schemas.microsoft.com/office/spreadsheetml/2009/9/main" objectType="CheckBox" fmlaLink="$A$29" lockText="1" noThreeD="1"/>
</file>

<file path=xl/ctrlProps/ctrlProp3203.xml><?xml version="1.0" encoding="utf-8"?>
<formControlPr xmlns="http://schemas.microsoft.com/office/spreadsheetml/2009/9/main" objectType="CheckBox" fmlaLink="$A$30" lockText="1" noThreeD="1"/>
</file>

<file path=xl/ctrlProps/ctrlProp3204.xml><?xml version="1.0" encoding="utf-8"?>
<formControlPr xmlns="http://schemas.microsoft.com/office/spreadsheetml/2009/9/main" objectType="CheckBox" fmlaLink="$A$31" lockText="1" noThreeD="1"/>
</file>

<file path=xl/ctrlProps/ctrlProp3205.xml><?xml version="1.0" encoding="utf-8"?>
<formControlPr xmlns="http://schemas.microsoft.com/office/spreadsheetml/2009/9/main" objectType="CheckBox" fmlaLink="$E$28" lockText="1" noThreeD="1"/>
</file>

<file path=xl/ctrlProps/ctrlProp3206.xml><?xml version="1.0" encoding="utf-8"?>
<formControlPr xmlns="http://schemas.microsoft.com/office/spreadsheetml/2009/9/main" objectType="CheckBox" fmlaLink="$E$29" lockText="1" noThreeD="1"/>
</file>

<file path=xl/ctrlProps/ctrlProp3207.xml><?xml version="1.0" encoding="utf-8"?>
<formControlPr xmlns="http://schemas.microsoft.com/office/spreadsheetml/2009/9/main" objectType="CheckBox" fmlaLink="$E$30" lockText="1" noThreeD="1"/>
</file>

<file path=xl/ctrlProps/ctrlProp3208.xml><?xml version="1.0" encoding="utf-8"?>
<formControlPr xmlns="http://schemas.microsoft.com/office/spreadsheetml/2009/9/main" objectType="CheckBox" checked="Checked" fmlaLink="$A$33" lockText="1" noThreeD="1"/>
</file>

<file path=xl/ctrlProps/ctrlProp3209.xml><?xml version="1.0" encoding="utf-8"?>
<formControlPr xmlns="http://schemas.microsoft.com/office/spreadsheetml/2009/9/main" objectType="CheckBox" checked="Checked" fmlaLink="$A$34" lockText="1" noThreeD="1"/>
</file>

<file path=xl/ctrlProps/ctrlProp3210.xml><?xml version="1.0" encoding="utf-8"?>
<formControlPr xmlns="http://schemas.microsoft.com/office/spreadsheetml/2009/9/main" objectType="CheckBox" checked="Checked" fmlaLink="$A$35" lockText="1" noThreeD="1"/>
</file>

<file path=xl/ctrlProps/ctrlProp3211.xml><?xml version="1.0" encoding="utf-8"?>
<formControlPr xmlns="http://schemas.microsoft.com/office/spreadsheetml/2009/9/main" objectType="CheckBox" checked="Checked" fmlaLink="$A$36" lockText="1" noThreeD="1"/>
</file>

<file path=xl/ctrlProps/ctrlProp3212.xml><?xml version="1.0" encoding="utf-8"?>
<formControlPr xmlns="http://schemas.microsoft.com/office/spreadsheetml/2009/9/main" objectType="CheckBox" fmlaLink="$A$37" lockText="1" noThreeD="1"/>
</file>

<file path=xl/ctrlProps/ctrlProp3213.xml><?xml version="1.0" encoding="utf-8"?>
<formControlPr xmlns="http://schemas.microsoft.com/office/spreadsheetml/2009/9/main" objectType="Button" lockText="1"/>
</file>

<file path=xl/ctrlProps/ctrlProp3214.xml><?xml version="1.0" encoding="utf-8"?>
<formControlPr xmlns="http://schemas.microsoft.com/office/spreadsheetml/2009/9/main" objectType="Button" lockText="1"/>
</file>

<file path=xl/ctrlProps/ctrlProp3215.xml><?xml version="1.0" encoding="utf-8"?>
<formControlPr xmlns="http://schemas.microsoft.com/office/spreadsheetml/2009/9/main" objectType="CheckBox" checked="Checked" fmlaLink="$D$33" lockText="1" noThreeD="1"/>
</file>

<file path=xl/ctrlProps/ctrlProp3216.xml><?xml version="1.0" encoding="utf-8"?>
<formControlPr xmlns="http://schemas.microsoft.com/office/spreadsheetml/2009/9/main" objectType="CheckBox" checked="Checked" lockText="1" noThreeD="1"/>
</file>

<file path=xl/ctrlProps/ctrlProp3217.xml><?xml version="1.0" encoding="utf-8"?>
<formControlPr xmlns="http://schemas.microsoft.com/office/spreadsheetml/2009/9/main" objectType="CheckBox" checked="Checked" lockText="1" noThreeD="1"/>
</file>

<file path=xl/ctrlProps/ctrlProp3218.xml><?xml version="1.0" encoding="utf-8"?>
<formControlPr xmlns="http://schemas.microsoft.com/office/spreadsheetml/2009/9/main" objectType="CheckBox" checked="Checked" lockText="1" noThreeD="1"/>
</file>

<file path=xl/ctrlProps/ctrlProp3219.xml><?xml version="1.0" encoding="utf-8"?>
<formControlPr xmlns="http://schemas.microsoft.com/office/spreadsheetml/2009/9/main" objectType="CheckBox" checked="Checked" lockText="1" noThreeD="1"/>
</file>

<file path=xl/ctrlProps/ctrlProp3220.xml><?xml version="1.0" encoding="utf-8"?>
<formControlPr xmlns="http://schemas.microsoft.com/office/spreadsheetml/2009/9/main" objectType="CheckBox" checked="Checked" lockText="1" noThreeD="1"/>
</file>

<file path=xl/ctrlProps/ctrlProp3221.xml><?xml version="1.0" encoding="utf-8"?>
<formControlPr xmlns="http://schemas.microsoft.com/office/spreadsheetml/2009/9/main" objectType="CheckBox" checked="Checked" lockText="1" noThreeD="1"/>
</file>

<file path=xl/ctrlProps/ctrlProp3222.xml><?xml version="1.0" encoding="utf-8"?>
<formControlPr xmlns="http://schemas.microsoft.com/office/spreadsheetml/2009/9/main" objectType="CheckBox" checked="Checked" lockText="1" noThreeD="1"/>
</file>

<file path=xl/ctrlProps/ctrlProp3223.xml><?xml version="1.0" encoding="utf-8"?>
<formControlPr xmlns="http://schemas.microsoft.com/office/spreadsheetml/2009/9/main" objectType="CheckBox" fmlaLink="$A$43" lockText="1" noThreeD="1"/>
</file>

<file path=xl/ctrlProps/ctrlProp3224.xml><?xml version="1.0" encoding="utf-8"?>
<formControlPr xmlns="http://schemas.microsoft.com/office/spreadsheetml/2009/9/main" objectType="CheckBox" fmlaLink="$A$44" lockText="1" noThreeD="1"/>
</file>

<file path=xl/ctrlProps/ctrlProp3225.xml><?xml version="1.0" encoding="utf-8"?>
<formControlPr xmlns="http://schemas.microsoft.com/office/spreadsheetml/2009/9/main" objectType="CheckBox" fmlaLink="$A$45" lockText="1" noThreeD="1"/>
</file>

<file path=xl/ctrlProps/ctrlProp3226.xml><?xml version="1.0" encoding="utf-8"?>
<formControlPr xmlns="http://schemas.microsoft.com/office/spreadsheetml/2009/9/main" objectType="CheckBox" fmlaLink="$A$46" lockText="1" noThreeD="1"/>
</file>

<file path=xl/ctrlProps/ctrlProp3227.xml><?xml version="1.0" encoding="utf-8"?>
<formControlPr xmlns="http://schemas.microsoft.com/office/spreadsheetml/2009/9/main" objectType="CheckBox" fmlaLink="$A$47" lockText="1" noThreeD="1"/>
</file>

<file path=xl/ctrlProps/ctrlProp3228.xml><?xml version="1.0" encoding="utf-8"?>
<formControlPr xmlns="http://schemas.microsoft.com/office/spreadsheetml/2009/9/main" objectType="CheckBox" fmlaLink="$A$48" lockText="1" noThreeD="1"/>
</file>

<file path=xl/ctrlProps/ctrlProp3229.xml><?xml version="1.0" encoding="utf-8"?>
<formControlPr xmlns="http://schemas.microsoft.com/office/spreadsheetml/2009/9/main" objectType="CheckBox" fmlaLink="$A$49" lockText="1" noThreeD="1"/>
</file>

<file path=xl/ctrlProps/ctrlProp3230.xml><?xml version="1.0" encoding="utf-8"?>
<formControlPr xmlns="http://schemas.microsoft.com/office/spreadsheetml/2009/9/main" objectType="Button" lockText="1"/>
</file>

<file path=xl/ctrlProps/ctrlProp3231.xml><?xml version="1.0" encoding="utf-8"?>
<formControlPr xmlns="http://schemas.microsoft.com/office/spreadsheetml/2009/9/main" objectType="Button" lockText="1"/>
</file>

<file path=xl/ctrlProps/ctrlProp3232.xml><?xml version="1.0" encoding="utf-8"?>
<formControlPr xmlns="http://schemas.microsoft.com/office/spreadsheetml/2009/9/main" objectType="CheckBox" fmlaLink="$A$40" lockText="1" noThreeD="1"/>
</file>

<file path=xl/ctrlProps/ctrlProp3233.xml><?xml version="1.0" encoding="utf-8"?>
<formControlPr xmlns="http://schemas.microsoft.com/office/spreadsheetml/2009/9/main" objectType="Button" lockText="1"/>
</file>

<file path=xl/ctrlProps/ctrlProp3234.xml><?xml version="1.0" encoding="utf-8"?>
<formControlPr xmlns="http://schemas.microsoft.com/office/spreadsheetml/2009/9/main" objectType="Button" lockText="1"/>
</file>

<file path=xl/ctrlProps/ctrlProp3235.xml><?xml version="1.0" encoding="utf-8"?>
<formControlPr xmlns="http://schemas.microsoft.com/office/spreadsheetml/2009/9/main" objectType="Button" lockText="1"/>
</file>

<file path=xl/ctrlProps/ctrlProp3236.xml><?xml version="1.0" encoding="utf-8"?>
<formControlPr xmlns="http://schemas.microsoft.com/office/spreadsheetml/2009/9/main" objectType="Button" lockText="1"/>
</file>

<file path=xl/ctrlProps/ctrlProp3237.xml><?xml version="1.0" encoding="utf-8"?>
<formControlPr xmlns="http://schemas.microsoft.com/office/spreadsheetml/2009/9/main" objectType="CheckBox" fmlaLink="$A$49" lockText="1" noThreeD="1"/>
</file>

<file path=xl/ctrlProps/ctrlProp3238.xml><?xml version="1.0" encoding="utf-8"?>
<formControlPr xmlns="http://schemas.microsoft.com/office/spreadsheetml/2009/9/main" objectType="CheckBox" checked="Checked" fmlaLink="$A$28" lockText="1" noThreeD="1"/>
</file>

<file path=xl/ctrlProps/ctrlProp3239.xml><?xml version="1.0" encoding="utf-8"?>
<formControlPr xmlns="http://schemas.microsoft.com/office/spreadsheetml/2009/9/main" objectType="CheckBox" checked="Checked" fmlaLink="$A$29" lockText="1" noThreeD="1"/>
</file>

<file path=xl/ctrlProps/ctrlProp3240.xml><?xml version="1.0" encoding="utf-8"?>
<formControlPr xmlns="http://schemas.microsoft.com/office/spreadsheetml/2009/9/main" objectType="CheckBox" checked="Checked" fmlaLink="$A$30" lockText="1" noThreeD="1"/>
</file>

<file path=xl/ctrlProps/ctrlProp3241.xml><?xml version="1.0" encoding="utf-8"?>
<formControlPr xmlns="http://schemas.microsoft.com/office/spreadsheetml/2009/9/main" objectType="CheckBox" fmlaLink="$A$31" lockText="1" noThreeD="1"/>
</file>

<file path=xl/ctrlProps/ctrlProp3242.xml><?xml version="1.0" encoding="utf-8"?>
<formControlPr xmlns="http://schemas.microsoft.com/office/spreadsheetml/2009/9/main" objectType="CheckBox" checked="Checked" fmlaLink="$E$28" lockText="1" noThreeD="1"/>
</file>

<file path=xl/ctrlProps/ctrlProp3243.xml><?xml version="1.0" encoding="utf-8"?>
<formControlPr xmlns="http://schemas.microsoft.com/office/spreadsheetml/2009/9/main" objectType="CheckBox" fmlaLink="$E$29" lockText="1" noThreeD="1"/>
</file>

<file path=xl/ctrlProps/ctrlProp3244.xml><?xml version="1.0" encoding="utf-8"?>
<formControlPr xmlns="http://schemas.microsoft.com/office/spreadsheetml/2009/9/main" objectType="CheckBox" checked="Checked" fmlaLink="$E$30" lockText="1" noThreeD="1"/>
</file>

<file path=xl/ctrlProps/ctrlProp3245.xml><?xml version="1.0" encoding="utf-8"?>
<formControlPr xmlns="http://schemas.microsoft.com/office/spreadsheetml/2009/9/main" objectType="CheckBox" checked="Checked" fmlaLink="$A$33" lockText="1" noThreeD="1"/>
</file>

<file path=xl/ctrlProps/ctrlProp3246.xml><?xml version="1.0" encoding="utf-8"?>
<formControlPr xmlns="http://schemas.microsoft.com/office/spreadsheetml/2009/9/main" objectType="CheckBox" checked="Checked" fmlaLink="$A$34" lockText="1" noThreeD="1"/>
</file>

<file path=xl/ctrlProps/ctrlProp3247.xml><?xml version="1.0" encoding="utf-8"?>
<formControlPr xmlns="http://schemas.microsoft.com/office/spreadsheetml/2009/9/main" objectType="CheckBox" checked="Checked" fmlaLink="$A$35" lockText="1" noThreeD="1"/>
</file>

<file path=xl/ctrlProps/ctrlProp3248.xml><?xml version="1.0" encoding="utf-8"?>
<formControlPr xmlns="http://schemas.microsoft.com/office/spreadsheetml/2009/9/main" objectType="CheckBox" checked="Checked" fmlaLink="$A$36" lockText="1" noThreeD="1"/>
</file>

<file path=xl/ctrlProps/ctrlProp3249.xml><?xml version="1.0" encoding="utf-8"?>
<formControlPr xmlns="http://schemas.microsoft.com/office/spreadsheetml/2009/9/main" objectType="CheckBox" fmlaLink="$A$37" lockText="1" noThreeD="1"/>
</file>

<file path=xl/ctrlProps/ctrlProp3250.xml><?xml version="1.0" encoding="utf-8"?>
<formControlPr xmlns="http://schemas.microsoft.com/office/spreadsheetml/2009/9/main" objectType="Button" lockText="1"/>
</file>

<file path=xl/ctrlProps/ctrlProp3251.xml><?xml version="1.0" encoding="utf-8"?>
<formControlPr xmlns="http://schemas.microsoft.com/office/spreadsheetml/2009/9/main" objectType="Button" lockText="1"/>
</file>

<file path=xl/ctrlProps/ctrlProp3252.xml><?xml version="1.0" encoding="utf-8"?>
<formControlPr xmlns="http://schemas.microsoft.com/office/spreadsheetml/2009/9/main" objectType="CheckBox" checked="Checked" fmlaLink="$D$33" lockText="1" noThreeD="1"/>
</file>

<file path=xl/ctrlProps/ctrlProp3253.xml><?xml version="1.0" encoding="utf-8"?>
<formControlPr xmlns="http://schemas.microsoft.com/office/spreadsheetml/2009/9/main" objectType="CheckBox" checked="Checked" lockText="1" noThreeD="1"/>
</file>

<file path=xl/ctrlProps/ctrlProp3254.xml><?xml version="1.0" encoding="utf-8"?>
<formControlPr xmlns="http://schemas.microsoft.com/office/spreadsheetml/2009/9/main" objectType="CheckBox" checked="Checked" lockText="1" noThreeD="1"/>
</file>

<file path=xl/ctrlProps/ctrlProp3255.xml><?xml version="1.0" encoding="utf-8"?>
<formControlPr xmlns="http://schemas.microsoft.com/office/spreadsheetml/2009/9/main" objectType="CheckBox" checked="Checked" lockText="1" noThreeD="1"/>
</file>

<file path=xl/ctrlProps/ctrlProp3256.xml><?xml version="1.0" encoding="utf-8"?>
<formControlPr xmlns="http://schemas.microsoft.com/office/spreadsheetml/2009/9/main" objectType="CheckBox" checked="Checked" lockText="1" noThreeD="1"/>
</file>

<file path=xl/ctrlProps/ctrlProp3257.xml><?xml version="1.0" encoding="utf-8"?>
<formControlPr xmlns="http://schemas.microsoft.com/office/spreadsheetml/2009/9/main" objectType="CheckBox" checked="Checked" lockText="1" noThreeD="1"/>
</file>

<file path=xl/ctrlProps/ctrlProp3258.xml><?xml version="1.0" encoding="utf-8"?>
<formControlPr xmlns="http://schemas.microsoft.com/office/spreadsheetml/2009/9/main" objectType="CheckBox" checked="Checked" lockText="1" noThreeD="1"/>
</file>

<file path=xl/ctrlProps/ctrlProp3259.xml><?xml version="1.0" encoding="utf-8"?>
<formControlPr xmlns="http://schemas.microsoft.com/office/spreadsheetml/2009/9/main" objectType="CheckBox" lockText="1" noThreeD="1"/>
</file>

<file path=xl/ctrlProps/ctrlProp3260.xml><?xml version="1.0" encoding="utf-8"?>
<formControlPr xmlns="http://schemas.microsoft.com/office/spreadsheetml/2009/9/main" objectType="CheckBox" fmlaLink="$A$43" lockText="1" noThreeD="1"/>
</file>

<file path=xl/ctrlProps/ctrlProp3261.xml><?xml version="1.0" encoding="utf-8"?>
<formControlPr xmlns="http://schemas.microsoft.com/office/spreadsheetml/2009/9/main" objectType="CheckBox" fmlaLink="$A$44" lockText="1" noThreeD="1"/>
</file>

<file path=xl/ctrlProps/ctrlProp3262.xml><?xml version="1.0" encoding="utf-8"?>
<formControlPr xmlns="http://schemas.microsoft.com/office/spreadsheetml/2009/9/main" objectType="CheckBox" fmlaLink="$A$45" lockText="1" noThreeD="1"/>
</file>

<file path=xl/ctrlProps/ctrlProp3263.xml><?xml version="1.0" encoding="utf-8"?>
<formControlPr xmlns="http://schemas.microsoft.com/office/spreadsheetml/2009/9/main" objectType="CheckBox" fmlaLink="$A$46" lockText="1" noThreeD="1"/>
</file>

<file path=xl/ctrlProps/ctrlProp3264.xml><?xml version="1.0" encoding="utf-8"?>
<formControlPr xmlns="http://schemas.microsoft.com/office/spreadsheetml/2009/9/main" objectType="CheckBox" fmlaLink="$A$47" lockText="1" noThreeD="1"/>
</file>

<file path=xl/ctrlProps/ctrlProp3265.xml><?xml version="1.0" encoding="utf-8"?>
<formControlPr xmlns="http://schemas.microsoft.com/office/spreadsheetml/2009/9/main" objectType="CheckBox" fmlaLink="$A$48" lockText="1" noThreeD="1"/>
</file>

<file path=xl/ctrlProps/ctrlProp3266.xml><?xml version="1.0" encoding="utf-8"?>
<formControlPr xmlns="http://schemas.microsoft.com/office/spreadsheetml/2009/9/main" objectType="CheckBox" fmlaLink="$A$49" lockText="1" noThreeD="1"/>
</file>

<file path=xl/ctrlProps/ctrlProp3267.xml><?xml version="1.0" encoding="utf-8"?>
<formControlPr xmlns="http://schemas.microsoft.com/office/spreadsheetml/2009/9/main" objectType="Button" lockText="1"/>
</file>

<file path=xl/ctrlProps/ctrlProp3268.xml><?xml version="1.0" encoding="utf-8"?>
<formControlPr xmlns="http://schemas.microsoft.com/office/spreadsheetml/2009/9/main" objectType="Button" lockText="1"/>
</file>

<file path=xl/ctrlProps/ctrlProp3269.xml><?xml version="1.0" encoding="utf-8"?>
<formControlPr xmlns="http://schemas.microsoft.com/office/spreadsheetml/2009/9/main" objectType="CheckBox" fmlaLink="$A$40" lockText="1" noThreeD="1"/>
</file>

<file path=xl/ctrlProps/ctrlProp3270.xml><?xml version="1.0" encoding="utf-8"?>
<formControlPr xmlns="http://schemas.microsoft.com/office/spreadsheetml/2009/9/main" objectType="Button" lockText="1"/>
</file>

<file path=xl/ctrlProps/ctrlProp3271.xml><?xml version="1.0" encoding="utf-8"?>
<formControlPr xmlns="http://schemas.microsoft.com/office/spreadsheetml/2009/9/main" objectType="Button" lockText="1"/>
</file>

<file path=xl/ctrlProps/ctrlProp3272.xml><?xml version="1.0" encoding="utf-8"?>
<formControlPr xmlns="http://schemas.microsoft.com/office/spreadsheetml/2009/9/main" objectType="Button" lockText="1"/>
</file>

<file path=xl/ctrlProps/ctrlProp3273.xml><?xml version="1.0" encoding="utf-8"?>
<formControlPr xmlns="http://schemas.microsoft.com/office/spreadsheetml/2009/9/main" objectType="Button" lockText="1"/>
</file>

<file path=xl/ctrlProps/ctrlProp3274.xml><?xml version="1.0" encoding="utf-8"?>
<formControlPr xmlns="http://schemas.microsoft.com/office/spreadsheetml/2009/9/main" objectType="CheckBox" fmlaLink="$A$49" lockText="1" noThreeD="1"/>
</file>

<file path=xl/ctrlProps/ctrlProp3275.xml><?xml version="1.0" encoding="utf-8"?>
<formControlPr xmlns="http://schemas.microsoft.com/office/spreadsheetml/2009/9/main" objectType="CheckBox" checked="Checked" fmlaLink="$A$28" lockText="1" noThreeD="1"/>
</file>

<file path=xl/ctrlProps/ctrlProp3276.xml><?xml version="1.0" encoding="utf-8"?>
<formControlPr xmlns="http://schemas.microsoft.com/office/spreadsheetml/2009/9/main" objectType="CheckBox" checked="Checked" fmlaLink="$A$29" lockText="1" noThreeD="1"/>
</file>

<file path=xl/ctrlProps/ctrlProp3277.xml><?xml version="1.0" encoding="utf-8"?>
<formControlPr xmlns="http://schemas.microsoft.com/office/spreadsheetml/2009/9/main" objectType="CheckBox" checked="Checked" fmlaLink="$A$30" lockText="1" noThreeD="1"/>
</file>

<file path=xl/ctrlProps/ctrlProp3278.xml><?xml version="1.0" encoding="utf-8"?>
<formControlPr xmlns="http://schemas.microsoft.com/office/spreadsheetml/2009/9/main" objectType="CheckBox" checked="Checked" fmlaLink="$A$31" lockText="1" noThreeD="1"/>
</file>

<file path=xl/ctrlProps/ctrlProp3279.xml><?xml version="1.0" encoding="utf-8"?>
<formControlPr xmlns="http://schemas.microsoft.com/office/spreadsheetml/2009/9/main" objectType="CheckBox" checked="Checked" fmlaLink="$E$28" lockText="1" noThreeD="1"/>
</file>

<file path=xl/ctrlProps/ctrlProp3280.xml><?xml version="1.0" encoding="utf-8"?>
<formControlPr xmlns="http://schemas.microsoft.com/office/spreadsheetml/2009/9/main" objectType="CheckBox" checked="Checked" fmlaLink="$E$29" lockText="1" noThreeD="1"/>
</file>

<file path=xl/ctrlProps/ctrlProp3281.xml><?xml version="1.0" encoding="utf-8"?>
<formControlPr xmlns="http://schemas.microsoft.com/office/spreadsheetml/2009/9/main" objectType="CheckBox" checked="Checked" fmlaLink="$E$30" lockText="1" noThreeD="1"/>
</file>

<file path=xl/ctrlProps/ctrlProp3282.xml><?xml version="1.0" encoding="utf-8"?>
<formControlPr xmlns="http://schemas.microsoft.com/office/spreadsheetml/2009/9/main" objectType="CheckBox" checked="Checked" fmlaLink="$A$33" lockText="1" noThreeD="1"/>
</file>

<file path=xl/ctrlProps/ctrlProp3283.xml><?xml version="1.0" encoding="utf-8"?>
<formControlPr xmlns="http://schemas.microsoft.com/office/spreadsheetml/2009/9/main" objectType="CheckBox" checked="Checked" fmlaLink="$A$34" lockText="1" noThreeD="1"/>
</file>

<file path=xl/ctrlProps/ctrlProp3284.xml><?xml version="1.0" encoding="utf-8"?>
<formControlPr xmlns="http://schemas.microsoft.com/office/spreadsheetml/2009/9/main" objectType="CheckBox" checked="Checked" fmlaLink="$A$35" lockText="1" noThreeD="1"/>
</file>

<file path=xl/ctrlProps/ctrlProp3285.xml><?xml version="1.0" encoding="utf-8"?>
<formControlPr xmlns="http://schemas.microsoft.com/office/spreadsheetml/2009/9/main" objectType="CheckBox" checked="Checked" fmlaLink="$A$36" lockText="1" noThreeD="1"/>
</file>

<file path=xl/ctrlProps/ctrlProp3286.xml><?xml version="1.0" encoding="utf-8"?>
<formControlPr xmlns="http://schemas.microsoft.com/office/spreadsheetml/2009/9/main" objectType="CheckBox" fmlaLink="$A$37" lockText="1" noThreeD="1"/>
</file>

<file path=xl/ctrlProps/ctrlProp3287.xml><?xml version="1.0" encoding="utf-8"?>
<formControlPr xmlns="http://schemas.microsoft.com/office/spreadsheetml/2009/9/main" objectType="Button" lockText="1"/>
</file>

<file path=xl/ctrlProps/ctrlProp3288.xml><?xml version="1.0" encoding="utf-8"?>
<formControlPr xmlns="http://schemas.microsoft.com/office/spreadsheetml/2009/9/main" objectType="Button" lockText="1"/>
</file>

<file path=xl/ctrlProps/ctrlProp3289.xml><?xml version="1.0" encoding="utf-8"?>
<formControlPr xmlns="http://schemas.microsoft.com/office/spreadsheetml/2009/9/main" objectType="CheckBox" checked="Checked" fmlaLink="$D$33" lockText="1" noThreeD="1"/>
</file>

<file path=xl/ctrlProps/ctrlProp3290.xml><?xml version="1.0" encoding="utf-8"?>
<formControlPr xmlns="http://schemas.microsoft.com/office/spreadsheetml/2009/9/main" objectType="CheckBox" checked="Checked" lockText="1" noThreeD="1"/>
</file>

<file path=xl/ctrlProps/ctrlProp3291.xml><?xml version="1.0" encoding="utf-8"?>
<formControlPr xmlns="http://schemas.microsoft.com/office/spreadsheetml/2009/9/main" objectType="CheckBox" checked="Checked" lockText="1" noThreeD="1"/>
</file>

<file path=xl/ctrlProps/ctrlProp3292.xml><?xml version="1.0" encoding="utf-8"?>
<formControlPr xmlns="http://schemas.microsoft.com/office/spreadsheetml/2009/9/main" objectType="CheckBox" checked="Checked" lockText="1" noThreeD="1"/>
</file>

<file path=xl/ctrlProps/ctrlProp3293.xml><?xml version="1.0" encoding="utf-8"?>
<formControlPr xmlns="http://schemas.microsoft.com/office/spreadsheetml/2009/9/main" objectType="CheckBox" checked="Checked" lockText="1" noThreeD="1"/>
</file>

<file path=xl/ctrlProps/ctrlProp3294.xml><?xml version="1.0" encoding="utf-8"?>
<formControlPr xmlns="http://schemas.microsoft.com/office/spreadsheetml/2009/9/main" objectType="CheckBox" checked="Checked" lockText="1" noThreeD="1"/>
</file>

<file path=xl/ctrlProps/ctrlProp3295.xml><?xml version="1.0" encoding="utf-8"?>
<formControlPr xmlns="http://schemas.microsoft.com/office/spreadsheetml/2009/9/main" objectType="CheckBox" checked="Checked" lockText="1" noThreeD="1"/>
</file>

<file path=xl/ctrlProps/ctrlProp3296.xml><?xml version="1.0" encoding="utf-8"?>
<formControlPr xmlns="http://schemas.microsoft.com/office/spreadsheetml/2009/9/main" objectType="CheckBox" lockText="1" noThreeD="1"/>
</file>

<file path=xl/ctrlProps/ctrlProp3297.xml><?xml version="1.0" encoding="utf-8"?>
<formControlPr xmlns="http://schemas.microsoft.com/office/spreadsheetml/2009/9/main" objectType="CheckBox" fmlaLink="$A$43" lockText="1" noThreeD="1"/>
</file>

<file path=xl/ctrlProps/ctrlProp3298.xml><?xml version="1.0" encoding="utf-8"?>
<formControlPr xmlns="http://schemas.microsoft.com/office/spreadsheetml/2009/9/main" objectType="CheckBox" fmlaLink="$A$44" lockText="1" noThreeD="1"/>
</file>

<file path=xl/ctrlProps/ctrlProp3299.xml><?xml version="1.0" encoding="utf-8"?>
<formControlPr xmlns="http://schemas.microsoft.com/office/spreadsheetml/2009/9/main" objectType="CheckBox" fmlaLink="$A$45" lockText="1" noThreeD="1"/>
</file>

<file path=xl/ctrlProps/ctrlProp3300.xml><?xml version="1.0" encoding="utf-8"?>
<formControlPr xmlns="http://schemas.microsoft.com/office/spreadsheetml/2009/9/main" objectType="CheckBox" fmlaLink="$A$46" lockText="1" noThreeD="1"/>
</file>

<file path=xl/ctrlProps/ctrlProp3301.xml><?xml version="1.0" encoding="utf-8"?>
<formControlPr xmlns="http://schemas.microsoft.com/office/spreadsheetml/2009/9/main" objectType="CheckBox" fmlaLink="$A$47" lockText="1" noThreeD="1"/>
</file>

<file path=xl/ctrlProps/ctrlProp3302.xml><?xml version="1.0" encoding="utf-8"?>
<formControlPr xmlns="http://schemas.microsoft.com/office/spreadsheetml/2009/9/main" objectType="CheckBox" fmlaLink="$A$48" lockText="1" noThreeD="1"/>
</file>

<file path=xl/ctrlProps/ctrlProp3303.xml><?xml version="1.0" encoding="utf-8"?>
<formControlPr xmlns="http://schemas.microsoft.com/office/spreadsheetml/2009/9/main" objectType="CheckBox" fmlaLink="$A$49" lockText="1" noThreeD="1"/>
</file>

<file path=xl/ctrlProps/ctrlProp3304.xml><?xml version="1.0" encoding="utf-8"?>
<formControlPr xmlns="http://schemas.microsoft.com/office/spreadsheetml/2009/9/main" objectType="Button" lockText="1"/>
</file>

<file path=xl/ctrlProps/ctrlProp3305.xml><?xml version="1.0" encoding="utf-8"?>
<formControlPr xmlns="http://schemas.microsoft.com/office/spreadsheetml/2009/9/main" objectType="Button" lockText="1"/>
</file>

<file path=xl/ctrlProps/ctrlProp3306.xml><?xml version="1.0" encoding="utf-8"?>
<formControlPr xmlns="http://schemas.microsoft.com/office/spreadsheetml/2009/9/main" objectType="CheckBox" fmlaLink="$A$40" lockText="1" noThreeD="1"/>
</file>

<file path=xl/ctrlProps/ctrlProp3307.xml><?xml version="1.0" encoding="utf-8"?>
<formControlPr xmlns="http://schemas.microsoft.com/office/spreadsheetml/2009/9/main" objectType="Button" lockText="1"/>
</file>

<file path=xl/ctrlProps/ctrlProp3308.xml><?xml version="1.0" encoding="utf-8"?>
<formControlPr xmlns="http://schemas.microsoft.com/office/spreadsheetml/2009/9/main" objectType="Button" lockText="1"/>
</file>

<file path=xl/ctrlProps/ctrlProp3309.xml><?xml version="1.0" encoding="utf-8"?>
<formControlPr xmlns="http://schemas.microsoft.com/office/spreadsheetml/2009/9/main" objectType="Button" lockText="1"/>
</file>

<file path=xl/ctrlProps/ctrlProp3310.xml><?xml version="1.0" encoding="utf-8"?>
<formControlPr xmlns="http://schemas.microsoft.com/office/spreadsheetml/2009/9/main" objectType="Button" lockText="1"/>
</file>

<file path=xl/ctrlProps/ctrlProp3311.xml><?xml version="1.0" encoding="utf-8"?>
<formControlPr xmlns="http://schemas.microsoft.com/office/spreadsheetml/2009/9/main" objectType="CheckBox" fmlaLink="$A$49" lockText="1" noThreeD="1"/>
</file>

<file path=xl/ctrlProps/ctrlProp3312.xml><?xml version="1.0" encoding="utf-8"?>
<formControlPr xmlns="http://schemas.microsoft.com/office/spreadsheetml/2009/9/main" objectType="CheckBox" checked="Checked" fmlaLink="$A$28" lockText="1" noThreeD="1"/>
</file>

<file path=xl/ctrlProps/ctrlProp3313.xml><?xml version="1.0" encoding="utf-8"?>
<formControlPr xmlns="http://schemas.microsoft.com/office/spreadsheetml/2009/9/main" objectType="CheckBox" checked="Checked" fmlaLink="$A$29" lockText="1" noThreeD="1"/>
</file>

<file path=xl/ctrlProps/ctrlProp3314.xml><?xml version="1.0" encoding="utf-8"?>
<formControlPr xmlns="http://schemas.microsoft.com/office/spreadsheetml/2009/9/main" objectType="CheckBox" checked="Checked" fmlaLink="$A$30" lockText="1" noThreeD="1"/>
</file>

<file path=xl/ctrlProps/ctrlProp3315.xml><?xml version="1.0" encoding="utf-8"?>
<formControlPr xmlns="http://schemas.microsoft.com/office/spreadsheetml/2009/9/main" objectType="CheckBox" checked="Checked" fmlaLink="$A$31" lockText="1" noThreeD="1"/>
</file>

<file path=xl/ctrlProps/ctrlProp3316.xml><?xml version="1.0" encoding="utf-8"?>
<formControlPr xmlns="http://schemas.microsoft.com/office/spreadsheetml/2009/9/main" objectType="CheckBox" fmlaLink="$E$28" lockText="1" noThreeD="1"/>
</file>

<file path=xl/ctrlProps/ctrlProp3317.xml><?xml version="1.0" encoding="utf-8"?>
<formControlPr xmlns="http://schemas.microsoft.com/office/spreadsheetml/2009/9/main" objectType="CheckBox" checked="Checked" fmlaLink="$E$29" lockText="1" noThreeD="1"/>
</file>

<file path=xl/ctrlProps/ctrlProp3318.xml><?xml version="1.0" encoding="utf-8"?>
<formControlPr xmlns="http://schemas.microsoft.com/office/spreadsheetml/2009/9/main" objectType="CheckBox" checked="Checked" fmlaLink="$E$30" lockText="1" noThreeD="1"/>
</file>

<file path=xl/ctrlProps/ctrlProp3319.xml><?xml version="1.0" encoding="utf-8"?>
<formControlPr xmlns="http://schemas.microsoft.com/office/spreadsheetml/2009/9/main" objectType="CheckBox" checked="Checked" fmlaLink="$A$33" lockText="1" noThreeD="1"/>
</file>

<file path=xl/ctrlProps/ctrlProp3320.xml><?xml version="1.0" encoding="utf-8"?>
<formControlPr xmlns="http://schemas.microsoft.com/office/spreadsheetml/2009/9/main" objectType="CheckBox" checked="Checked" fmlaLink="$A$34" lockText="1" noThreeD="1"/>
</file>

<file path=xl/ctrlProps/ctrlProp3321.xml><?xml version="1.0" encoding="utf-8"?>
<formControlPr xmlns="http://schemas.microsoft.com/office/spreadsheetml/2009/9/main" objectType="CheckBox" checked="Checked" fmlaLink="$A$35" lockText="1" noThreeD="1"/>
</file>

<file path=xl/ctrlProps/ctrlProp3322.xml><?xml version="1.0" encoding="utf-8"?>
<formControlPr xmlns="http://schemas.microsoft.com/office/spreadsheetml/2009/9/main" objectType="CheckBox" checked="Checked" fmlaLink="$A$36" lockText="1" noThreeD="1"/>
</file>

<file path=xl/ctrlProps/ctrlProp3323.xml><?xml version="1.0" encoding="utf-8"?>
<formControlPr xmlns="http://schemas.microsoft.com/office/spreadsheetml/2009/9/main" objectType="CheckBox" fmlaLink="$A$37" lockText="1" noThreeD="1"/>
</file>

<file path=xl/ctrlProps/ctrlProp3324.xml><?xml version="1.0" encoding="utf-8"?>
<formControlPr xmlns="http://schemas.microsoft.com/office/spreadsheetml/2009/9/main" objectType="Button" lockText="1"/>
</file>

<file path=xl/ctrlProps/ctrlProp3325.xml><?xml version="1.0" encoding="utf-8"?>
<formControlPr xmlns="http://schemas.microsoft.com/office/spreadsheetml/2009/9/main" objectType="Button" lockText="1"/>
</file>

<file path=xl/ctrlProps/ctrlProp3326.xml><?xml version="1.0" encoding="utf-8"?>
<formControlPr xmlns="http://schemas.microsoft.com/office/spreadsheetml/2009/9/main" objectType="CheckBox" checked="Checked" fmlaLink="$D$33" lockText="1" noThreeD="1"/>
</file>

<file path=xl/ctrlProps/ctrlProp3327.xml><?xml version="1.0" encoding="utf-8"?>
<formControlPr xmlns="http://schemas.microsoft.com/office/spreadsheetml/2009/9/main" objectType="CheckBox" checked="Checked" lockText="1" noThreeD="1"/>
</file>

<file path=xl/ctrlProps/ctrlProp3328.xml><?xml version="1.0" encoding="utf-8"?>
<formControlPr xmlns="http://schemas.microsoft.com/office/spreadsheetml/2009/9/main" objectType="CheckBox" checked="Checked" lockText="1" noThreeD="1"/>
</file>

<file path=xl/ctrlProps/ctrlProp3329.xml><?xml version="1.0" encoding="utf-8"?>
<formControlPr xmlns="http://schemas.microsoft.com/office/spreadsheetml/2009/9/main" objectType="CheckBox" checked="Checked" lockText="1" noThreeD="1"/>
</file>

<file path=xl/ctrlProps/ctrlProp3330.xml><?xml version="1.0" encoding="utf-8"?>
<formControlPr xmlns="http://schemas.microsoft.com/office/spreadsheetml/2009/9/main" objectType="CheckBox" checked="Checked" lockText="1" noThreeD="1"/>
</file>

<file path=xl/ctrlProps/ctrlProp3331.xml><?xml version="1.0" encoding="utf-8"?>
<formControlPr xmlns="http://schemas.microsoft.com/office/spreadsheetml/2009/9/main" objectType="CheckBox" checked="Checked" lockText="1" noThreeD="1"/>
</file>

<file path=xl/ctrlProps/ctrlProp3332.xml><?xml version="1.0" encoding="utf-8"?>
<formControlPr xmlns="http://schemas.microsoft.com/office/spreadsheetml/2009/9/main" objectType="CheckBox" checked="Checked" lockText="1" noThreeD="1"/>
</file>

<file path=xl/ctrlProps/ctrlProp3333.xml><?xml version="1.0" encoding="utf-8"?>
<formControlPr xmlns="http://schemas.microsoft.com/office/spreadsheetml/2009/9/main" objectType="CheckBox" checked="Checked" lockText="1" noThreeD="1"/>
</file>

<file path=xl/ctrlProps/ctrlProp3334.xml><?xml version="1.0" encoding="utf-8"?>
<formControlPr xmlns="http://schemas.microsoft.com/office/spreadsheetml/2009/9/main" objectType="CheckBox" fmlaLink="$A$44" lockText="1" noThreeD="1"/>
</file>

<file path=xl/ctrlProps/ctrlProp3335.xml><?xml version="1.0" encoding="utf-8"?>
<formControlPr xmlns="http://schemas.microsoft.com/office/spreadsheetml/2009/9/main" objectType="CheckBox" fmlaLink="$A$45" lockText="1" noThreeD="1"/>
</file>

<file path=xl/ctrlProps/ctrlProp3336.xml><?xml version="1.0" encoding="utf-8"?>
<formControlPr xmlns="http://schemas.microsoft.com/office/spreadsheetml/2009/9/main" objectType="CheckBox" fmlaLink="$A$46" lockText="1" noThreeD="1"/>
</file>

<file path=xl/ctrlProps/ctrlProp3337.xml><?xml version="1.0" encoding="utf-8"?>
<formControlPr xmlns="http://schemas.microsoft.com/office/spreadsheetml/2009/9/main" objectType="CheckBox" fmlaLink="$A$47" lockText="1" noThreeD="1"/>
</file>

<file path=xl/ctrlProps/ctrlProp3338.xml><?xml version="1.0" encoding="utf-8"?>
<formControlPr xmlns="http://schemas.microsoft.com/office/spreadsheetml/2009/9/main" objectType="CheckBox" fmlaLink="$A$48" lockText="1" noThreeD="1"/>
</file>

<file path=xl/ctrlProps/ctrlProp3339.xml><?xml version="1.0" encoding="utf-8"?>
<formControlPr xmlns="http://schemas.microsoft.com/office/spreadsheetml/2009/9/main" objectType="CheckBox" fmlaLink="$A$49" lockText="1" noThreeD="1"/>
</file>

<file path=xl/ctrlProps/ctrlProp3340.xml><?xml version="1.0" encoding="utf-8"?>
<formControlPr xmlns="http://schemas.microsoft.com/office/spreadsheetml/2009/9/main" objectType="CheckBox" fmlaLink="$A$50" lockText="1" noThreeD="1"/>
</file>

<file path=xl/ctrlProps/ctrlProp3341.xml><?xml version="1.0" encoding="utf-8"?>
<formControlPr xmlns="http://schemas.microsoft.com/office/spreadsheetml/2009/9/main" objectType="Button" lockText="1"/>
</file>

<file path=xl/ctrlProps/ctrlProp3342.xml><?xml version="1.0" encoding="utf-8"?>
<formControlPr xmlns="http://schemas.microsoft.com/office/spreadsheetml/2009/9/main" objectType="Button" lockText="1"/>
</file>

<file path=xl/ctrlProps/ctrlProp3343.xml><?xml version="1.0" encoding="utf-8"?>
<formControlPr xmlns="http://schemas.microsoft.com/office/spreadsheetml/2009/9/main" objectType="CheckBox" fmlaLink="$A$41" lockText="1" noThreeD="1"/>
</file>

<file path=xl/ctrlProps/ctrlProp3344.xml><?xml version="1.0" encoding="utf-8"?>
<formControlPr xmlns="http://schemas.microsoft.com/office/spreadsheetml/2009/9/main" objectType="Button" lockText="1"/>
</file>

<file path=xl/ctrlProps/ctrlProp3345.xml><?xml version="1.0" encoding="utf-8"?>
<formControlPr xmlns="http://schemas.microsoft.com/office/spreadsheetml/2009/9/main" objectType="Button" lockText="1"/>
</file>

<file path=xl/ctrlProps/ctrlProp3346.xml><?xml version="1.0" encoding="utf-8"?>
<formControlPr xmlns="http://schemas.microsoft.com/office/spreadsheetml/2009/9/main" objectType="Button" lockText="1"/>
</file>

<file path=xl/ctrlProps/ctrlProp3347.xml><?xml version="1.0" encoding="utf-8"?>
<formControlPr xmlns="http://schemas.microsoft.com/office/spreadsheetml/2009/9/main" objectType="Button" lockText="1"/>
</file>

<file path=xl/ctrlProps/ctrlProp3348.xml><?xml version="1.0" encoding="utf-8"?>
<formControlPr xmlns="http://schemas.microsoft.com/office/spreadsheetml/2009/9/main" objectType="CheckBox" fmlaLink="$A$50" lockText="1" noThreeD="1"/>
</file>

<file path=xl/ctrlProps/ctrlProp3349.xml><?xml version="1.0" encoding="utf-8"?>
<formControlPr xmlns="http://schemas.microsoft.com/office/spreadsheetml/2009/9/main" objectType="CheckBox" checked="Checked" fmlaLink="$A$29" lockText="1" noThreeD="1"/>
</file>

<file path=xl/ctrlProps/ctrlProp3350.xml><?xml version="1.0" encoding="utf-8"?>
<formControlPr xmlns="http://schemas.microsoft.com/office/spreadsheetml/2009/9/main" objectType="CheckBox" checked="Checked" fmlaLink="$A$30" lockText="1" noThreeD="1"/>
</file>

<file path=xl/ctrlProps/ctrlProp3351.xml><?xml version="1.0" encoding="utf-8"?>
<formControlPr xmlns="http://schemas.microsoft.com/office/spreadsheetml/2009/9/main" objectType="CheckBox" checked="Checked" fmlaLink="$A$31" lockText="1" noThreeD="1"/>
</file>

<file path=xl/ctrlProps/ctrlProp3352.xml><?xml version="1.0" encoding="utf-8"?>
<formControlPr xmlns="http://schemas.microsoft.com/office/spreadsheetml/2009/9/main" objectType="CheckBox" checked="Checked" fmlaLink="$A$32" lockText="1" noThreeD="1"/>
</file>

<file path=xl/ctrlProps/ctrlProp3353.xml><?xml version="1.0" encoding="utf-8"?>
<formControlPr xmlns="http://schemas.microsoft.com/office/spreadsheetml/2009/9/main" objectType="CheckBox" fmlaLink="$E$29" lockText="1" noThreeD="1"/>
</file>

<file path=xl/ctrlProps/ctrlProp3354.xml><?xml version="1.0" encoding="utf-8"?>
<formControlPr xmlns="http://schemas.microsoft.com/office/spreadsheetml/2009/9/main" objectType="CheckBox" checked="Checked" fmlaLink="$E$30" lockText="1" noThreeD="1"/>
</file>

<file path=xl/ctrlProps/ctrlProp3355.xml><?xml version="1.0" encoding="utf-8"?>
<formControlPr xmlns="http://schemas.microsoft.com/office/spreadsheetml/2009/9/main" objectType="CheckBox" checked="Checked" fmlaLink="$E$31" lockText="1" noThreeD="1"/>
</file>

<file path=xl/ctrlProps/ctrlProp3356.xml><?xml version="1.0" encoding="utf-8"?>
<formControlPr xmlns="http://schemas.microsoft.com/office/spreadsheetml/2009/9/main" objectType="CheckBox" checked="Checked" fmlaLink="$A$34" lockText="1" noThreeD="1"/>
</file>

<file path=xl/ctrlProps/ctrlProp3357.xml><?xml version="1.0" encoding="utf-8"?>
<formControlPr xmlns="http://schemas.microsoft.com/office/spreadsheetml/2009/9/main" objectType="CheckBox" checked="Checked" fmlaLink="$A$35" lockText="1" noThreeD="1"/>
</file>

<file path=xl/ctrlProps/ctrlProp3358.xml><?xml version="1.0" encoding="utf-8"?>
<formControlPr xmlns="http://schemas.microsoft.com/office/spreadsheetml/2009/9/main" objectType="CheckBox" checked="Checked" fmlaLink="$A$36" lockText="1" noThreeD="1"/>
</file>

<file path=xl/ctrlProps/ctrlProp3359.xml><?xml version="1.0" encoding="utf-8"?>
<formControlPr xmlns="http://schemas.microsoft.com/office/spreadsheetml/2009/9/main" objectType="CheckBox" checked="Checked" fmlaLink="$A$37" lockText="1" noThreeD="1"/>
</file>

<file path=xl/ctrlProps/ctrlProp3360.xml><?xml version="1.0" encoding="utf-8"?>
<formControlPr xmlns="http://schemas.microsoft.com/office/spreadsheetml/2009/9/main" objectType="CheckBox" fmlaLink="$A$38" lockText="1" noThreeD="1"/>
</file>

<file path=xl/ctrlProps/ctrlProp3361.xml><?xml version="1.0" encoding="utf-8"?>
<formControlPr xmlns="http://schemas.microsoft.com/office/spreadsheetml/2009/9/main" objectType="Button" lockText="1"/>
</file>

<file path=xl/ctrlProps/ctrlProp3362.xml><?xml version="1.0" encoding="utf-8"?>
<formControlPr xmlns="http://schemas.microsoft.com/office/spreadsheetml/2009/9/main" objectType="Button" lockText="1"/>
</file>

<file path=xl/ctrlProps/ctrlProp3363.xml><?xml version="1.0" encoding="utf-8"?>
<formControlPr xmlns="http://schemas.microsoft.com/office/spreadsheetml/2009/9/main" objectType="CheckBox" checked="Checked" fmlaLink="$D$34" lockText="1" noThreeD="1"/>
</file>

<file path=xl/ctrlProps/ctrlProp3364.xml><?xml version="1.0" encoding="utf-8"?>
<formControlPr xmlns="http://schemas.microsoft.com/office/spreadsheetml/2009/9/main" objectType="CheckBox" checked="Checked" lockText="1" noThreeD="1"/>
</file>

<file path=xl/ctrlProps/ctrlProp3365.xml><?xml version="1.0" encoding="utf-8"?>
<formControlPr xmlns="http://schemas.microsoft.com/office/spreadsheetml/2009/9/main" objectType="CheckBox" checked="Checked" lockText="1" noThreeD="1"/>
</file>

<file path=xl/ctrlProps/ctrlProp3366.xml><?xml version="1.0" encoding="utf-8"?>
<formControlPr xmlns="http://schemas.microsoft.com/office/spreadsheetml/2009/9/main" objectType="CheckBox" checked="Checked" lockText="1" noThreeD="1"/>
</file>

<file path=xl/ctrlProps/ctrlProp3367.xml><?xml version="1.0" encoding="utf-8"?>
<formControlPr xmlns="http://schemas.microsoft.com/office/spreadsheetml/2009/9/main" objectType="CheckBox" checked="Checked" lockText="1" noThreeD="1"/>
</file>

<file path=xl/ctrlProps/ctrlProp3368.xml><?xml version="1.0" encoding="utf-8"?>
<formControlPr xmlns="http://schemas.microsoft.com/office/spreadsheetml/2009/9/main" objectType="CheckBox" lockText="1" noThreeD="1"/>
</file>

<file path=xl/ctrlProps/ctrlProp3369.xml><?xml version="1.0" encoding="utf-8"?>
<formControlPr xmlns="http://schemas.microsoft.com/office/spreadsheetml/2009/9/main" objectType="CheckBox" lockText="1" noThreeD="1"/>
</file>

<file path=xl/ctrlProps/ctrlProp3370.xml><?xml version="1.0" encoding="utf-8"?>
<formControlPr xmlns="http://schemas.microsoft.com/office/spreadsheetml/2009/9/main" objectType="CheckBox" lockText="1" noThreeD="1"/>
</file>

<file path=xl/ctrlProps/ctrlProp3371.xml><?xml version="1.0" encoding="utf-8"?>
<formControlPr xmlns="http://schemas.microsoft.com/office/spreadsheetml/2009/9/main" objectType="CheckBox" fmlaLink="$A$43" lockText="1" noThreeD="1"/>
</file>

<file path=xl/ctrlProps/ctrlProp3372.xml><?xml version="1.0" encoding="utf-8"?>
<formControlPr xmlns="http://schemas.microsoft.com/office/spreadsheetml/2009/9/main" objectType="CheckBox" fmlaLink="$A$44" lockText="1" noThreeD="1"/>
</file>

<file path=xl/ctrlProps/ctrlProp3373.xml><?xml version="1.0" encoding="utf-8"?>
<formControlPr xmlns="http://schemas.microsoft.com/office/spreadsheetml/2009/9/main" objectType="CheckBox" fmlaLink="$A$45" lockText="1" noThreeD="1"/>
</file>

<file path=xl/ctrlProps/ctrlProp3374.xml><?xml version="1.0" encoding="utf-8"?>
<formControlPr xmlns="http://schemas.microsoft.com/office/spreadsheetml/2009/9/main" objectType="CheckBox" fmlaLink="$A$46" lockText="1" noThreeD="1"/>
</file>

<file path=xl/ctrlProps/ctrlProp3375.xml><?xml version="1.0" encoding="utf-8"?>
<formControlPr xmlns="http://schemas.microsoft.com/office/spreadsheetml/2009/9/main" objectType="CheckBox" fmlaLink="$A$47" lockText="1" noThreeD="1"/>
</file>

<file path=xl/ctrlProps/ctrlProp3376.xml><?xml version="1.0" encoding="utf-8"?>
<formControlPr xmlns="http://schemas.microsoft.com/office/spreadsheetml/2009/9/main" objectType="CheckBox" fmlaLink="$A$48" lockText="1" noThreeD="1"/>
</file>

<file path=xl/ctrlProps/ctrlProp3377.xml><?xml version="1.0" encoding="utf-8"?>
<formControlPr xmlns="http://schemas.microsoft.com/office/spreadsheetml/2009/9/main" objectType="CheckBox" fmlaLink="$A$49" lockText="1" noThreeD="1"/>
</file>

<file path=xl/ctrlProps/ctrlProp3378.xml><?xml version="1.0" encoding="utf-8"?>
<formControlPr xmlns="http://schemas.microsoft.com/office/spreadsheetml/2009/9/main" objectType="Button" lockText="1"/>
</file>

<file path=xl/ctrlProps/ctrlProp3379.xml><?xml version="1.0" encoding="utf-8"?>
<formControlPr xmlns="http://schemas.microsoft.com/office/spreadsheetml/2009/9/main" objectType="Button" lockText="1"/>
</file>

<file path=xl/ctrlProps/ctrlProp3380.xml><?xml version="1.0" encoding="utf-8"?>
<formControlPr xmlns="http://schemas.microsoft.com/office/spreadsheetml/2009/9/main" objectType="CheckBox" fmlaLink="$A$40" lockText="1" noThreeD="1"/>
</file>

<file path=xl/ctrlProps/ctrlProp3381.xml><?xml version="1.0" encoding="utf-8"?>
<formControlPr xmlns="http://schemas.microsoft.com/office/spreadsheetml/2009/9/main" objectType="Button" lockText="1"/>
</file>

<file path=xl/ctrlProps/ctrlProp3382.xml><?xml version="1.0" encoding="utf-8"?>
<formControlPr xmlns="http://schemas.microsoft.com/office/spreadsheetml/2009/9/main" objectType="Button" lockText="1"/>
</file>

<file path=xl/ctrlProps/ctrlProp3383.xml><?xml version="1.0" encoding="utf-8"?>
<formControlPr xmlns="http://schemas.microsoft.com/office/spreadsheetml/2009/9/main" objectType="Button" lockText="1"/>
</file>

<file path=xl/ctrlProps/ctrlProp3384.xml><?xml version="1.0" encoding="utf-8"?>
<formControlPr xmlns="http://schemas.microsoft.com/office/spreadsheetml/2009/9/main" objectType="Button" lockText="1"/>
</file>

<file path=xl/ctrlProps/ctrlProp3385.xml><?xml version="1.0" encoding="utf-8"?>
<formControlPr xmlns="http://schemas.microsoft.com/office/spreadsheetml/2009/9/main" objectType="CheckBox" fmlaLink="$A$49" lockText="1" noThreeD="1"/>
</file>

<file path=xl/ctrlProps/ctrlProp3386.xml><?xml version="1.0" encoding="utf-8"?>
<formControlPr xmlns="http://schemas.microsoft.com/office/spreadsheetml/2009/9/main" objectType="CheckBox" fmlaLink="$A$28" lockText="1" noThreeD="1"/>
</file>

<file path=xl/ctrlProps/ctrlProp3387.xml><?xml version="1.0" encoding="utf-8"?>
<formControlPr xmlns="http://schemas.microsoft.com/office/spreadsheetml/2009/9/main" objectType="CheckBox" fmlaLink="$A$29" lockText="1" noThreeD="1"/>
</file>

<file path=xl/ctrlProps/ctrlProp3388.xml><?xml version="1.0" encoding="utf-8"?>
<formControlPr xmlns="http://schemas.microsoft.com/office/spreadsheetml/2009/9/main" objectType="CheckBox" fmlaLink="$A$30" lockText="1" noThreeD="1"/>
</file>

<file path=xl/ctrlProps/ctrlProp3389.xml><?xml version="1.0" encoding="utf-8"?>
<formControlPr xmlns="http://schemas.microsoft.com/office/spreadsheetml/2009/9/main" objectType="CheckBox" fmlaLink="$A$31" lockText="1" noThreeD="1"/>
</file>

<file path=xl/ctrlProps/ctrlProp3390.xml><?xml version="1.0" encoding="utf-8"?>
<formControlPr xmlns="http://schemas.microsoft.com/office/spreadsheetml/2009/9/main" objectType="CheckBox" fmlaLink="$E$28" lockText="1" noThreeD="1"/>
</file>

<file path=xl/ctrlProps/ctrlProp3391.xml><?xml version="1.0" encoding="utf-8"?>
<formControlPr xmlns="http://schemas.microsoft.com/office/spreadsheetml/2009/9/main" objectType="CheckBox" fmlaLink="$E$29" lockText="1" noThreeD="1"/>
</file>

<file path=xl/ctrlProps/ctrlProp3392.xml><?xml version="1.0" encoding="utf-8"?>
<formControlPr xmlns="http://schemas.microsoft.com/office/spreadsheetml/2009/9/main" objectType="CheckBox" fmlaLink="$E$30" lockText="1" noThreeD="1"/>
</file>

<file path=xl/ctrlProps/ctrlProp3393.xml><?xml version="1.0" encoding="utf-8"?>
<formControlPr xmlns="http://schemas.microsoft.com/office/spreadsheetml/2009/9/main" objectType="CheckBox" fmlaLink="$A$33" lockText="1" noThreeD="1"/>
</file>

<file path=xl/ctrlProps/ctrlProp3394.xml><?xml version="1.0" encoding="utf-8"?>
<formControlPr xmlns="http://schemas.microsoft.com/office/spreadsheetml/2009/9/main" objectType="CheckBox" fmlaLink="$A$34" lockText="1" noThreeD="1"/>
</file>

<file path=xl/ctrlProps/ctrlProp3395.xml><?xml version="1.0" encoding="utf-8"?>
<formControlPr xmlns="http://schemas.microsoft.com/office/spreadsheetml/2009/9/main" objectType="CheckBox" fmlaLink="$A$35" lockText="1" noThreeD="1"/>
</file>

<file path=xl/ctrlProps/ctrlProp3396.xml><?xml version="1.0" encoding="utf-8"?>
<formControlPr xmlns="http://schemas.microsoft.com/office/spreadsheetml/2009/9/main" objectType="CheckBox" fmlaLink="$A$36" lockText="1" noThreeD="1"/>
</file>

<file path=xl/ctrlProps/ctrlProp3397.xml><?xml version="1.0" encoding="utf-8"?>
<formControlPr xmlns="http://schemas.microsoft.com/office/spreadsheetml/2009/9/main" objectType="CheckBox" fmlaLink="$A$37" lockText="1" noThreeD="1"/>
</file>

<file path=xl/ctrlProps/ctrlProp3398.xml><?xml version="1.0" encoding="utf-8"?>
<formControlPr xmlns="http://schemas.microsoft.com/office/spreadsheetml/2009/9/main" objectType="Button" lockText="1"/>
</file>

<file path=xl/ctrlProps/ctrlProp3399.xml><?xml version="1.0" encoding="utf-8"?>
<formControlPr xmlns="http://schemas.microsoft.com/office/spreadsheetml/2009/9/main" objectType="Button" lockText="1"/>
</file>

<file path=xl/ctrlProps/ctrlProp3400.xml><?xml version="1.0" encoding="utf-8"?>
<formControlPr xmlns="http://schemas.microsoft.com/office/spreadsheetml/2009/9/main" objectType="CheckBox" fmlaLink="$D$33" lockText="1" noThreeD="1"/>
</file>

<file path=xl/ctrlProps/ctrlProp3401.xml><?xml version="1.0" encoding="utf-8"?>
<formControlPr xmlns="http://schemas.microsoft.com/office/spreadsheetml/2009/9/main" objectType="CheckBox" lockText="1" noThreeD="1"/>
</file>

<file path=xl/ctrlProps/ctrlProp3402.xml><?xml version="1.0" encoding="utf-8"?>
<formControlPr xmlns="http://schemas.microsoft.com/office/spreadsheetml/2009/9/main" objectType="CheckBox" lockText="1" noThreeD="1"/>
</file>

<file path=xl/ctrlProps/ctrlProp3403.xml><?xml version="1.0" encoding="utf-8"?>
<formControlPr xmlns="http://schemas.microsoft.com/office/spreadsheetml/2009/9/main" objectType="CheckBox" lockText="1" noThreeD="1"/>
</file>

<file path=xl/ctrlProps/ctrlProp3404.xml><?xml version="1.0" encoding="utf-8"?>
<formControlPr xmlns="http://schemas.microsoft.com/office/spreadsheetml/2009/9/main" objectType="CheckBox" lockText="1" noThreeD="1"/>
</file>

<file path=xl/ctrlProps/ctrlProp3405.xml><?xml version="1.0" encoding="utf-8"?>
<formControlPr xmlns="http://schemas.microsoft.com/office/spreadsheetml/2009/9/main" objectType="CheckBox" lockText="1" noThreeD="1"/>
</file>

<file path=xl/ctrlProps/ctrlProp3406.xml><?xml version="1.0" encoding="utf-8"?>
<formControlPr xmlns="http://schemas.microsoft.com/office/spreadsheetml/2009/9/main" objectType="CheckBox" lockText="1" noThreeD="1"/>
</file>

<file path=xl/ctrlProps/ctrlProp3407.xml><?xml version="1.0" encoding="utf-8"?>
<formControlPr xmlns="http://schemas.microsoft.com/office/spreadsheetml/2009/9/main" objectType="CheckBox" lockText="1" noThreeD="1"/>
</file>

<file path=xl/ctrlProps/ctrlProp3408.xml><?xml version="1.0" encoding="utf-8"?>
<formControlPr xmlns="http://schemas.microsoft.com/office/spreadsheetml/2009/9/main" objectType="CheckBox" fmlaLink="$A$43" lockText="1" noThreeD="1"/>
</file>

<file path=xl/ctrlProps/ctrlProp3409.xml><?xml version="1.0" encoding="utf-8"?>
<formControlPr xmlns="http://schemas.microsoft.com/office/spreadsheetml/2009/9/main" objectType="CheckBox" fmlaLink="$A$44" lockText="1" noThreeD="1"/>
</file>

<file path=xl/ctrlProps/ctrlProp3410.xml><?xml version="1.0" encoding="utf-8"?>
<formControlPr xmlns="http://schemas.microsoft.com/office/spreadsheetml/2009/9/main" objectType="CheckBox" fmlaLink="$A$45" lockText="1" noThreeD="1"/>
</file>

<file path=xl/ctrlProps/ctrlProp3411.xml><?xml version="1.0" encoding="utf-8"?>
<formControlPr xmlns="http://schemas.microsoft.com/office/spreadsheetml/2009/9/main" objectType="CheckBox" fmlaLink="$A$46" lockText="1" noThreeD="1"/>
</file>

<file path=xl/ctrlProps/ctrlProp3412.xml><?xml version="1.0" encoding="utf-8"?>
<formControlPr xmlns="http://schemas.microsoft.com/office/spreadsheetml/2009/9/main" objectType="CheckBox" fmlaLink="$A$47" lockText="1" noThreeD="1"/>
</file>

<file path=xl/ctrlProps/ctrlProp3413.xml><?xml version="1.0" encoding="utf-8"?>
<formControlPr xmlns="http://schemas.microsoft.com/office/spreadsheetml/2009/9/main" objectType="CheckBox" fmlaLink="$A$48" lockText="1" noThreeD="1"/>
</file>

<file path=xl/ctrlProps/ctrlProp3414.xml><?xml version="1.0" encoding="utf-8"?>
<formControlPr xmlns="http://schemas.microsoft.com/office/spreadsheetml/2009/9/main" objectType="CheckBox" fmlaLink="$A$49" lockText="1" noThreeD="1"/>
</file>

<file path=xl/ctrlProps/ctrlProp3415.xml><?xml version="1.0" encoding="utf-8"?>
<formControlPr xmlns="http://schemas.microsoft.com/office/spreadsheetml/2009/9/main" objectType="Button" lockText="1"/>
</file>

<file path=xl/ctrlProps/ctrlProp3416.xml><?xml version="1.0" encoding="utf-8"?>
<formControlPr xmlns="http://schemas.microsoft.com/office/spreadsheetml/2009/9/main" objectType="Button" lockText="1"/>
</file>

<file path=xl/ctrlProps/ctrlProp3417.xml><?xml version="1.0" encoding="utf-8"?>
<formControlPr xmlns="http://schemas.microsoft.com/office/spreadsheetml/2009/9/main" objectType="CheckBox" fmlaLink="$A$40" lockText="1" noThreeD="1"/>
</file>

<file path=xl/ctrlProps/ctrlProp3418.xml><?xml version="1.0" encoding="utf-8"?>
<formControlPr xmlns="http://schemas.microsoft.com/office/spreadsheetml/2009/9/main" objectType="Button" lockText="1"/>
</file>

<file path=xl/ctrlProps/ctrlProp3419.xml><?xml version="1.0" encoding="utf-8"?>
<formControlPr xmlns="http://schemas.microsoft.com/office/spreadsheetml/2009/9/main" objectType="Button" lockText="1"/>
</file>

<file path=xl/ctrlProps/ctrlProp3420.xml><?xml version="1.0" encoding="utf-8"?>
<formControlPr xmlns="http://schemas.microsoft.com/office/spreadsheetml/2009/9/main" objectType="Button" lockText="1"/>
</file>

<file path=xl/ctrlProps/ctrlProp3421.xml><?xml version="1.0" encoding="utf-8"?>
<formControlPr xmlns="http://schemas.microsoft.com/office/spreadsheetml/2009/9/main" objectType="Button" lockText="1"/>
</file>

<file path=xl/ctrlProps/ctrlProp3422.xml><?xml version="1.0" encoding="utf-8"?>
<formControlPr xmlns="http://schemas.microsoft.com/office/spreadsheetml/2009/9/main" objectType="CheckBox" fmlaLink="$A$49" lockText="1" noThreeD="1"/>
</file>

<file path=xl/ctrlProps/ctrlProp3423.xml><?xml version="1.0" encoding="utf-8"?>
<formControlPr xmlns="http://schemas.microsoft.com/office/spreadsheetml/2009/9/main" objectType="CheckBox" fmlaLink="$A$28" lockText="1" noThreeD="1"/>
</file>

<file path=xl/ctrlProps/ctrlProp3424.xml><?xml version="1.0" encoding="utf-8"?>
<formControlPr xmlns="http://schemas.microsoft.com/office/spreadsheetml/2009/9/main" objectType="CheckBox" fmlaLink="$A$29" lockText="1" noThreeD="1"/>
</file>

<file path=xl/ctrlProps/ctrlProp3425.xml><?xml version="1.0" encoding="utf-8"?>
<formControlPr xmlns="http://schemas.microsoft.com/office/spreadsheetml/2009/9/main" objectType="CheckBox" fmlaLink="$A$30" lockText="1" noThreeD="1"/>
</file>

<file path=xl/ctrlProps/ctrlProp3426.xml><?xml version="1.0" encoding="utf-8"?>
<formControlPr xmlns="http://schemas.microsoft.com/office/spreadsheetml/2009/9/main" objectType="CheckBox" fmlaLink="$A$31" lockText="1" noThreeD="1"/>
</file>

<file path=xl/ctrlProps/ctrlProp3427.xml><?xml version="1.0" encoding="utf-8"?>
<formControlPr xmlns="http://schemas.microsoft.com/office/spreadsheetml/2009/9/main" objectType="CheckBox" fmlaLink="$E$28" lockText="1" noThreeD="1"/>
</file>

<file path=xl/ctrlProps/ctrlProp3428.xml><?xml version="1.0" encoding="utf-8"?>
<formControlPr xmlns="http://schemas.microsoft.com/office/spreadsheetml/2009/9/main" objectType="CheckBox" fmlaLink="$E$29" lockText="1" noThreeD="1"/>
</file>

<file path=xl/ctrlProps/ctrlProp3429.xml><?xml version="1.0" encoding="utf-8"?>
<formControlPr xmlns="http://schemas.microsoft.com/office/spreadsheetml/2009/9/main" objectType="CheckBox" fmlaLink="$E$30" lockText="1" noThreeD="1"/>
</file>

<file path=xl/ctrlProps/ctrlProp3430.xml><?xml version="1.0" encoding="utf-8"?>
<formControlPr xmlns="http://schemas.microsoft.com/office/spreadsheetml/2009/9/main" objectType="CheckBox" checked="Checked" fmlaLink="$A$33" lockText="1" noThreeD="1"/>
</file>

<file path=xl/ctrlProps/ctrlProp3431.xml><?xml version="1.0" encoding="utf-8"?>
<formControlPr xmlns="http://schemas.microsoft.com/office/spreadsheetml/2009/9/main" objectType="CheckBox" checked="Checked" fmlaLink="$A$34" lockText="1" noThreeD="1"/>
</file>

<file path=xl/ctrlProps/ctrlProp3432.xml><?xml version="1.0" encoding="utf-8"?>
<formControlPr xmlns="http://schemas.microsoft.com/office/spreadsheetml/2009/9/main" objectType="CheckBox" checked="Checked" fmlaLink="$A$35" lockText="1" noThreeD="1"/>
</file>

<file path=xl/ctrlProps/ctrlProp3433.xml><?xml version="1.0" encoding="utf-8"?>
<formControlPr xmlns="http://schemas.microsoft.com/office/spreadsheetml/2009/9/main" objectType="CheckBox" checked="Checked" fmlaLink="$A$36" lockText="1" noThreeD="1"/>
</file>

<file path=xl/ctrlProps/ctrlProp3434.xml><?xml version="1.0" encoding="utf-8"?>
<formControlPr xmlns="http://schemas.microsoft.com/office/spreadsheetml/2009/9/main" objectType="CheckBox" fmlaLink="$A$37" lockText="1" noThreeD="1"/>
</file>

<file path=xl/ctrlProps/ctrlProp3435.xml><?xml version="1.0" encoding="utf-8"?>
<formControlPr xmlns="http://schemas.microsoft.com/office/spreadsheetml/2009/9/main" objectType="Button" lockText="1"/>
</file>

<file path=xl/ctrlProps/ctrlProp3436.xml><?xml version="1.0" encoding="utf-8"?>
<formControlPr xmlns="http://schemas.microsoft.com/office/spreadsheetml/2009/9/main" objectType="Button" lockText="1"/>
</file>

<file path=xl/ctrlProps/ctrlProp3437.xml><?xml version="1.0" encoding="utf-8"?>
<formControlPr xmlns="http://schemas.microsoft.com/office/spreadsheetml/2009/9/main" objectType="CheckBox" checked="Checked" fmlaLink="$D$33" lockText="1" noThreeD="1"/>
</file>

<file path=xl/ctrlProps/ctrlProp3438.xml><?xml version="1.0" encoding="utf-8"?>
<formControlPr xmlns="http://schemas.microsoft.com/office/spreadsheetml/2009/9/main" objectType="CheckBox" checked="Checked" lockText="1" noThreeD="1"/>
</file>

<file path=xl/ctrlProps/ctrlProp3439.xml><?xml version="1.0" encoding="utf-8"?>
<formControlPr xmlns="http://schemas.microsoft.com/office/spreadsheetml/2009/9/main" objectType="CheckBox" checked="Checked" lockText="1" noThreeD="1"/>
</file>

<file path=xl/ctrlProps/ctrlProp3440.xml><?xml version="1.0" encoding="utf-8"?>
<formControlPr xmlns="http://schemas.microsoft.com/office/spreadsheetml/2009/9/main" objectType="CheckBox" checked="Checked" lockText="1" noThreeD="1"/>
</file>

<file path=xl/ctrlProps/ctrlProp3441.xml><?xml version="1.0" encoding="utf-8"?>
<formControlPr xmlns="http://schemas.microsoft.com/office/spreadsheetml/2009/9/main" objectType="CheckBox" checked="Checked" lockText="1" noThreeD="1"/>
</file>

<file path=xl/ctrlProps/ctrlProp3442.xml><?xml version="1.0" encoding="utf-8"?>
<formControlPr xmlns="http://schemas.microsoft.com/office/spreadsheetml/2009/9/main" objectType="CheckBox" checked="Checked" lockText="1" noThreeD="1"/>
</file>

<file path=xl/ctrlProps/ctrlProp3443.xml><?xml version="1.0" encoding="utf-8"?>
<formControlPr xmlns="http://schemas.microsoft.com/office/spreadsheetml/2009/9/main" objectType="CheckBox" lockText="1" noThreeD="1"/>
</file>

<file path=xl/ctrlProps/ctrlProp3444.xml><?xml version="1.0" encoding="utf-8"?>
<formControlPr xmlns="http://schemas.microsoft.com/office/spreadsheetml/2009/9/main" objectType="CheckBox" checked="Checked" lockText="1" noThreeD="1"/>
</file>

<file path=xl/ctrlProps/ctrlProp3445.xml><?xml version="1.0" encoding="utf-8"?>
<formControlPr xmlns="http://schemas.microsoft.com/office/spreadsheetml/2009/9/main" objectType="CheckBox" fmlaLink="$A$43" lockText="1" noThreeD="1"/>
</file>

<file path=xl/ctrlProps/ctrlProp3446.xml><?xml version="1.0" encoding="utf-8"?>
<formControlPr xmlns="http://schemas.microsoft.com/office/spreadsheetml/2009/9/main" objectType="CheckBox" fmlaLink="$A$44" lockText="1" noThreeD="1"/>
</file>

<file path=xl/ctrlProps/ctrlProp3447.xml><?xml version="1.0" encoding="utf-8"?>
<formControlPr xmlns="http://schemas.microsoft.com/office/spreadsheetml/2009/9/main" objectType="CheckBox" fmlaLink="$A$45" lockText="1" noThreeD="1"/>
</file>

<file path=xl/ctrlProps/ctrlProp3448.xml><?xml version="1.0" encoding="utf-8"?>
<formControlPr xmlns="http://schemas.microsoft.com/office/spreadsheetml/2009/9/main" objectType="CheckBox" fmlaLink="$A$46" lockText="1" noThreeD="1"/>
</file>

<file path=xl/ctrlProps/ctrlProp3449.xml><?xml version="1.0" encoding="utf-8"?>
<formControlPr xmlns="http://schemas.microsoft.com/office/spreadsheetml/2009/9/main" objectType="CheckBox" fmlaLink="$A$47" lockText="1" noThreeD="1"/>
</file>

<file path=xl/ctrlProps/ctrlProp3450.xml><?xml version="1.0" encoding="utf-8"?>
<formControlPr xmlns="http://schemas.microsoft.com/office/spreadsheetml/2009/9/main" objectType="CheckBox" fmlaLink="$A$48" lockText="1" noThreeD="1"/>
</file>

<file path=xl/ctrlProps/ctrlProp3451.xml><?xml version="1.0" encoding="utf-8"?>
<formControlPr xmlns="http://schemas.microsoft.com/office/spreadsheetml/2009/9/main" objectType="CheckBox" fmlaLink="$A$49" lockText="1" noThreeD="1"/>
</file>

<file path=xl/ctrlProps/ctrlProp3452.xml><?xml version="1.0" encoding="utf-8"?>
<formControlPr xmlns="http://schemas.microsoft.com/office/spreadsheetml/2009/9/main" objectType="Button" lockText="1"/>
</file>

<file path=xl/ctrlProps/ctrlProp3453.xml><?xml version="1.0" encoding="utf-8"?>
<formControlPr xmlns="http://schemas.microsoft.com/office/spreadsheetml/2009/9/main" objectType="Button" lockText="1"/>
</file>

<file path=xl/ctrlProps/ctrlProp3454.xml><?xml version="1.0" encoding="utf-8"?>
<formControlPr xmlns="http://schemas.microsoft.com/office/spreadsheetml/2009/9/main" objectType="CheckBox" fmlaLink="$A$40" lockText="1" noThreeD="1"/>
</file>

<file path=xl/ctrlProps/ctrlProp3455.xml><?xml version="1.0" encoding="utf-8"?>
<formControlPr xmlns="http://schemas.microsoft.com/office/spreadsheetml/2009/9/main" objectType="Button" lockText="1"/>
</file>

<file path=xl/ctrlProps/ctrlProp3456.xml><?xml version="1.0" encoding="utf-8"?>
<formControlPr xmlns="http://schemas.microsoft.com/office/spreadsheetml/2009/9/main" objectType="Button" lockText="1"/>
</file>

<file path=xl/ctrlProps/ctrlProp3457.xml><?xml version="1.0" encoding="utf-8"?>
<formControlPr xmlns="http://schemas.microsoft.com/office/spreadsheetml/2009/9/main" objectType="Button" lockText="1"/>
</file>

<file path=xl/ctrlProps/ctrlProp3458.xml><?xml version="1.0" encoding="utf-8"?>
<formControlPr xmlns="http://schemas.microsoft.com/office/spreadsheetml/2009/9/main" objectType="Button" lockText="1"/>
</file>

<file path=xl/ctrlProps/ctrlProp3459.xml><?xml version="1.0" encoding="utf-8"?>
<formControlPr xmlns="http://schemas.microsoft.com/office/spreadsheetml/2009/9/main" objectType="CheckBox" fmlaLink="$A$49" lockText="1" noThreeD="1"/>
</file>

<file path=xl/ctrlProps/ctrlProp3460.xml><?xml version="1.0" encoding="utf-8"?>
<formControlPr xmlns="http://schemas.microsoft.com/office/spreadsheetml/2009/9/main" objectType="CheckBox" fmlaLink="$A$28" lockText="1" noThreeD="1"/>
</file>

<file path=xl/ctrlProps/ctrlProp3461.xml><?xml version="1.0" encoding="utf-8"?>
<formControlPr xmlns="http://schemas.microsoft.com/office/spreadsheetml/2009/9/main" objectType="CheckBox" fmlaLink="$A$29" lockText="1" noThreeD="1"/>
</file>

<file path=xl/ctrlProps/ctrlProp3462.xml><?xml version="1.0" encoding="utf-8"?>
<formControlPr xmlns="http://schemas.microsoft.com/office/spreadsheetml/2009/9/main" objectType="CheckBox" fmlaLink="$A$30" lockText="1" noThreeD="1"/>
</file>

<file path=xl/ctrlProps/ctrlProp3463.xml><?xml version="1.0" encoding="utf-8"?>
<formControlPr xmlns="http://schemas.microsoft.com/office/spreadsheetml/2009/9/main" objectType="CheckBox" fmlaLink="$A$31" lockText="1" noThreeD="1"/>
</file>

<file path=xl/ctrlProps/ctrlProp3464.xml><?xml version="1.0" encoding="utf-8"?>
<formControlPr xmlns="http://schemas.microsoft.com/office/spreadsheetml/2009/9/main" objectType="CheckBox" fmlaLink="$E$28" lockText="1" noThreeD="1"/>
</file>

<file path=xl/ctrlProps/ctrlProp3465.xml><?xml version="1.0" encoding="utf-8"?>
<formControlPr xmlns="http://schemas.microsoft.com/office/spreadsheetml/2009/9/main" objectType="CheckBox" fmlaLink="$E$29" lockText="1" noThreeD="1"/>
</file>

<file path=xl/ctrlProps/ctrlProp3466.xml><?xml version="1.0" encoding="utf-8"?>
<formControlPr xmlns="http://schemas.microsoft.com/office/spreadsheetml/2009/9/main" objectType="CheckBox" fmlaLink="$E$30" lockText="1" noThreeD="1"/>
</file>

<file path=xl/ctrlProps/ctrlProp3467.xml><?xml version="1.0" encoding="utf-8"?>
<formControlPr xmlns="http://schemas.microsoft.com/office/spreadsheetml/2009/9/main" objectType="CheckBox" checked="Checked" fmlaLink="$A$33" lockText="1" noThreeD="1"/>
</file>

<file path=xl/ctrlProps/ctrlProp3468.xml><?xml version="1.0" encoding="utf-8"?>
<formControlPr xmlns="http://schemas.microsoft.com/office/spreadsheetml/2009/9/main" objectType="CheckBox" checked="Checked" fmlaLink="$A$34" lockText="1" noThreeD="1"/>
</file>

<file path=xl/ctrlProps/ctrlProp3469.xml><?xml version="1.0" encoding="utf-8"?>
<formControlPr xmlns="http://schemas.microsoft.com/office/spreadsheetml/2009/9/main" objectType="CheckBox" checked="Checked" fmlaLink="$A$35" lockText="1" noThreeD="1"/>
</file>

<file path=xl/ctrlProps/ctrlProp3470.xml><?xml version="1.0" encoding="utf-8"?>
<formControlPr xmlns="http://schemas.microsoft.com/office/spreadsheetml/2009/9/main" objectType="CheckBox" checked="Checked" fmlaLink="$A$36" lockText="1" noThreeD="1"/>
</file>

<file path=xl/ctrlProps/ctrlProp3471.xml><?xml version="1.0" encoding="utf-8"?>
<formControlPr xmlns="http://schemas.microsoft.com/office/spreadsheetml/2009/9/main" objectType="CheckBox" fmlaLink="$A$37" lockText="1" noThreeD="1"/>
</file>

<file path=xl/ctrlProps/ctrlProp3472.xml><?xml version="1.0" encoding="utf-8"?>
<formControlPr xmlns="http://schemas.microsoft.com/office/spreadsheetml/2009/9/main" objectType="Button" lockText="1"/>
</file>

<file path=xl/ctrlProps/ctrlProp3473.xml><?xml version="1.0" encoding="utf-8"?>
<formControlPr xmlns="http://schemas.microsoft.com/office/spreadsheetml/2009/9/main" objectType="Button" lockText="1"/>
</file>

<file path=xl/ctrlProps/ctrlProp3474.xml><?xml version="1.0" encoding="utf-8"?>
<formControlPr xmlns="http://schemas.microsoft.com/office/spreadsheetml/2009/9/main" objectType="CheckBox" checked="Checked" fmlaLink="$D$33" lockText="1" noThreeD="1"/>
</file>

<file path=xl/ctrlProps/ctrlProp3475.xml><?xml version="1.0" encoding="utf-8"?>
<formControlPr xmlns="http://schemas.microsoft.com/office/spreadsheetml/2009/9/main" objectType="CheckBox" checked="Checked" lockText="1" noThreeD="1"/>
</file>

<file path=xl/ctrlProps/ctrlProp3476.xml><?xml version="1.0" encoding="utf-8"?>
<formControlPr xmlns="http://schemas.microsoft.com/office/spreadsheetml/2009/9/main" objectType="CheckBox" checked="Checked" lockText="1" noThreeD="1"/>
</file>

<file path=xl/ctrlProps/ctrlProp3477.xml><?xml version="1.0" encoding="utf-8"?>
<formControlPr xmlns="http://schemas.microsoft.com/office/spreadsheetml/2009/9/main" objectType="CheckBox" checked="Checked" lockText="1" noThreeD="1"/>
</file>

<file path=xl/ctrlProps/ctrlProp3478.xml><?xml version="1.0" encoding="utf-8"?>
<formControlPr xmlns="http://schemas.microsoft.com/office/spreadsheetml/2009/9/main" objectType="CheckBox" checked="Checked" lockText="1" noThreeD="1"/>
</file>

<file path=xl/ctrlProps/ctrlProp3479.xml><?xml version="1.0" encoding="utf-8"?>
<formControlPr xmlns="http://schemas.microsoft.com/office/spreadsheetml/2009/9/main" objectType="CheckBox" checked="Checked" lockText="1" noThreeD="1"/>
</file>

<file path=xl/ctrlProps/ctrlProp3480.xml><?xml version="1.0" encoding="utf-8"?>
<formControlPr xmlns="http://schemas.microsoft.com/office/spreadsheetml/2009/9/main" objectType="CheckBox" checked="Checked" lockText="1" noThreeD="1"/>
</file>

<file path=xl/ctrlProps/ctrlProp3481.xml><?xml version="1.0" encoding="utf-8"?>
<formControlPr xmlns="http://schemas.microsoft.com/office/spreadsheetml/2009/9/main" objectType="CheckBox" lockText="1" noThreeD="1"/>
</file>

<file path=xl/ctrlProps/ctrlProp3482.xml><?xml version="1.0" encoding="utf-8"?>
<formControlPr xmlns="http://schemas.microsoft.com/office/spreadsheetml/2009/9/main" objectType="CheckBox" fmlaLink="$A$43" lockText="1" noThreeD="1"/>
</file>

<file path=xl/ctrlProps/ctrlProp3483.xml><?xml version="1.0" encoding="utf-8"?>
<formControlPr xmlns="http://schemas.microsoft.com/office/spreadsheetml/2009/9/main" objectType="CheckBox" fmlaLink="$A$44" lockText="1" noThreeD="1"/>
</file>

<file path=xl/ctrlProps/ctrlProp3484.xml><?xml version="1.0" encoding="utf-8"?>
<formControlPr xmlns="http://schemas.microsoft.com/office/spreadsheetml/2009/9/main" objectType="CheckBox" fmlaLink="$A$45" lockText="1" noThreeD="1"/>
</file>

<file path=xl/ctrlProps/ctrlProp3485.xml><?xml version="1.0" encoding="utf-8"?>
<formControlPr xmlns="http://schemas.microsoft.com/office/spreadsheetml/2009/9/main" objectType="CheckBox" fmlaLink="$A$46" lockText="1" noThreeD="1"/>
</file>

<file path=xl/ctrlProps/ctrlProp3486.xml><?xml version="1.0" encoding="utf-8"?>
<formControlPr xmlns="http://schemas.microsoft.com/office/spreadsheetml/2009/9/main" objectType="CheckBox" fmlaLink="$A$47" lockText="1" noThreeD="1"/>
</file>

<file path=xl/ctrlProps/ctrlProp3487.xml><?xml version="1.0" encoding="utf-8"?>
<formControlPr xmlns="http://schemas.microsoft.com/office/spreadsheetml/2009/9/main" objectType="CheckBox" fmlaLink="$A$48" lockText="1" noThreeD="1"/>
</file>

<file path=xl/ctrlProps/ctrlProp3488.xml><?xml version="1.0" encoding="utf-8"?>
<formControlPr xmlns="http://schemas.microsoft.com/office/spreadsheetml/2009/9/main" objectType="CheckBox" fmlaLink="$A$49" lockText="1" noThreeD="1"/>
</file>

<file path=xl/ctrlProps/ctrlProp3489.xml><?xml version="1.0" encoding="utf-8"?>
<formControlPr xmlns="http://schemas.microsoft.com/office/spreadsheetml/2009/9/main" objectType="Button" lockText="1"/>
</file>

<file path=xl/ctrlProps/ctrlProp3490.xml><?xml version="1.0" encoding="utf-8"?>
<formControlPr xmlns="http://schemas.microsoft.com/office/spreadsheetml/2009/9/main" objectType="Button" lockText="1"/>
</file>

<file path=xl/ctrlProps/ctrlProp3491.xml><?xml version="1.0" encoding="utf-8"?>
<formControlPr xmlns="http://schemas.microsoft.com/office/spreadsheetml/2009/9/main" objectType="CheckBox" fmlaLink="$A$40" lockText="1" noThreeD="1"/>
</file>

<file path=xl/ctrlProps/ctrlProp3492.xml><?xml version="1.0" encoding="utf-8"?>
<formControlPr xmlns="http://schemas.microsoft.com/office/spreadsheetml/2009/9/main" objectType="Button" lockText="1"/>
</file>

<file path=xl/ctrlProps/ctrlProp3493.xml><?xml version="1.0" encoding="utf-8"?>
<formControlPr xmlns="http://schemas.microsoft.com/office/spreadsheetml/2009/9/main" objectType="Button" lockText="1"/>
</file>

<file path=xl/ctrlProps/ctrlProp3494.xml><?xml version="1.0" encoding="utf-8"?>
<formControlPr xmlns="http://schemas.microsoft.com/office/spreadsheetml/2009/9/main" objectType="Button" lockText="1"/>
</file>

<file path=xl/ctrlProps/ctrlProp3495.xml><?xml version="1.0" encoding="utf-8"?>
<formControlPr xmlns="http://schemas.microsoft.com/office/spreadsheetml/2009/9/main" objectType="Button" lockText="1"/>
</file>

<file path=xl/ctrlProps/ctrlProp3496.xml><?xml version="1.0" encoding="utf-8"?>
<formControlPr xmlns="http://schemas.microsoft.com/office/spreadsheetml/2009/9/main" objectType="CheckBox" fmlaLink="$A$49" lockText="1" noThreeD="1"/>
</file>

<file path=xl/ctrlProps/ctrlProp3497.xml><?xml version="1.0" encoding="utf-8"?>
<formControlPr xmlns="http://schemas.microsoft.com/office/spreadsheetml/2009/9/main" objectType="CheckBox" fmlaLink="$A$28" lockText="1" noThreeD="1"/>
</file>

<file path=xl/ctrlProps/ctrlProp3498.xml><?xml version="1.0" encoding="utf-8"?>
<formControlPr xmlns="http://schemas.microsoft.com/office/spreadsheetml/2009/9/main" objectType="CheckBox" fmlaLink="$A$29" lockText="1" noThreeD="1"/>
</file>

<file path=xl/ctrlProps/ctrlProp3499.xml><?xml version="1.0" encoding="utf-8"?>
<formControlPr xmlns="http://schemas.microsoft.com/office/spreadsheetml/2009/9/main" objectType="CheckBox" fmlaLink="$A$30" lockText="1" noThreeD="1"/>
</file>

<file path=xl/ctrlProps/ctrlProp3500.xml><?xml version="1.0" encoding="utf-8"?>
<formControlPr xmlns="http://schemas.microsoft.com/office/spreadsheetml/2009/9/main" objectType="CheckBox" fmlaLink="$A$31" lockText="1" noThreeD="1"/>
</file>

<file path=xl/ctrlProps/ctrlProp3501.xml><?xml version="1.0" encoding="utf-8"?>
<formControlPr xmlns="http://schemas.microsoft.com/office/spreadsheetml/2009/9/main" objectType="CheckBox" fmlaLink="$E$28" lockText="1" noThreeD="1"/>
</file>

<file path=xl/ctrlProps/ctrlProp3502.xml><?xml version="1.0" encoding="utf-8"?>
<formControlPr xmlns="http://schemas.microsoft.com/office/spreadsheetml/2009/9/main" objectType="CheckBox" fmlaLink="$E$29" lockText="1" noThreeD="1"/>
</file>

<file path=xl/ctrlProps/ctrlProp3503.xml><?xml version="1.0" encoding="utf-8"?>
<formControlPr xmlns="http://schemas.microsoft.com/office/spreadsheetml/2009/9/main" objectType="CheckBox" fmlaLink="$E$30" lockText="1" noThreeD="1"/>
</file>

<file path=xl/ctrlProps/ctrlProp3504.xml><?xml version="1.0" encoding="utf-8"?>
<formControlPr xmlns="http://schemas.microsoft.com/office/spreadsheetml/2009/9/main" objectType="CheckBox" checked="Checked" fmlaLink="$A$33" lockText="1" noThreeD="1"/>
</file>

<file path=xl/ctrlProps/ctrlProp3505.xml><?xml version="1.0" encoding="utf-8"?>
<formControlPr xmlns="http://schemas.microsoft.com/office/spreadsheetml/2009/9/main" objectType="CheckBox" checked="Checked" fmlaLink="$A$34" lockText="1" noThreeD="1"/>
</file>

<file path=xl/ctrlProps/ctrlProp3506.xml><?xml version="1.0" encoding="utf-8"?>
<formControlPr xmlns="http://schemas.microsoft.com/office/spreadsheetml/2009/9/main" objectType="CheckBox" checked="Checked" fmlaLink="$A$35" lockText="1" noThreeD="1"/>
</file>

<file path=xl/ctrlProps/ctrlProp3507.xml><?xml version="1.0" encoding="utf-8"?>
<formControlPr xmlns="http://schemas.microsoft.com/office/spreadsheetml/2009/9/main" objectType="CheckBox" checked="Checked" fmlaLink="$A$36" lockText="1" noThreeD="1"/>
</file>

<file path=xl/ctrlProps/ctrlProp3508.xml><?xml version="1.0" encoding="utf-8"?>
<formControlPr xmlns="http://schemas.microsoft.com/office/spreadsheetml/2009/9/main" objectType="CheckBox" fmlaLink="$A$37" lockText="1" noThreeD="1"/>
</file>

<file path=xl/ctrlProps/ctrlProp3509.xml><?xml version="1.0" encoding="utf-8"?>
<formControlPr xmlns="http://schemas.microsoft.com/office/spreadsheetml/2009/9/main" objectType="Button" lockText="1"/>
</file>

<file path=xl/ctrlProps/ctrlProp3510.xml><?xml version="1.0" encoding="utf-8"?>
<formControlPr xmlns="http://schemas.microsoft.com/office/spreadsheetml/2009/9/main" objectType="Button" lockText="1"/>
</file>

<file path=xl/ctrlProps/ctrlProp3511.xml><?xml version="1.0" encoding="utf-8"?>
<formControlPr xmlns="http://schemas.microsoft.com/office/spreadsheetml/2009/9/main" objectType="CheckBox" checked="Checked" fmlaLink="$D$33" lockText="1" noThreeD="1"/>
</file>

<file path=xl/ctrlProps/ctrlProp3512.xml><?xml version="1.0" encoding="utf-8"?>
<formControlPr xmlns="http://schemas.microsoft.com/office/spreadsheetml/2009/9/main" objectType="CheckBox" checked="Checked" lockText="1" noThreeD="1"/>
</file>

<file path=xl/ctrlProps/ctrlProp3513.xml><?xml version="1.0" encoding="utf-8"?>
<formControlPr xmlns="http://schemas.microsoft.com/office/spreadsheetml/2009/9/main" objectType="CheckBox" checked="Checked" lockText="1" noThreeD="1"/>
</file>

<file path=xl/ctrlProps/ctrlProp3514.xml><?xml version="1.0" encoding="utf-8"?>
<formControlPr xmlns="http://schemas.microsoft.com/office/spreadsheetml/2009/9/main" objectType="CheckBox" checked="Checked" lockText="1" noThreeD="1"/>
</file>

<file path=xl/ctrlProps/ctrlProp3515.xml><?xml version="1.0" encoding="utf-8"?>
<formControlPr xmlns="http://schemas.microsoft.com/office/spreadsheetml/2009/9/main" objectType="CheckBox" checked="Checked" lockText="1" noThreeD="1"/>
</file>

<file path=xl/ctrlProps/ctrlProp3516.xml><?xml version="1.0" encoding="utf-8"?>
<formControlPr xmlns="http://schemas.microsoft.com/office/spreadsheetml/2009/9/main" objectType="CheckBox" checked="Checked" lockText="1" noThreeD="1"/>
</file>

<file path=xl/ctrlProps/ctrlProp3517.xml><?xml version="1.0" encoding="utf-8"?>
<formControlPr xmlns="http://schemas.microsoft.com/office/spreadsheetml/2009/9/main" objectType="CheckBox" checked="Checked" lockText="1" noThreeD="1"/>
</file>

<file path=xl/ctrlProps/ctrlProp3518.xml><?xml version="1.0" encoding="utf-8"?>
<formControlPr xmlns="http://schemas.microsoft.com/office/spreadsheetml/2009/9/main" objectType="CheckBox" checked="Checked" lockText="1" noThreeD="1"/>
</file>

<file path=xl/ctrlProps/ctrlProp3519.xml><?xml version="1.0" encoding="utf-8"?>
<formControlPr xmlns="http://schemas.microsoft.com/office/spreadsheetml/2009/9/main" objectType="CheckBox" fmlaLink="$A$43" lockText="1" noThreeD="1"/>
</file>

<file path=xl/ctrlProps/ctrlProp3520.xml><?xml version="1.0" encoding="utf-8"?>
<formControlPr xmlns="http://schemas.microsoft.com/office/spreadsheetml/2009/9/main" objectType="CheckBox" fmlaLink="$A$44" lockText="1" noThreeD="1"/>
</file>

<file path=xl/ctrlProps/ctrlProp3521.xml><?xml version="1.0" encoding="utf-8"?>
<formControlPr xmlns="http://schemas.microsoft.com/office/spreadsheetml/2009/9/main" objectType="CheckBox" fmlaLink="$A$45" lockText="1" noThreeD="1"/>
</file>

<file path=xl/ctrlProps/ctrlProp3522.xml><?xml version="1.0" encoding="utf-8"?>
<formControlPr xmlns="http://schemas.microsoft.com/office/spreadsheetml/2009/9/main" objectType="CheckBox" fmlaLink="$A$46" lockText="1" noThreeD="1"/>
</file>

<file path=xl/ctrlProps/ctrlProp3523.xml><?xml version="1.0" encoding="utf-8"?>
<formControlPr xmlns="http://schemas.microsoft.com/office/spreadsheetml/2009/9/main" objectType="CheckBox" fmlaLink="$A$47" lockText="1" noThreeD="1"/>
</file>

<file path=xl/ctrlProps/ctrlProp3524.xml><?xml version="1.0" encoding="utf-8"?>
<formControlPr xmlns="http://schemas.microsoft.com/office/spreadsheetml/2009/9/main" objectType="CheckBox" fmlaLink="$A$48" lockText="1" noThreeD="1"/>
</file>

<file path=xl/ctrlProps/ctrlProp3525.xml><?xml version="1.0" encoding="utf-8"?>
<formControlPr xmlns="http://schemas.microsoft.com/office/spreadsheetml/2009/9/main" objectType="CheckBox" fmlaLink="$A$49" lockText="1" noThreeD="1"/>
</file>

<file path=xl/ctrlProps/ctrlProp3526.xml><?xml version="1.0" encoding="utf-8"?>
<formControlPr xmlns="http://schemas.microsoft.com/office/spreadsheetml/2009/9/main" objectType="Button" lockText="1"/>
</file>

<file path=xl/ctrlProps/ctrlProp3527.xml><?xml version="1.0" encoding="utf-8"?>
<formControlPr xmlns="http://schemas.microsoft.com/office/spreadsheetml/2009/9/main" objectType="Button" lockText="1"/>
</file>

<file path=xl/ctrlProps/ctrlProp3528.xml><?xml version="1.0" encoding="utf-8"?>
<formControlPr xmlns="http://schemas.microsoft.com/office/spreadsheetml/2009/9/main" objectType="CheckBox" fmlaLink="$A$40" lockText="1" noThreeD="1"/>
</file>

<file path=xl/ctrlProps/ctrlProp3529.xml><?xml version="1.0" encoding="utf-8"?>
<formControlPr xmlns="http://schemas.microsoft.com/office/spreadsheetml/2009/9/main" objectType="Button" lockText="1"/>
</file>

<file path=xl/ctrlProps/ctrlProp3530.xml><?xml version="1.0" encoding="utf-8"?>
<formControlPr xmlns="http://schemas.microsoft.com/office/spreadsheetml/2009/9/main" objectType="Button" lockText="1"/>
</file>

<file path=xl/ctrlProps/ctrlProp3531.xml><?xml version="1.0" encoding="utf-8"?>
<formControlPr xmlns="http://schemas.microsoft.com/office/spreadsheetml/2009/9/main" objectType="Button" lockText="1"/>
</file>

<file path=xl/ctrlProps/ctrlProp3532.xml><?xml version="1.0" encoding="utf-8"?>
<formControlPr xmlns="http://schemas.microsoft.com/office/spreadsheetml/2009/9/main" objectType="Button" lockText="1"/>
</file>

<file path=xl/ctrlProps/ctrlProp3533.xml><?xml version="1.0" encoding="utf-8"?>
<formControlPr xmlns="http://schemas.microsoft.com/office/spreadsheetml/2009/9/main" objectType="CheckBox" fmlaLink="$A$49" lockText="1" noThreeD="1"/>
</file>

<file path=xl/ctrlProps/ctrlProp3534.xml><?xml version="1.0" encoding="utf-8"?>
<formControlPr xmlns="http://schemas.microsoft.com/office/spreadsheetml/2009/9/main" objectType="CheckBox" checked="Checked" fmlaLink="$A$28" lockText="1" noThreeD="1"/>
</file>

<file path=xl/ctrlProps/ctrlProp3535.xml><?xml version="1.0" encoding="utf-8"?>
<formControlPr xmlns="http://schemas.microsoft.com/office/spreadsheetml/2009/9/main" objectType="CheckBox" checked="Checked" fmlaLink="$A$29" lockText="1" noThreeD="1"/>
</file>

<file path=xl/ctrlProps/ctrlProp3536.xml><?xml version="1.0" encoding="utf-8"?>
<formControlPr xmlns="http://schemas.microsoft.com/office/spreadsheetml/2009/9/main" objectType="CheckBox" checked="Checked" fmlaLink="$A$30" lockText="1" noThreeD="1"/>
</file>

<file path=xl/ctrlProps/ctrlProp3537.xml><?xml version="1.0" encoding="utf-8"?>
<formControlPr xmlns="http://schemas.microsoft.com/office/spreadsheetml/2009/9/main" objectType="CheckBox" checked="Checked" fmlaLink="$A$31" lockText="1" noThreeD="1"/>
</file>

<file path=xl/ctrlProps/ctrlProp3538.xml><?xml version="1.0" encoding="utf-8"?>
<formControlPr xmlns="http://schemas.microsoft.com/office/spreadsheetml/2009/9/main" objectType="CheckBox" fmlaLink="$E$28" lockText="1" noThreeD="1"/>
</file>

<file path=xl/ctrlProps/ctrlProp3539.xml><?xml version="1.0" encoding="utf-8"?>
<formControlPr xmlns="http://schemas.microsoft.com/office/spreadsheetml/2009/9/main" objectType="CheckBox" checked="Checked" fmlaLink="$E$29" lockText="1" noThreeD="1"/>
</file>

<file path=xl/ctrlProps/ctrlProp3540.xml><?xml version="1.0" encoding="utf-8"?>
<formControlPr xmlns="http://schemas.microsoft.com/office/spreadsheetml/2009/9/main" objectType="CheckBox" fmlaLink="$E$30" lockText="1" noThreeD="1"/>
</file>

<file path=xl/ctrlProps/ctrlProp3541.xml><?xml version="1.0" encoding="utf-8"?>
<formControlPr xmlns="http://schemas.microsoft.com/office/spreadsheetml/2009/9/main" objectType="CheckBox" checked="Checked" fmlaLink="$A$33" lockText="1" noThreeD="1"/>
</file>

<file path=xl/ctrlProps/ctrlProp3542.xml><?xml version="1.0" encoding="utf-8"?>
<formControlPr xmlns="http://schemas.microsoft.com/office/spreadsheetml/2009/9/main" objectType="CheckBox" fmlaLink="$A$34" lockText="1" noThreeD="1"/>
</file>

<file path=xl/ctrlProps/ctrlProp3543.xml><?xml version="1.0" encoding="utf-8"?>
<formControlPr xmlns="http://schemas.microsoft.com/office/spreadsheetml/2009/9/main" objectType="CheckBox" checked="Checked" fmlaLink="$A$35" lockText="1" noThreeD="1"/>
</file>

<file path=xl/ctrlProps/ctrlProp3544.xml><?xml version="1.0" encoding="utf-8"?>
<formControlPr xmlns="http://schemas.microsoft.com/office/spreadsheetml/2009/9/main" objectType="CheckBox" checked="Checked" fmlaLink="$A$36" lockText="1" noThreeD="1"/>
</file>

<file path=xl/ctrlProps/ctrlProp3545.xml><?xml version="1.0" encoding="utf-8"?>
<formControlPr xmlns="http://schemas.microsoft.com/office/spreadsheetml/2009/9/main" objectType="CheckBox" fmlaLink="$A$37" lockText="1" noThreeD="1"/>
</file>

<file path=xl/ctrlProps/ctrlProp3546.xml><?xml version="1.0" encoding="utf-8"?>
<formControlPr xmlns="http://schemas.microsoft.com/office/spreadsheetml/2009/9/main" objectType="Button" lockText="1"/>
</file>

<file path=xl/ctrlProps/ctrlProp3547.xml><?xml version="1.0" encoding="utf-8"?>
<formControlPr xmlns="http://schemas.microsoft.com/office/spreadsheetml/2009/9/main" objectType="Button" lockText="1"/>
</file>

<file path=xl/ctrlProps/ctrlProp3548.xml><?xml version="1.0" encoding="utf-8"?>
<formControlPr xmlns="http://schemas.microsoft.com/office/spreadsheetml/2009/9/main" objectType="CheckBox" checked="Checked" fmlaLink="$D$33" lockText="1" noThreeD="1"/>
</file>

<file path=xl/ctrlProps/ctrlProp3549.xml><?xml version="1.0" encoding="utf-8"?>
<formControlPr xmlns="http://schemas.microsoft.com/office/spreadsheetml/2009/9/main" objectType="CheckBox" checked="Checked" lockText="1" noThreeD="1"/>
</file>

<file path=xl/ctrlProps/ctrlProp3550.xml><?xml version="1.0" encoding="utf-8"?>
<formControlPr xmlns="http://schemas.microsoft.com/office/spreadsheetml/2009/9/main" objectType="CheckBox" checked="Checked" lockText="1" noThreeD="1"/>
</file>

<file path=xl/ctrlProps/ctrlProp3551.xml><?xml version="1.0" encoding="utf-8"?>
<formControlPr xmlns="http://schemas.microsoft.com/office/spreadsheetml/2009/9/main" objectType="CheckBox" checked="Checked" lockText="1" noThreeD="1"/>
</file>

<file path=xl/ctrlProps/ctrlProp3552.xml><?xml version="1.0" encoding="utf-8"?>
<formControlPr xmlns="http://schemas.microsoft.com/office/spreadsheetml/2009/9/main" objectType="CheckBox" lockText="1" noThreeD="1"/>
</file>

<file path=xl/ctrlProps/ctrlProp3553.xml><?xml version="1.0" encoding="utf-8"?>
<formControlPr xmlns="http://schemas.microsoft.com/office/spreadsheetml/2009/9/main" objectType="CheckBox" checked="Checked" lockText="1" noThreeD="1"/>
</file>

<file path=xl/ctrlProps/ctrlProp3554.xml><?xml version="1.0" encoding="utf-8"?>
<formControlPr xmlns="http://schemas.microsoft.com/office/spreadsheetml/2009/9/main" objectType="CheckBox" lockText="1" noThreeD="1"/>
</file>

<file path=xl/ctrlProps/ctrlProp3555.xml><?xml version="1.0" encoding="utf-8"?>
<formControlPr xmlns="http://schemas.microsoft.com/office/spreadsheetml/2009/9/main" objectType="CheckBox" checked="Checked" lockText="1" noThreeD="1"/>
</file>

<file path=xl/ctrlProps/ctrlProp3556.xml><?xml version="1.0" encoding="utf-8"?>
<formControlPr xmlns="http://schemas.microsoft.com/office/spreadsheetml/2009/9/main" objectType="CheckBox" fmlaLink="$A$43" lockText="1" noThreeD="1"/>
</file>

<file path=xl/ctrlProps/ctrlProp3557.xml><?xml version="1.0" encoding="utf-8"?>
<formControlPr xmlns="http://schemas.microsoft.com/office/spreadsheetml/2009/9/main" objectType="CheckBox" fmlaLink="$A$44" lockText="1" noThreeD="1"/>
</file>

<file path=xl/ctrlProps/ctrlProp3558.xml><?xml version="1.0" encoding="utf-8"?>
<formControlPr xmlns="http://schemas.microsoft.com/office/spreadsheetml/2009/9/main" objectType="CheckBox" fmlaLink="$A$45" lockText="1" noThreeD="1"/>
</file>

<file path=xl/ctrlProps/ctrlProp3559.xml><?xml version="1.0" encoding="utf-8"?>
<formControlPr xmlns="http://schemas.microsoft.com/office/spreadsheetml/2009/9/main" objectType="CheckBox" fmlaLink="$A$46" lockText="1" noThreeD="1"/>
</file>

<file path=xl/ctrlProps/ctrlProp3560.xml><?xml version="1.0" encoding="utf-8"?>
<formControlPr xmlns="http://schemas.microsoft.com/office/spreadsheetml/2009/9/main" objectType="CheckBox" fmlaLink="$A$47" lockText="1" noThreeD="1"/>
</file>

<file path=xl/ctrlProps/ctrlProp3561.xml><?xml version="1.0" encoding="utf-8"?>
<formControlPr xmlns="http://schemas.microsoft.com/office/spreadsheetml/2009/9/main" objectType="CheckBox" fmlaLink="$A$48" lockText="1" noThreeD="1"/>
</file>

<file path=xl/ctrlProps/ctrlProp3562.xml><?xml version="1.0" encoding="utf-8"?>
<formControlPr xmlns="http://schemas.microsoft.com/office/spreadsheetml/2009/9/main" objectType="CheckBox" fmlaLink="$A$49" lockText="1" noThreeD="1"/>
</file>

<file path=xl/ctrlProps/ctrlProp3563.xml><?xml version="1.0" encoding="utf-8"?>
<formControlPr xmlns="http://schemas.microsoft.com/office/spreadsheetml/2009/9/main" objectType="Button" lockText="1"/>
</file>

<file path=xl/ctrlProps/ctrlProp3564.xml><?xml version="1.0" encoding="utf-8"?>
<formControlPr xmlns="http://schemas.microsoft.com/office/spreadsheetml/2009/9/main" objectType="Button" lockText="1"/>
</file>

<file path=xl/ctrlProps/ctrlProp3565.xml><?xml version="1.0" encoding="utf-8"?>
<formControlPr xmlns="http://schemas.microsoft.com/office/spreadsheetml/2009/9/main" objectType="CheckBox" fmlaLink="$A$40" lockText="1" noThreeD="1"/>
</file>

<file path=xl/ctrlProps/ctrlProp3566.xml><?xml version="1.0" encoding="utf-8"?>
<formControlPr xmlns="http://schemas.microsoft.com/office/spreadsheetml/2009/9/main" objectType="Button" lockText="1"/>
</file>

<file path=xl/ctrlProps/ctrlProp3567.xml><?xml version="1.0" encoding="utf-8"?>
<formControlPr xmlns="http://schemas.microsoft.com/office/spreadsheetml/2009/9/main" objectType="Button" lockText="1"/>
</file>

<file path=xl/ctrlProps/ctrlProp3568.xml><?xml version="1.0" encoding="utf-8"?>
<formControlPr xmlns="http://schemas.microsoft.com/office/spreadsheetml/2009/9/main" objectType="Button" lockText="1"/>
</file>

<file path=xl/ctrlProps/ctrlProp3569.xml><?xml version="1.0" encoding="utf-8"?>
<formControlPr xmlns="http://schemas.microsoft.com/office/spreadsheetml/2009/9/main" objectType="Button" lockText="1"/>
</file>

<file path=xl/ctrlProps/ctrlProp3570.xml><?xml version="1.0" encoding="utf-8"?>
<formControlPr xmlns="http://schemas.microsoft.com/office/spreadsheetml/2009/9/main" objectType="CheckBox" fmlaLink="$A$49" lockText="1" noThreeD="1"/>
</file>

<file path=xl/ctrlProps/ctrlProp3571.xml><?xml version="1.0" encoding="utf-8"?>
<formControlPr xmlns="http://schemas.microsoft.com/office/spreadsheetml/2009/9/main" objectType="CheckBox" checked="Checked" fmlaLink="$A$28" lockText="1" noThreeD="1"/>
</file>

<file path=xl/ctrlProps/ctrlProp3572.xml><?xml version="1.0" encoding="utf-8"?>
<formControlPr xmlns="http://schemas.microsoft.com/office/spreadsheetml/2009/9/main" objectType="CheckBox" fmlaLink="$A$29" lockText="1" noThreeD="1"/>
</file>

<file path=xl/ctrlProps/ctrlProp3573.xml><?xml version="1.0" encoding="utf-8"?>
<formControlPr xmlns="http://schemas.microsoft.com/office/spreadsheetml/2009/9/main" objectType="CheckBox" fmlaLink="$A$30" lockText="1" noThreeD="1"/>
</file>

<file path=xl/ctrlProps/ctrlProp3574.xml><?xml version="1.0" encoding="utf-8"?>
<formControlPr xmlns="http://schemas.microsoft.com/office/spreadsheetml/2009/9/main" objectType="CheckBox" fmlaLink="$A$31" lockText="1" noThreeD="1"/>
</file>

<file path=xl/ctrlProps/ctrlProp3575.xml><?xml version="1.0" encoding="utf-8"?>
<formControlPr xmlns="http://schemas.microsoft.com/office/spreadsheetml/2009/9/main" objectType="CheckBox" checked="Checked" fmlaLink="$E$28" lockText="1" noThreeD="1"/>
</file>

<file path=xl/ctrlProps/ctrlProp3576.xml><?xml version="1.0" encoding="utf-8"?>
<formControlPr xmlns="http://schemas.microsoft.com/office/spreadsheetml/2009/9/main" objectType="CheckBox" checked="Checked" fmlaLink="$E$29" lockText="1" noThreeD="1"/>
</file>

<file path=xl/ctrlProps/ctrlProp3577.xml><?xml version="1.0" encoding="utf-8"?>
<formControlPr xmlns="http://schemas.microsoft.com/office/spreadsheetml/2009/9/main" objectType="CheckBox" checked="Checked" fmlaLink="$E$30" lockText="1" noThreeD="1"/>
</file>

<file path=xl/ctrlProps/ctrlProp3578.xml><?xml version="1.0" encoding="utf-8"?>
<formControlPr xmlns="http://schemas.microsoft.com/office/spreadsheetml/2009/9/main" objectType="CheckBox" checked="Checked" fmlaLink="$A$33" lockText="1" noThreeD="1"/>
</file>

<file path=xl/ctrlProps/ctrlProp3579.xml><?xml version="1.0" encoding="utf-8"?>
<formControlPr xmlns="http://schemas.microsoft.com/office/spreadsheetml/2009/9/main" objectType="CheckBox" fmlaLink="$A$34" lockText="1" noThreeD="1"/>
</file>

<file path=xl/ctrlProps/ctrlProp3580.xml><?xml version="1.0" encoding="utf-8"?>
<formControlPr xmlns="http://schemas.microsoft.com/office/spreadsheetml/2009/9/main" objectType="CheckBox" checked="Checked" fmlaLink="$A$35" lockText="1" noThreeD="1"/>
</file>

<file path=xl/ctrlProps/ctrlProp3581.xml><?xml version="1.0" encoding="utf-8"?>
<formControlPr xmlns="http://schemas.microsoft.com/office/spreadsheetml/2009/9/main" objectType="CheckBox" checked="Checked" fmlaLink="$A$36" lockText="1" noThreeD="1"/>
</file>

<file path=xl/ctrlProps/ctrlProp3582.xml><?xml version="1.0" encoding="utf-8"?>
<formControlPr xmlns="http://schemas.microsoft.com/office/spreadsheetml/2009/9/main" objectType="CheckBox" fmlaLink="$A$37" lockText="1" noThreeD="1"/>
</file>

<file path=xl/ctrlProps/ctrlProp3583.xml><?xml version="1.0" encoding="utf-8"?>
<formControlPr xmlns="http://schemas.microsoft.com/office/spreadsheetml/2009/9/main" objectType="Button" lockText="1"/>
</file>

<file path=xl/ctrlProps/ctrlProp3584.xml><?xml version="1.0" encoding="utf-8"?>
<formControlPr xmlns="http://schemas.microsoft.com/office/spreadsheetml/2009/9/main" objectType="Button" lockText="1"/>
</file>

<file path=xl/ctrlProps/ctrlProp3585.xml><?xml version="1.0" encoding="utf-8"?>
<formControlPr xmlns="http://schemas.microsoft.com/office/spreadsheetml/2009/9/main" objectType="CheckBox" checked="Checked" fmlaLink="$D$33" lockText="1" noThreeD="1"/>
</file>

<file path=xl/ctrlProps/ctrlProp3586.xml><?xml version="1.0" encoding="utf-8"?>
<formControlPr xmlns="http://schemas.microsoft.com/office/spreadsheetml/2009/9/main" objectType="CheckBox" checked="Checked" lockText="1" noThreeD="1"/>
</file>

<file path=xl/ctrlProps/ctrlProp3587.xml><?xml version="1.0" encoding="utf-8"?>
<formControlPr xmlns="http://schemas.microsoft.com/office/spreadsheetml/2009/9/main" objectType="CheckBox" checked="Checked" lockText="1" noThreeD="1"/>
</file>

<file path=xl/ctrlProps/ctrlProp3588.xml><?xml version="1.0" encoding="utf-8"?>
<formControlPr xmlns="http://schemas.microsoft.com/office/spreadsheetml/2009/9/main" objectType="CheckBox" checked="Checked" lockText="1" noThreeD="1"/>
</file>

<file path=xl/ctrlProps/ctrlProp3589.xml><?xml version="1.0" encoding="utf-8"?>
<formControlPr xmlns="http://schemas.microsoft.com/office/spreadsheetml/2009/9/main" objectType="CheckBox" checked="Checked" lockText="1" noThreeD="1"/>
</file>

<file path=xl/ctrlProps/ctrlProp3590.xml><?xml version="1.0" encoding="utf-8"?>
<formControlPr xmlns="http://schemas.microsoft.com/office/spreadsheetml/2009/9/main" objectType="CheckBox" checked="Checked" lockText="1" noThreeD="1"/>
</file>

<file path=xl/ctrlProps/ctrlProp3591.xml><?xml version="1.0" encoding="utf-8"?>
<formControlPr xmlns="http://schemas.microsoft.com/office/spreadsheetml/2009/9/main" objectType="CheckBox" checked="Checked" lockText="1" noThreeD="1"/>
</file>

<file path=xl/ctrlProps/ctrlProp3592.xml><?xml version="1.0" encoding="utf-8"?>
<formControlPr xmlns="http://schemas.microsoft.com/office/spreadsheetml/2009/9/main" objectType="CheckBox" lockText="1" noThreeD="1"/>
</file>

<file path=xl/ctrlProps/ctrlProp3593.xml><?xml version="1.0" encoding="utf-8"?>
<formControlPr xmlns="http://schemas.microsoft.com/office/spreadsheetml/2009/9/main" objectType="CheckBox" fmlaLink="$A$43" lockText="1" noThreeD="1"/>
</file>

<file path=xl/ctrlProps/ctrlProp3594.xml><?xml version="1.0" encoding="utf-8"?>
<formControlPr xmlns="http://schemas.microsoft.com/office/spreadsheetml/2009/9/main" objectType="CheckBox" fmlaLink="$A$44" lockText="1" noThreeD="1"/>
</file>

<file path=xl/ctrlProps/ctrlProp3595.xml><?xml version="1.0" encoding="utf-8"?>
<formControlPr xmlns="http://schemas.microsoft.com/office/spreadsheetml/2009/9/main" objectType="CheckBox" fmlaLink="$A$45" lockText="1" noThreeD="1"/>
</file>

<file path=xl/ctrlProps/ctrlProp3596.xml><?xml version="1.0" encoding="utf-8"?>
<formControlPr xmlns="http://schemas.microsoft.com/office/spreadsheetml/2009/9/main" objectType="CheckBox" fmlaLink="$A$46" lockText="1" noThreeD="1"/>
</file>

<file path=xl/ctrlProps/ctrlProp3597.xml><?xml version="1.0" encoding="utf-8"?>
<formControlPr xmlns="http://schemas.microsoft.com/office/spreadsheetml/2009/9/main" objectType="CheckBox" fmlaLink="$A$47" lockText="1" noThreeD="1"/>
</file>

<file path=xl/ctrlProps/ctrlProp3598.xml><?xml version="1.0" encoding="utf-8"?>
<formControlPr xmlns="http://schemas.microsoft.com/office/spreadsheetml/2009/9/main" objectType="CheckBox" fmlaLink="$A$48" lockText="1" noThreeD="1"/>
</file>

<file path=xl/ctrlProps/ctrlProp3599.xml><?xml version="1.0" encoding="utf-8"?>
<formControlPr xmlns="http://schemas.microsoft.com/office/spreadsheetml/2009/9/main" objectType="CheckBox" fmlaLink="$A$49" lockText="1" noThreeD="1"/>
</file>

<file path=xl/ctrlProps/ctrlProp3600.xml><?xml version="1.0" encoding="utf-8"?>
<formControlPr xmlns="http://schemas.microsoft.com/office/spreadsheetml/2009/9/main" objectType="Button" lockText="1"/>
</file>

<file path=xl/ctrlProps/ctrlProp3601.xml><?xml version="1.0" encoding="utf-8"?>
<formControlPr xmlns="http://schemas.microsoft.com/office/spreadsheetml/2009/9/main" objectType="Button" lockText="1"/>
</file>

<file path=xl/ctrlProps/ctrlProp3602.xml><?xml version="1.0" encoding="utf-8"?>
<formControlPr xmlns="http://schemas.microsoft.com/office/spreadsheetml/2009/9/main" objectType="CheckBox" fmlaLink="$A$40" lockText="1" noThreeD="1"/>
</file>

<file path=xl/ctrlProps/ctrlProp3603.xml><?xml version="1.0" encoding="utf-8"?>
<formControlPr xmlns="http://schemas.microsoft.com/office/spreadsheetml/2009/9/main" objectType="Button" lockText="1"/>
</file>

<file path=xl/ctrlProps/ctrlProp3604.xml><?xml version="1.0" encoding="utf-8"?>
<formControlPr xmlns="http://schemas.microsoft.com/office/spreadsheetml/2009/9/main" objectType="Button" lockText="1"/>
</file>

<file path=xl/ctrlProps/ctrlProp3605.xml><?xml version="1.0" encoding="utf-8"?>
<formControlPr xmlns="http://schemas.microsoft.com/office/spreadsheetml/2009/9/main" objectType="Button" lockText="1"/>
</file>

<file path=xl/ctrlProps/ctrlProp3606.xml><?xml version="1.0" encoding="utf-8"?>
<formControlPr xmlns="http://schemas.microsoft.com/office/spreadsheetml/2009/9/main" objectType="Button" lockText="1"/>
</file>

<file path=xl/ctrlProps/ctrlProp3607.xml><?xml version="1.0" encoding="utf-8"?>
<formControlPr xmlns="http://schemas.microsoft.com/office/spreadsheetml/2009/9/main" objectType="CheckBox" fmlaLink="$A$49" lockText="1" noThreeD="1"/>
</file>

<file path=xl/ctrlProps/ctrlProp3608.xml><?xml version="1.0" encoding="utf-8"?>
<formControlPr xmlns="http://schemas.microsoft.com/office/spreadsheetml/2009/9/main" objectType="CheckBox" checked="Checked" fmlaLink="$A$28" lockText="1" noThreeD="1"/>
</file>

<file path=xl/ctrlProps/ctrlProp3609.xml><?xml version="1.0" encoding="utf-8"?>
<formControlPr xmlns="http://schemas.microsoft.com/office/spreadsheetml/2009/9/main" objectType="CheckBox" checked="Checked" fmlaLink="$A$29" lockText="1" noThreeD="1"/>
</file>

<file path=xl/ctrlProps/ctrlProp3610.xml><?xml version="1.0" encoding="utf-8"?>
<formControlPr xmlns="http://schemas.microsoft.com/office/spreadsheetml/2009/9/main" objectType="CheckBox" checked="Checked" fmlaLink="$A$30" lockText="1" noThreeD="1"/>
</file>

<file path=xl/ctrlProps/ctrlProp3611.xml><?xml version="1.0" encoding="utf-8"?>
<formControlPr xmlns="http://schemas.microsoft.com/office/spreadsheetml/2009/9/main" objectType="CheckBox" fmlaLink="$A$31" lockText="1" noThreeD="1"/>
</file>

<file path=xl/ctrlProps/ctrlProp3612.xml><?xml version="1.0" encoding="utf-8"?>
<formControlPr xmlns="http://schemas.microsoft.com/office/spreadsheetml/2009/9/main" objectType="CheckBox" checked="Checked" fmlaLink="$E$28" lockText="1" noThreeD="1"/>
</file>

<file path=xl/ctrlProps/ctrlProp3613.xml><?xml version="1.0" encoding="utf-8"?>
<formControlPr xmlns="http://schemas.microsoft.com/office/spreadsheetml/2009/9/main" objectType="CheckBox" checked="Checked" fmlaLink="$E$29" lockText="1" noThreeD="1"/>
</file>

<file path=xl/ctrlProps/ctrlProp3614.xml><?xml version="1.0" encoding="utf-8"?>
<formControlPr xmlns="http://schemas.microsoft.com/office/spreadsheetml/2009/9/main" objectType="CheckBox" checked="Checked" fmlaLink="$E$30" lockText="1" noThreeD="1"/>
</file>

<file path=xl/ctrlProps/ctrlProp3615.xml><?xml version="1.0" encoding="utf-8"?>
<formControlPr xmlns="http://schemas.microsoft.com/office/spreadsheetml/2009/9/main" objectType="CheckBox" fmlaLink="$A$33" lockText="1" noThreeD="1"/>
</file>

<file path=xl/ctrlProps/ctrlProp3616.xml><?xml version="1.0" encoding="utf-8"?>
<formControlPr xmlns="http://schemas.microsoft.com/office/spreadsheetml/2009/9/main" objectType="CheckBox" fmlaLink="$A$34" lockText="1" noThreeD="1"/>
</file>

<file path=xl/ctrlProps/ctrlProp3617.xml><?xml version="1.0" encoding="utf-8"?>
<formControlPr xmlns="http://schemas.microsoft.com/office/spreadsheetml/2009/9/main" objectType="CheckBox" fmlaLink="$A$35" lockText="1" noThreeD="1"/>
</file>

<file path=xl/ctrlProps/ctrlProp3618.xml><?xml version="1.0" encoding="utf-8"?>
<formControlPr xmlns="http://schemas.microsoft.com/office/spreadsheetml/2009/9/main" objectType="CheckBox" fmlaLink="$A$36" lockText="1" noThreeD="1"/>
</file>

<file path=xl/ctrlProps/ctrlProp3619.xml><?xml version="1.0" encoding="utf-8"?>
<formControlPr xmlns="http://schemas.microsoft.com/office/spreadsheetml/2009/9/main" objectType="CheckBox" fmlaLink="$A$37" lockText="1" noThreeD="1"/>
</file>

<file path=xl/ctrlProps/ctrlProp3620.xml><?xml version="1.0" encoding="utf-8"?>
<formControlPr xmlns="http://schemas.microsoft.com/office/spreadsheetml/2009/9/main" objectType="Button" lockText="1"/>
</file>

<file path=xl/ctrlProps/ctrlProp3621.xml><?xml version="1.0" encoding="utf-8"?>
<formControlPr xmlns="http://schemas.microsoft.com/office/spreadsheetml/2009/9/main" objectType="Button" lockText="1"/>
</file>

<file path=xl/ctrlProps/ctrlProp3622.xml><?xml version="1.0" encoding="utf-8"?>
<formControlPr xmlns="http://schemas.microsoft.com/office/spreadsheetml/2009/9/main" objectType="CheckBox" fmlaLink="$D$33" lockText="1" noThreeD="1"/>
</file>

<file path=xl/ctrlProps/ctrlProp3623.xml><?xml version="1.0" encoding="utf-8"?>
<formControlPr xmlns="http://schemas.microsoft.com/office/spreadsheetml/2009/9/main" objectType="CheckBox" lockText="1" noThreeD="1"/>
</file>

<file path=xl/ctrlProps/ctrlProp3624.xml><?xml version="1.0" encoding="utf-8"?>
<formControlPr xmlns="http://schemas.microsoft.com/office/spreadsheetml/2009/9/main" objectType="CheckBox" lockText="1" noThreeD="1"/>
</file>

<file path=xl/ctrlProps/ctrlProp3625.xml><?xml version="1.0" encoding="utf-8"?>
<formControlPr xmlns="http://schemas.microsoft.com/office/spreadsheetml/2009/9/main" objectType="CheckBox" lockText="1" noThreeD="1"/>
</file>

<file path=xl/ctrlProps/ctrlProp3626.xml><?xml version="1.0" encoding="utf-8"?>
<formControlPr xmlns="http://schemas.microsoft.com/office/spreadsheetml/2009/9/main" objectType="CheckBox" lockText="1" noThreeD="1"/>
</file>

<file path=xl/ctrlProps/ctrlProp3627.xml><?xml version="1.0" encoding="utf-8"?>
<formControlPr xmlns="http://schemas.microsoft.com/office/spreadsheetml/2009/9/main" objectType="CheckBox" lockText="1" noThreeD="1"/>
</file>

<file path=xl/ctrlProps/ctrlProp3628.xml><?xml version="1.0" encoding="utf-8"?>
<formControlPr xmlns="http://schemas.microsoft.com/office/spreadsheetml/2009/9/main" objectType="CheckBox" lockText="1" noThreeD="1"/>
</file>

<file path=xl/ctrlProps/ctrlProp3629.xml><?xml version="1.0" encoding="utf-8"?>
<formControlPr xmlns="http://schemas.microsoft.com/office/spreadsheetml/2009/9/main" objectType="CheckBox" lockText="1" noThreeD="1"/>
</file>

<file path=xl/ctrlProps/ctrlProp3630.xml><?xml version="1.0" encoding="utf-8"?>
<formControlPr xmlns="http://schemas.microsoft.com/office/spreadsheetml/2009/9/main" objectType="CheckBox" fmlaLink="$A$43" lockText="1" noThreeD="1"/>
</file>

<file path=xl/ctrlProps/ctrlProp3631.xml><?xml version="1.0" encoding="utf-8"?>
<formControlPr xmlns="http://schemas.microsoft.com/office/spreadsheetml/2009/9/main" objectType="CheckBox" fmlaLink="$A$44" lockText="1" noThreeD="1"/>
</file>

<file path=xl/ctrlProps/ctrlProp3632.xml><?xml version="1.0" encoding="utf-8"?>
<formControlPr xmlns="http://schemas.microsoft.com/office/spreadsheetml/2009/9/main" objectType="CheckBox" fmlaLink="$A$45" lockText="1" noThreeD="1"/>
</file>

<file path=xl/ctrlProps/ctrlProp3633.xml><?xml version="1.0" encoding="utf-8"?>
<formControlPr xmlns="http://schemas.microsoft.com/office/spreadsheetml/2009/9/main" objectType="CheckBox" fmlaLink="$A$46" lockText="1" noThreeD="1"/>
</file>

<file path=xl/ctrlProps/ctrlProp3634.xml><?xml version="1.0" encoding="utf-8"?>
<formControlPr xmlns="http://schemas.microsoft.com/office/spreadsheetml/2009/9/main" objectType="CheckBox" fmlaLink="$A$47" lockText="1" noThreeD="1"/>
</file>

<file path=xl/ctrlProps/ctrlProp3635.xml><?xml version="1.0" encoding="utf-8"?>
<formControlPr xmlns="http://schemas.microsoft.com/office/spreadsheetml/2009/9/main" objectType="CheckBox" fmlaLink="$A$48" lockText="1" noThreeD="1"/>
</file>

<file path=xl/ctrlProps/ctrlProp3636.xml><?xml version="1.0" encoding="utf-8"?>
<formControlPr xmlns="http://schemas.microsoft.com/office/spreadsheetml/2009/9/main" objectType="CheckBox" fmlaLink="$A$49" lockText="1" noThreeD="1"/>
</file>

<file path=xl/ctrlProps/ctrlProp3637.xml><?xml version="1.0" encoding="utf-8"?>
<formControlPr xmlns="http://schemas.microsoft.com/office/spreadsheetml/2009/9/main" objectType="Button" lockText="1"/>
</file>

<file path=xl/ctrlProps/ctrlProp3638.xml><?xml version="1.0" encoding="utf-8"?>
<formControlPr xmlns="http://schemas.microsoft.com/office/spreadsheetml/2009/9/main" objectType="Button" lockText="1"/>
</file>

<file path=xl/ctrlProps/ctrlProp3639.xml><?xml version="1.0" encoding="utf-8"?>
<formControlPr xmlns="http://schemas.microsoft.com/office/spreadsheetml/2009/9/main" objectType="CheckBox" fmlaLink="$A$40" lockText="1" noThreeD="1"/>
</file>

<file path=xl/ctrlProps/ctrlProp3640.xml><?xml version="1.0" encoding="utf-8"?>
<formControlPr xmlns="http://schemas.microsoft.com/office/spreadsheetml/2009/9/main" objectType="Button" lockText="1"/>
</file>

<file path=xl/ctrlProps/ctrlProp3641.xml><?xml version="1.0" encoding="utf-8"?>
<formControlPr xmlns="http://schemas.microsoft.com/office/spreadsheetml/2009/9/main" objectType="Button" lockText="1"/>
</file>

<file path=xl/ctrlProps/ctrlProp3642.xml><?xml version="1.0" encoding="utf-8"?>
<formControlPr xmlns="http://schemas.microsoft.com/office/spreadsheetml/2009/9/main" objectType="Button" lockText="1"/>
</file>

<file path=xl/ctrlProps/ctrlProp3643.xml><?xml version="1.0" encoding="utf-8"?>
<formControlPr xmlns="http://schemas.microsoft.com/office/spreadsheetml/2009/9/main" objectType="Button" lockText="1"/>
</file>

<file path=xl/ctrlProps/ctrlProp3644.xml><?xml version="1.0" encoding="utf-8"?>
<formControlPr xmlns="http://schemas.microsoft.com/office/spreadsheetml/2009/9/main" objectType="CheckBox" fmlaLink="$A$49" lockText="1" noThreeD="1"/>
</file>

<file path=xl/ctrlProps/ctrlProp3645.xml><?xml version="1.0" encoding="utf-8"?>
<formControlPr xmlns="http://schemas.microsoft.com/office/spreadsheetml/2009/9/main" objectType="CheckBox" checked="Checked" fmlaLink="$A$28" lockText="1" noThreeD="1"/>
</file>

<file path=xl/ctrlProps/ctrlProp3646.xml><?xml version="1.0" encoding="utf-8"?>
<formControlPr xmlns="http://schemas.microsoft.com/office/spreadsheetml/2009/9/main" objectType="CheckBox" checked="Checked" fmlaLink="$A$29" lockText="1" noThreeD="1"/>
</file>

<file path=xl/ctrlProps/ctrlProp3647.xml><?xml version="1.0" encoding="utf-8"?>
<formControlPr xmlns="http://schemas.microsoft.com/office/spreadsheetml/2009/9/main" objectType="CheckBox" checked="Checked" fmlaLink="$A$30" lockText="1" noThreeD="1"/>
</file>

<file path=xl/ctrlProps/ctrlProp3648.xml><?xml version="1.0" encoding="utf-8"?>
<formControlPr xmlns="http://schemas.microsoft.com/office/spreadsheetml/2009/9/main" objectType="CheckBox" fmlaLink="$A$31" lockText="1" noThreeD="1"/>
</file>

<file path=xl/ctrlProps/ctrlProp3649.xml><?xml version="1.0" encoding="utf-8"?>
<formControlPr xmlns="http://schemas.microsoft.com/office/spreadsheetml/2009/9/main" objectType="CheckBox" fmlaLink="$E$28" lockText="1" noThreeD="1"/>
</file>

<file path=xl/ctrlProps/ctrlProp3650.xml><?xml version="1.0" encoding="utf-8"?>
<formControlPr xmlns="http://schemas.microsoft.com/office/spreadsheetml/2009/9/main" objectType="CheckBox" checked="Checked" fmlaLink="$E$29" lockText="1" noThreeD="1"/>
</file>

<file path=xl/ctrlProps/ctrlProp3651.xml><?xml version="1.0" encoding="utf-8"?>
<formControlPr xmlns="http://schemas.microsoft.com/office/spreadsheetml/2009/9/main" objectType="CheckBox" fmlaLink="$E$30" lockText="1" noThreeD="1"/>
</file>

<file path=xl/ctrlProps/ctrlProp3652.xml><?xml version="1.0" encoding="utf-8"?>
<formControlPr xmlns="http://schemas.microsoft.com/office/spreadsheetml/2009/9/main" objectType="CheckBox" checked="Checked" fmlaLink="$A$33" lockText="1" noThreeD="1"/>
</file>

<file path=xl/ctrlProps/ctrlProp3653.xml><?xml version="1.0" encoding="utf-8"?>
<formControlPr xmlns="http://schemas.microsoft.com/office/spreadsheetml/2009/9/main" objectType="CheckBox" checked="Checked" fmlaLink="$A$34" lockText="1" noThreeD="1"/>
</file>

<file path=xl/ctrlProps/ctrlProp3654.xml><?xml version="1.0" encoding="utf-8"?>
<formControlPr xmlns="http://schemas.microsoft.com/office/spreadsheetml/2009/9/main" objectType="CheckBox" checked="Checked" fmlaLink="$A$35" lockText="1" noThreeD="1"/>
</file>

<file path=xl/ctrlProps/ctrlProp3655.xml><?xml version="1.0" encoding="utf-8"?>
<formControlPr xmlns="http://schemas.microsoft.com/office/spreadsheetml/2009/9/main" objectType="CheckBox" checked="Checked" fmlaLink="$A$36" lockText="1" noThreeD="1"/>
</file>

<file path=xl/ctrlProps/ctrlProp3656.xml><?xml version="1.0" encoding="utf-8"?>
<formControlPr xmlns="http://schemas.microsoft.com/office/spreadsheetml/2009/9/main" objectType="CheckBox" fmlaLink="$A$37" lockText="1" noThreeD="1"/>
</file>

<file path=xl/ctrlProps/ctrlProp3657.xml><?xml version="1.0" encoding="utf-8"?>
<formControlPr xmlns="http://schemas.microsoft.com/office/spreadsheetml/2009/9/main" objectType="Button" lockText="1"/>
</file>

<file path=xl/ctrlProps/ctrlProp3658.xml><?xml version="1.0" encoding="utf-8"?>
<formControlPr xmlns="http://schemas.microsoft.com/office/spreadsheetml/2009/9/main" objectType="Button" lockText="1"/>
</file>

<file path=xl/ctrlProps/ctrlProp3659.xml><?xml version="1.0" encoding="utf-8"?>
<formControlPr xmlns="http://schemas.microsoft.com/office/spreadsheetml/2009/9/main" objectType="CheckBox" checked="Checked" fmlaLink="$D$33" lockText="1" noThreeD="1"/>
</file>

<file path=xl/ctrlProps/ctrlProp3660.xml><?xml version="1.0" encoding="utf-8"?>
<formControlPr xmlns="http://schemas.microsoft.com/office/spreadsheetml/2009/9/main" objectType="CheckBox" checked="Checked" lockText="1" noThreeD="1"/>
</file>

<file path=xl/ctrlProps/ctrlProp3661.xml><?xml version="1.0" encoding="utf-8"?>
<formControlPr xmlns="http://schemas.microsoft.com/office/spreadsheetml/2009/9/main" objectType="CheckBox" checked="Checked" lockText="1" noThreeD="1"/>
</file>

<file path=xl/ctrlProps/ctrlProp3662.xml><?xml version="1.0" encoding="utf-8"?>
<formControlPr xmlns="http://schemas.microsoft.com/office/spreadsheetml/2009/9/main" objectType="CheckBox" checked="Checked" lockText="1" noThreeD="1"/>
</file>

<file path=xl/ctrlProps/ctrlProp3663.xml><?xml version="1.0" encoding="utf-8"?>
<formControlPr xmlns="http://schemas.microsoft.com/office/spreadsheetml/2009/9/main" objectType="CheckBox" lockText="1" noThreeD="1"/>
</file>

<file path=xl/ctrlProps/ctrlProp3664.xml><?xml version="1.0" encoding="utf-8"?>
<formControlPr xmlns="http://schemas.microsoft.com/office/spreadsheetml/2009/9/main" objectType="CheckBox" lockText="1" noThreeD="1"/>
</file>

<file path=xl/ctrlProps/ctrlProp3665.xml><?xml version="1.0" encoding="utf-8"?>
<formControlPr xmlns="http://schemas.microsoft.com/office/spreadsheetml/2009/9/main" objectType="CheckBox" lockText="1" noThreeD="1"/>
</file>

<file path=xl/ctrlProps/ctrlProp3666.xml><?xml version="1.0" encoding="utf-8"?>
<formControlPr xmlns="http://schemas.microsoft.com/office/spreadsheetml/2009/9/main" objectType="CheckBox" lockText="1" noThreeD="1"/>
</file>

<file path=xl/ctrlProps/ctrlProp3667.xml><?xml version="1.0" encoding="utf-8"?>
<formControlPr xmlns="http://schemas.microsoft.com/office/spreadsheetml/2009/9/main" objectType="CheckBox" fmlaLink="$A$43" lockText="1" noThreeD="1"/>
</file>

<file path=xl/ctrlProps/ctrlProp3668.xml><?xml version="1.0" encoding="utf-8"?>
<formControlPr xmlns="http://schemas.microsoft.com/office/spreadsheetml/2009/9/main" objectType="CheckBox" fmlaLink="$A$44" lockText="1" noThreeD="1"/>
</file>

<file path=xl/ctrlProps/ctrlProp3669.xml><?xml version="1.0" encoding="utf-8"?>
<formControlPr xmlns="http://schemas.microsoft.com/office/spreadsheetml/2009/9/main" objectType="CheckBox" fmlaLink="$A$45" lockText="1" noThreeD="1"/>
</file>

<file path=xl/ctrlProps/ctrlProp3670.xml><?xml version="1.0" encoding="utf-8"?>
<formControlPr xmlns="http://schemas.microsoft.com/office/spreadsheetml/2009/9/main" objectType="CheckBox" fmlaLink="$A$46" lockText="1" noThreeD="1"/>
</file>

<file path=xl/ctrlProps/ctrlProp3671.xml><?xml version="1.0" encoding="utf-8"?>
<formControlPr xmlns="http://schemas.microsoft.com/office/spreadsheetml/2009/9/main" objectType="CheckBox" fmlaLink="$A$47" lockText="1" noThreeD="1"/>
</file>

<file path=xl/ctrlProps/ctrlProp3672.xml><?xml version="1.0" encoding="utf-8"?>
<formControlPr xmlns="http://schemas.microsoft.com/office/spreadsheetml/2009/9/main" objectType="CheckBox" fmlaLink="$A$48" lockText="1" noThreeD="1"/>
</file>

<file path=xl/ctrlProps/ctrlProp3673.xml><?xml version="1.0" encoding="utf-8"?>
<formControlPr xmlns="http://schemas.microsoft.com/office/spreadsheetml/2009/9/main" objectType="CheckBox" fmlaLink="$A$49" lockText="1" noThreeD="1"/>
</file>

<file path=xl/ctrlProps/ctrlProp3674.xml><?xml version="1.0" encoding="utf-8"?>
<formControlPr xmlns="http://schemas.microsoft.com/office/spreadsheetml/2009/9/main" objectType="Button" lockText="1"/>
</file>

<file path=xl/ctrlProps/ctrlProp3675.xml><?xml version="1.0" encoding="utf-8"?>
<formControlPr xmlns="http://schemas.microsoft.com/office/spreadsheetml/2009/9/main" objectType="Button" lockText="1"/>
</file>

<file path=xl/ctrlProps/ctrlProp3676.xml><?xml version="1.0" encoding="utf-8"?>
<formControlPr xmlns="http://schemas.microsoft.com/office/spreadsheetml/2009/9/main" objectType="CheckBox" fmlaLink="$A$40" lockText="1" noThreeD="1"/>
</file>

<file path=xl/ctrlProps/ctrlProp3677.xml><?xml version="1.0" encoding="utf-8"?>
<formControlPr xmlns="http://schemas.microsoft.com/office/spreadsheetml/2009/9/main" objectType="Button" lockText="1"/>
</file>

<file path=xl/ctrlProps/ctrlProp3678.xml><?xml version="1.0" encoding="utf-8"?>
<formControlPr xmlns="http://schemas.microsoft.com/office/spreadsheetml/2009/9/main" objectType="Button" lockText="1"/>
</file>

<file path=xl/ctrlProps/ctrlProp3679.xml><?xml version="1.0" encoding="utf-8"?>
<formControlPr xmlns="http://schemas.microsoft.com/office/spreadsheetml/2009/9/main" objectType="Button" lockText="1"/>
</file>

<file path=xl/ctrlProps/ctrlProp3680.xml><?xml version="1.0" encoding="utf-8"?>
<formControlPr xmlns="http://schemas.microsoft.com/office/spreadsheetml/2009/9/main" objectType="Button" lockText="1"/>
</file>

<file path=xl/ctrlProps/ctrlProp3681.xml><?xml version="1.0" encoding="utf-8"?>
<formControlPr xmlns="http://schemas.microsoft.com/office/spreadsheetml/2009/9/main" objectType="CheckBox" fmlaLink="$A$49" lockText="1" noThreeD="1"/>
</file>

<file path=xl/ctrlProps/ctrlProp3682.xml><?xml version="1.0" encoding="utf-8"?>
<formControlPr xmlns="http://schemas.microsoft.com/office/spreadsheetml/2009/9/main" objectType="CheckBox" checked="Checked" fmlaLink="$A$28" lockText="1" noThreeD="1"/>
</file>

<file path=xl/ctrlProps/ctrlProp3683.xml><?xml version="1.0" encoding="utf-8"?>
<formControlPr xmlns="http://schemas.microsoft.com/office/spreadsheetml/2009/9/main" objectType="CheckBox" checked="Checked" fmlaLink="$A$29" lockText="1" noThreeD="1"/>
</file>

<file path=xl/ctrlProps/ctrlProp3684.xml><?xml version="1.0" encoding="utf-8"?>
<formControlPr xmlns="http://schemas.microsoft.com/office/spreadsheetml/2009/9/main" objectType="CheckBox" checked="Checked" fmlaLink="$A$30" lockText="1" noThreeD="1"/>
</file>

<file path=xl/ctrlProps/ctrlProp3685.xml><?xml version="1.0" encoding="utf-8"?>
<formControlPr xmlns="http://schemas.microsoft.com/office/spreadsheetml/2009/9/main" objectType="CheckBox" fmlaLink="$A$31" lockText="1" noThreeD="1"/>
</file>

<file path=xl/ctrlProps/ctrlProp3686.xml><?xml version="1.0" encoding="utf-8"?>
<formControlPr xmlns="http://schemas.microsoft.com/office/spreadsheetml/2009/9/main" objectType="CheckBox" checked="Checked" fmlaLink="$E$28" lockText="1" noThreeD="1"/>
</file>

<file path=xl/ctrlProps/ctrlProp3687.xml><?xml version="1.0" encoding="utf-8"?>
<formControlPr xmlns="http://schemas.microsoft.com/office/spreadsheetml/2009/9/main" objectType="CheckBox" checked="Checked" fmlaLink="$E$29" lockText="1" noThreeD="1"/>
</file>

<file path=xl/ctrlProps/ctrlProp3688.xml><?xml version="1.0" encoding="utf-8"?>
<formControlPr xmlns="http://schemas.microsoft.com/office/spreadsheetml/2009/9/main" objectType="CheckBox" checked="Checked" fmlaLink="$E$30" lockText="1" noThreeD="1"/>
</file>

<file path=xl/ctrlProps/ctrlProp3689.xml><?xml version="1.0" encoding="utf-8"?>
<formControlPr xmlns="http://schemas.microsoft.com/office/spreadsheetml/2009/9/main" objectType="CheckBox" checked="Checked" fmlaLink="$A$33" lockText="1" noThreeD="1"/>
</file>

<file path=xl/ctrlProps/ctrlProp3690.xml><?xml version="1.0" encoding="utf-8"?>
<formControlPr xmlns="http://schemas.microsoft.com/office/spreadsheetml/2009/9/main" objectType="CheckBox" checked="Checked" fmlaLink="$A$34" lockText="1" noThreeD="1"/>
</file>

<file path=xl/ctrlProps/ctrlProp3691.xml><?xml version="1.0" encoding="utf-8"?>
<formControlPr xmlns="http://schemas.microsoft.com/office/spreadsheetml/2009/9/main" objectType="CheckBox" checked="Checked" fmlaLink="$A$35" lockText="1" noThreeD="1"/>
</file>

<file path=xl/ctrlProps/ctrlProp3692.xml><?xml version="1.0" encoding="utf-8"?>
<formControlPr xmlns="http://schemas.microsoft.com/office/spreadsheetml/2009/9/main" objectType="CheckBox" checked="Checked" fmlaLink="$A$36" lockText="1" noThreeD="1"/>
</file>

<file path=xl/ctrlProps/ctrlProp3693.xml><?xml version="1.0" encoding="utf-8"?>
<formControlPr xmlns="http://schemas.microsoft.com/office/spreadsheetml/2009/9/main" objectType="CheckBox" fmlaLink="$A$37" lockText="1" noThreeD="1"/>
</file>

<file path=xl/ctrlProps/ctrlProp3694.xml><?xml version="1.0" encoding="utf-8"?>
<formControlPr xmlns="http://schemas.microsoft.com/office/spreadsheetml/2009/9/main" objectType="Button" lockText="1"/>
</file>

<file path=xl/ctrlProps/ctrlProp3695.xml><?xml version="1.0" encoding="utf-8"?>
<formControlPr xmlns="http://schemas.microsoft.com/office/spreadsheetml/2009/9/main" objectType="Button" lockText="1"/>
</file>

<file path=xl/ctrlProps/ctrlProp3696.xml><?xml version="1.0" encoding="utf-8"?>
<formControlPr xmlns="http://schemas.microsoft.com/office/spreadsheetml/2009/9/main" objectType="CheckBox" checked="Checked" fmlaLink="$D$33" lockText="1" noThreeD="1"/>
</file>

<file path=xl/ctrlProps/ctrlProp3697.xml><?xml version="1.0" encoding="utf-8"?>
<formControlPr xmlns="http://schemas.microsoft.com/office/spreadsheetml/2009/9/main" objectType="CheckBox" checked="Checked" lockText="1" noThreeD="1"/>
</file>

<file path=xl/ctrlProps/ctrlProp3698.xml><?xml version="1.0" encoding="utf-8"?>
<formControlPr xmlns="http://schemas.microsoft.com/office/spreadsheetml/2009/9/main" objectType="CheckBox" checked="Checked" lockText="1" noThreeD="1"/>
</file>

<file path=xl/ctrlProps/ctrlProp3699.xml><?xml version="1.0" encoding="utf-8"?>
<formControlPr xmlns="http://schemas.microsoft.com/office/spreadsheetml/2009/9/main" objectType="CheckBox" checked="Checked" lockText="1" noThreeD="1"/>
</file>

<file path=xl/ctrlProps/ctrlProp3700.xml><?xml version="1.0" encoding="utf-8"?>
<formControlPr xmlns="http://schemas.microsoft.com/office/spreadsheetml/2009/9/main" objectType="CheckBox" checked="Checked" lockText="1" noThreeD="1"/>
</file>

<file path=xl/ctrlProps/ctrlProp3701.xml><?xml version="1.0" encoding="utf-8"?>
<formControlPr xmlns="http://schemas.microsoft.com/office/spreadsheetml/2009/9/main" objectType="CheckBox" checked="Checked" lockText="1" noThreeD="1"/>
</file>

<file path=xl/ctrlProps/ctrlProp3702.xml><?xml version="1.0" encoding="utf-8"?>
<formControlPr xmlns="http://schemas.microsoft.com/office/spreadsheetml/2009/9/main" objectType="CheckBox" checked="Checked" lockText="1" noThreeD="1"/>
</file>

<file path=xl/ctrlProps/ctrlProp3703.xml><?xml version="1.0" encoding="utf-8"?>
<formControlPr xmlns="http://schemas.microsoft.com/office/spreadsheetml/2009/9/main" objectType="CheckBox" checked="Checked" lockText="1" noThreeD="1"/>
</file>

<file path=xl/ctrlProps/ctrlProp3704.xml><?xml version="1.0" encoding="utf-8"?>
<formControlPr xmlns="http://schemas.microsoft.com/office/spreadsheetml/2009/9/main" objectType="CheckBox" fmlaLink="$A$43" lockText="1" noThreeD="1"/>
</file>

<file path=xl/ctrlProps/ctrlProp3705.xml><?xml version="1.0" encoding="utf-8"?>
<formControlPr xmlns="http://schemas.microsoft.com/office/spreadsheetml/2009/9/main" objectType="CheckBox" fmlaLink="$A$44" lockText="1" noThreeD="1"/>
</file>

<file path=xl/ctrlProps/ctrlProp3706.xml><?xml version="1.0" encoding="utf-8"?>
<formControlPr xmlns="http://schemas.microsoft.com/office/spreadsheetml/2009/9/main" objectType="CheckBox" fmlaLink="$A$45" lockText="1" noThreeD="1"/>
</file>

<file path=xl/ctrlProps/ctrlProp3707.xml><?xml version="1.0" encoding="utf-8"?>
<formControlPr xmlns="http://schemas.microsoft.com/office/spreadsheetml/2009/9/main" objectType="CheckBox" fmlaLink="$A$46" lockText="1" noThreeD="1"/>
</file>

<file path=xl/ctrlProps/ctrlProp3708.xml><?xml version="1.0" encoding="utf-8"?>
<formControlPr xmlns="http://schemas.microsoft.com/office/spreadsheetml/2009/9/main" objectType="CheckBox" fmlaLink="$A$47" lockText="1" noThreeD="1"/>
</file>

<file path=xl/ctrlProps/ctrlProp3709.xml><?xml version="1.0" encoding="utf-8"?>
<formControlPr xmlns="http://schemas.microsoft.com/office/spreadsheetml/2009/9/main" objectType="CheckBox" fmlaLink="$A$48" lockText="1" noThreeD="1"/>
</file>

<file path=xl/ctrlProps/ctrlProp3710.xml><?xml version="1.0" encoding="utf-8"?>
<formControlPr xmlns="http://schemas.microsoft.com/office/spreadsheetml/2009/9/main" objectType="CheckBox" fmlaLink="$A$49" lockText="1" noThreeD="1"/>
</file>

<file path=xl/ctrlProps/ctrlProp3711.xml><?xml version="1.0" encoding="utf-8"?>
<formControlPr xmlns="http://schemas.microsoft.com/office/spreadsheetml/2009/9/main" objectType="Button" lockText="1"/>
</file>

<file path=xl/ctrlProps/ctrlProp3712.xml><?xml version="1.0" encoding="utf-8"?>
<formControlPr xmlns="http://schemas.microsoft.com/office/spreadsheetml/2009/9/main" objectType="Button" lockText="1"/>
</file>

<file path=xl/ctrlProps/ctrlProp3713.xml><?xml version="1.0" encoding="utf-8"?>
<formControlPr xmlns="http://schemas.microsoft.com/office/spreadsheetml/2009/9/main" objectType="CheckBox" fmlaLink="$A$40" lockText="1" noThreeD="1"/>
</file>

<file path=xl/ctrlProps/ctrlProp3714.xml><?xml version="1.0" encoding="utf-8"?>
<formControlPr xmlns="http://schemas.microsoft.com/office/spreadsheetml/2009/9/main" objectType="Button" lockText="1"/>
</file>

<file path=xl/ctrlProps/ctrlProp3715.xml><?xml version="1.0" encoding="utf-8"?>
<formControlPr xmlns="http://schemas.microsoft.com/office/spreadsheetml/2009/9/main" objectType="Button" lockText="1"/>
</file>

<file path=xl/ctrlProps/ctrlProp3716.xml><?xml version="1.0" encoding="utf-8"?>
<formControlPr xmlns="http://schemas.microsoft.com/office/spreadsheetml/2009/9/main" objectType="Button" lockText="1"/>
</file>

<file path=xl/ctrlProps/ctrlProp3717.xml><?xml version="1.0" encoding="utf-8"?>
<formControlPr xmlns="http://schemas.microsoft.com/office/spreadsheetml/2009/9/main" objectType="Button" lockText="1"/>
</file>

<file path=xl/ctrlProps/ctrlProp3718.xml><?xml version="1.0" encoding="utf-8"?>
<formControlPr xmlns="http://schemas.microsoft.com/office/spreadsheetml/2009/9/main" objectType="CheckBox" fmlaLink="$A$49" lockText="1" noThreeD="1"/>
</file>

<file path=xl/ctrlProps/ctrlProp3719.xml><?xml version="1.0" encoding="utf-8"?>
<formControlPr xmlns="http://schemas.microsoft.com/office/spreadsheetml/2009/9/main" objectType="CheckBox" checked="Checked" fmlaLink="$A$28" lockText="1" noThreeD="1"/>
</file>

<file path=xl/ctrlProps/ctrlProp3720.xml><?xml version="1.0" encoding="utf-8"?>
<formControlPr xmlns="http://schemas.microsoft.com/office/spreadsheetml/2009/9/main" objectType="CheckBox" checked="Checked" fmlaLink="$A$29" lockText="1" noThreeD="1"/>
</file>

<file path=xl/ctrlProps/ctrlProp3721.xml><?xml version="1.0" encoding="utf-8"?>
<formControlPr xmlns="http://schemas.microsoft.com/office/spreadsheetml/2009/9/main" objectType="CheckBox" checked="Checked" fmlaLink="$A$30" lockText="1" noThreeD="1"/>
</file>

<file path=xl/ctrlProps/ctrlProp3722.xml><?xml version="1.0" encoding="utf-8"?>
<formControlPr xmlns="http://schemas.microsoft.com/office/spreadsheetml/2009/9/main" objectType="CheckBox" checked="Checked" fmlaLink="$A$31" lockText="1" noThreeD="1"/>
</file>

<file path=xl/ctrlProps/ctrlProp3723.xml><?xml version="1.0" encoding="utf-8"?>
<formControlPr xmlns="http://schemas.microsoft.com/office/spreadsheetml/2009/9/main" objectType="CheckBox" checked="Checked" fmlaLink="$E$28" lockText="1" noThreeD="1"/>
</file>

<file path=xl/ctrlProps/ctrlProp3724.xml><?xml version="1.0" encoding="utf-8"?>
<formControlPr xmlns="http://schemas.microsoft.com/office/spreadsheetml/2009/9/main" objectType="CheckBox" checked="Checked" fmlaLink="$E$29" lockText="1" noThreeD="1"/>
</file>

<file path=xl/ctrlProps/ctrlProp3725.xml><?xml version="1.0" encoding="utf-8"?>
<formControlPr xmlns="http://schemas.microsoft.com/office/spreadsheetml/2009/9/main" objectType="CheckBox" fmlaLink="$E$30" lockText="1" noThreeD="1"/>
</file>

<file path=xl/ctrlProps/ctrlProp3726.xml><?xml version="1.0" encoding="utf-8"?>
<formControlPr xmlns="http://schemas.microsoft.com/office/spreadsheetml/2009/9/main" objectType="CheckBox" checked="Checked" fmlaLink="$A$33" lockText="1" noThreeD="1"/>
</file>

<file path=xl/ctrlProps/ctrlProp3727.xml><?xml version="1.0" encoding="utf-8"?>
<formControlPr xmlns="http://schemas.microsoft.com/office/spreadsheetml/2009/9/main" objectType="CheckBox" checked="Checked" fmlaLink="$A$34" lockText="1" noThreeD="1"/>
</file>

<file path=xl/ctrlProps/ctrlProp3728.xml><?xml version="1.0" encoding="utf-8"?>
<formControlPr xmlns="http://schemas.microsoft.com/office/spreadsheetml/2009/9/main" objectType="CheckBox" checked="Checked" fmlaLink="$A$35" lockText="1" noThreeD="1"/>
</file>

<file path=xl/ctrlProps/ctrlProp3729.xml><?xml version="1.0" encoding="utf-8"?>
<formControlPr xmlns="http://schemas.microsoft.com/office/spreadsheetml/2009/9/main" objectType="CheckBox" checked="Checked" fmlaLink="$A$36" lockText="1" noThreeD="1"/>
</file>

<file path=xl/ctrlProps/ctrlProp3730.xml><?xml version="1.0" encoding="utf-8"?>
<formControlPr xmlns="http://schemas.microsoft.com/office/spreadsheetml/2009/9/main" objectType="CheckBox" fmlaLink="$A$37" lockText="1" noThreeD="1"/>
</file>

<file path=xl/ctrlProps/ctrlProp3731.xml><?xml version="1.0" encoding="utf-8"?>
<formControlPr xmlns="http://schemas.microsoft.com/office/spreadsheetml/2009/9/main" objectType="Button" lockText="1"/>
</file>

<file path=xl/ctrlProps/ctrlProp3732.xml><?xml version="1.0" encoding="utf-8"?>
<formControlPr xmlns="http://schemas.microsoft.com/office/spreadsheetml/2009/9/main" objectType="Button" lockText="1"/>
</file>

<file path=xl/ctrlProps/ctrlProp3733.xml><?xml version="1.0" encoding="utf-8"?>
<formControlPr xmlns="http://schemas.microsoft.com/office/spreadsheetml/2009/9/main" objectType="CheckBox" checked="Checked" fmlaLink="$D$33" lockText="1" noThreeD="1"/>
</file>

<file path=xl/ctrlProps/ctrlProp3734.xml><?xml version="1.0" encoding="utf-8"?>
<formControlPr xmlns="http://schemas.microsoft.com/office/spreadsheetml/2009/9/main" objectType="CheckBox" checked="Checked" lockText="1" noThreeD="1"/>
</file>

<file path=xl/ctrlProps/ctrlProp3735.xml><?xml version="1.0" encoding="utf-8"?>
<formControlPr xmlns="http://schemas.microsoft.com/office/spreadsheetml/2009/9/main" objectType="CheckBox" checked="Checked" lockText="1" noThreeD="1"/>
</file>

<file path=xl/ctrlProps/ctrlProp3736.xml><?xml version="1.0" encoding="utf-8"?>
<formControlPr xmlns="http://schemas.microsoft.com/office/spreadsheetml/2009/9/main" objectType="CheckBox" checked="Checked" lockText="1" noThreeD="1"/>
</file>

<file path=xl/ctrlProps/ctrlProp3737.xml><?xml version="1.0" encoding="utf-8"?>
<formControlPr xmlns="http://schemas.microsoft.com/office/spreadsheetml/2009/9/main" objectType="CheckBox" checked="Checked" lockText="1" noThreeD="1"/>
</file>

<file path=xl/ctrlProps/ctrlProp3738.xml><?xml version="1.0" encoding="utf-8"?>
<formControlPr xmlns="http://schemas.microsoft.com/office/spreadsheetml/2009/9/main" objectType="CheckBox" lockText="1" noThreeD="1"/>
</file>

<file path=xl/ctrlProps/ctrlProp3739.xml><?xml version="1.0" encoding="utf-8"?>
<formControlPr xmlns="http://schemas.microsoft.com/office/spreadsheetml/2009/9/main" objectType="CheckBox" checked="Checked" lockText="1" noThreeD="1"/>
</file>

<file path=xl/ctrlProps/ctrlProp3740.xml><?xml version="1.0" encoding="utf-8"?>
<formControlPr xmlns="http://schemas.microsoft.com/office/spreadsheetml/2009/9/main" objectType="CheckBox" lockText="1" noThreeD="1"/>
</file>

<file path=xl/ctrlProps/ctrlProp3741.xml><?xml version="1.0" encoding="utf-8"?>
<formControlPr xmlns="http://schemas.microsoft.com/office/spreadsheetml/2009/9/main" objectType="CheckBox" fmlaLink="$A$43" lockText="1" noThreeD="1"/>
</file>

<file path=xl/ctrlProps/ctrlProp3742.xml><?xml version="1.0" encoding="utf-8"?>
<formControlPr xmlns="http://schemas.microsoft.com/office/spreadsheetml/2009/9/main" objectType="CheckBox" fmlaLink="$A$44" lockText="1" noThreeD="1"/>
</file>

<file path=xl/ctrlProps/ctrlProp3743.xml><?xml version="1.0" encoding="utf-8"?>
<formControlPr xmlns="http://schemas.microsoft.com/office/spreadsheetml/2009/9/main" objectType="CheckBox" fmlaLink="$A$45" lockText="1" noThreeD="1"/>
</file>

<file path=xl/ctrlProps/ctrlProp3744.xml><?xml version="1.0" encoding="utf-8"?>
<formControlPr xmlns="http://schemas.microsoft.com/office/spreadsheetml/2009/9/main" objectType="CheckBox" fmlaLink="$A$46" lockText="1" noThreeD="1"/>
</file>

<file path=xl/ctrlProps/ctrlProp3745.xml><?xml version="1.0" encoding="utf-8"?>
<formControlPr xmlns="http://schemas.microsoft.com/office/spreadsheetml/2009/9/main" objectType="CheckBox" fmlaLink="$A$47" lockText="1" noThreeD="1"/>
</file>

<file path=xl/ctrlProps/ctrlProp3746.xml><?xml version="1.0" encoding="utf-8"?>
<formControlPr xmlns="http://schemas.microsoft.com/office/spreadsheetml/2009/9/main" objectType="CheckBox" fmlaLink="$A$48" lockText="1" noThreeD="1"/>
</file>

<file path=xl/ctrlProps/ctrlProp3747.xml><?xml version="1.0" encoding="utf-8"?>
<formControlPr xmlns="http://schemas.microsoft.com/office/spreadsheetml/2009/9/main" objectType="CheckBox" fmlaLink="$A$49" lockText="1" noThreeD="1"/>
</file>

<file path=xl/ctrlProps/ctrlProp3748.xml><?xml version="1.0" encoding="utf-8"?>
<formControlPr xmlns="http://schemas.microsoft.com/office/spreadsheetml/2009/9/main" objectType="Button" lockText="1"/>
</file>

<file path=xl/ctrlProps/ctrlProp3749.xml><?xml version="1.0" encoding="utf-8"?>
<formControlPr xmlns="http://schemas.microsoft.com/office/spreadsheetml/2009/9/main" objectType="Button" lockText="1"/>
</file>

<file path=xl/ctrlProps/ctrlProp3750.xml><?xml version="1.0" encoding="utf-8"?>
<formControlPr xmlns="http://schemas.microsoft.com/office/spreadsheetml/2009/9/main" objectType="CheckBox" fmlaLink="$A$40" lockText="1" noThreeD="1"/>
</file>

<file path=xl/ctrlProps/ctrlProp3751.xml><?xml version="1.0" encoding="utf-8"?>
<formControlPr xmlns="http://schemas.microsoft.com/office/spreadsheetml/2009/9/main" objectType="Button" lockText="1"/>
</file>

<file path=xl/ctrlProps/ctrlProp3752.xml><?xml version="1.0" encoding="utf-8"?>
<formControlPr xmlns="http://schemas.microsoft.com/office/spreadsheetml/2009/9/main" objectType="Button" lockText="1"/>
</file>

<file path=xl/ctrlProps/ctrlProp3753.xml><?xml version="1.0" encoding="utf-8"?>
<formControlPr xmlns="http://schemas.microsoft.com/office/spreadsheetml/2009/9/main" objectType="Button" lockText="1"/>
</file>

<file path=xl/ctrlProps/ctrlProp3754.xml><?xml version="1.0" encoding="utf-8"?>
<formControlPr xmlns="http://schemas.microsoft.com/office/spreadsheetml/2009/9/main" objectType="Button" lockText="1"/>
</file>

<file path=xl/ctrlProps/ctrlProp3755.xml><?xml version="1.0" encoding="utf-8"?>
<formControlPr xmlns="http://schemas.microsoft.com/office/spreadsheetml/2009/9/main" objectType="CheckBox" fmlaLink="$A$49" lockText="1" noThreeD="1"/>
</file>

<file path=xl/ctrlProps/ctrlProp3756.xml><?xml version="1.0" encoding="utf-8"?>
<formControlPr xmlns="http://schemas.microsoft.com/office/spreadsheetml/2009/9/main" objectType="CheckBox" checked="Checked" fmlaLink="$A$28" lockText="1" noThreeD="1"/>
</file>

<file path=xl/ctrlProps/ctrlProp3757.xml><?xml version="1.0" encoding="utf-8"?>
<formControlPr xmlns="http://schemas.microsoft.com/office/spreadsheetml/2009/9/main" objectType="CheckBox" fmlaLink="$A$29" lockText="1" noThreeD="1"/>
</file>

<file path=xl/ctrlProps/ctrlProp3758.xml><?xml version="1.0" encoding="utf-8"?>
<formControlPr xmlns="http://schemas.microsoft.com/office/spreadsheetml/2009/9/main" objectType="CheckBox" fmlaLink="$A$30" lockText="1" noThreeD="1"/>
</file>

<file path=xl/ctrlProps/ctrlProp3759.xml><?xml version="1.0" encoding="utf-8"?>
<formControlPr xmlns="http://schemas.microsoft.com/office/spreadsheetml/2009/9/main" objectType="CheckBox" fmlaLink="$A$31" lockText="1" noThreeD="1"/>
</file>

<file path=xl/ctrlProps/ctrlProp3760.xml><?xml version="1.0" encoding="utf-8"?>
<formControlPr xmlns="http://schemas.microsoft.com/office/spreadsheetml/2009/9/main" objectType="CheckBox" fmlaLink="$E$28" lockText="1" noThreeD="1"/>
</file>

<file path=xl/ctrlProps/ctrlProp3761.xml><?xml version="1.0" encoding="utf-8"?>
<formControlPr xmlns="http://schemas.microsoft.com/office/spreadsheetml/2009/9/main" objectType="CheckBox" fmlaLink="$E$29" lockText="1" noThreeD="1"/>
</file>

<file path=xl/ctrlProps/ctrlProp3762.xml><?xml version="1.0" encoding="utf-8"?>
<formControlPr xmlns="http://schemas.microsoft.com/office/spreadsheetml/2009/9/main" objectType="CheckBox" fmlaLink="$E$30" lockText="1" noThreeD="1"/>
</file>

<file path=xl/ctrlProps/ctrlProp3763.xml><?xml version="1.0" encoding="utf-8"?>
<formControlPr xmlns="http://schemas.microsoft.com/office/spreadsheetml/2009/9/main" objectType="CheckBox" checked="Checked" fmlaLink="$A$33" lockText="1" noThreeD="1"/>
</file>

<file path=xl/ctrlProps/ctrlProp3764.xml><?xml version="1.0" encoding="utf-8"?>
<formControlPr xmlns="http://schemas.microsoft.com/office/spreadsheetml/2009/9/main" objectType="CheckBox" checked="Checked" fmlaLink="$A$34" lockText="1" noThreeD="1"/>
</file>

<file path=xl/ctrlProps/ctrlProp3765.xml><?xml version="1.0" encoding="utf-8"?>
<formControlPr xmlns="http://schemas.microsoft.com/office/spreadsheetml/2009/9/main" objectType="CheckBox" checked="Checked" fmlaLink="$A$35" lockText="1" noThreeD="1"/>
</file>

<file path=xl/ctrlProps/ctrlProp3766.xml><?xml version="1.0" encoding="utf-8"?>
<formControlPr xmlns="http://schemas.microsoft.com/office/spreadsheetml/2009/9/main" objectType="CheckBox" checked="Checked" fmlaLink="$A$36" lockText="1" noThreeD="1"/>
</file>

<file path=xl/ctrlProps/ctrlProp3767.xml><?xml version="1.0" encoding="utf-8"?>
<formControlPr xmlns="http://schemas.microsoft.com/office/spreadsheetml/2009/9/main" objectType="CheckBox" fmlaLink="$A$37" lockText="1" noThreeD="1"/>
</file>

<file path=xl/ctrlProps/ctrlProp3768.xml><?xml version="1.0" encoding="utf-8"?>
<formControlPr xmlns="http://schemas.microsoft.com/office/spreadsheetml/2009/9/main" objectType="Button" lockText="1"/>
</file>

<file path=xl/ctrlProps/ctrlProp3769.xml><?xml version="1.0" encoding="utf-8"?>
<formControlPr xmlns="http://schemas.microsoft.com/office/spreadsheetml/2009/9/main" objectType="Button" lockText="1"/>
</file>

<file path=xl/ctrlProps/ctrlProp3770.xml><?xml version="1.0" encoding="utf-8"?>
<formControlPr xmlns="http://schemas.microsoft.com/office/spreadsheetml/2009/9/main" objectType="CheckBox" checked="Checked" fmlaLink="$D$33" lockText="1" noThreeD="1"/>
</file>

<file path=xl/ctrlProps/ctrlProp3771.xml><?xml version="1.0" encoding="utf-8"?>
<formControlPr xmlns="http://schemas.microsoft.com/office/spreadsheetml/2009/9/main" objectType="CheckBox" checked="Checked" lockText="1" noThreeD="1"/>
</file>

<file path=xl/ctrlProps/ctrlProp3772.xml><?xml version="1.0" encoding="utf-8"?>
<formControlPr xmlns="http://schemas.microsoft.com/office/spreadsheetml/2009/9/main" objectType="CheckBox" checked="Checked" lockText="1" noThreeD="1"/>
</file>

<file path=xl/ctrlProps/ctrlProp3773.xml><?xml version="1.0" encoding="utf-8"?>
<formControlPr xmlns="http://schemas.microsoft.com/office/spreadsheetml/2009/9/main" objectType="CheckBox" checked="Checked" lockText="1" noThreeD="1"/>
</file>

<file path=xl/ctrlProps/ctrlProp3774.xml><?xml version="1.0" encoding="utf-8"?>
<formControlPr xmlns="http://schemas.microsoft.com/office/spreadsheetml/2009/9/main" objectType="CheckBox" checked="Checked" lockText="1" noThreeD="1"/>
</file>

<file path=xl/ctrlProps/ctrlProp3775.xml><?xml version="1.0" encoding="utf-8"?>
<formControlPr xmlns="http://schemas.microsoft.com/office/spreadsheetml/2009/9/main" objectType="CheckBox" checked="Checked" lockText="1" noThreeD="1"/>
</file>

<file path=xl/ctrlProps/ctrlProp3776.xml><?xml version="1.0" encoding="utf-8"?>
<formControlPr xmlns="http://schemas.microsoft.com/office/spreadsheetml/2009/9/main" objectType="CheckBox" checked="Checked" lockText="1" noThreeD="1"/>
</file>

<file path=xl/ctrlProps/ctrlProp3777.xml><?xml version="1.0" encoding="utf-8"?>
<formControlPr xmlns="http://schemas.microsoft.com/office/spreadsheetml/2009/9/main" objectType="CheckBox" checked="Checked" lockText="1" noThreeD="1"/>
</file>

<file path=xl/ctrlProps/ctrlProp3778.xml><?xml version="1.0" encoding="utf-8"?>
<formControlPr xmlns="http://schemas.microsoft.com/office/spreadsheetml/2009/9/main" objectType="CheckBox" fmlaLink="$A$43" lockText="1" noThreeD="1"/>
</file>

<file path=xl/ctrlProps/ctrlProp3779.xml><?xml version="1.0" encoding="utf-8"?>
<formControlPr xmlns="http://schemas.microsoft.com/office/spreadsheetml/2009/9/main" objectType="CheckBox" fmlaLink="$A$44" lockText="1" noThreeD="1"/>
</file>

<file path=xl/ctrlProps/ctrlProp3780.xml><?xml version="1.0" encoding="utf-8"?>
<formControlPr xmlns="http://schemas.microsoft.com/office/spreadsheetml/2009/9/main" objectType="CheckBox" fmlaLink="$A$45" lockText="1" noThreeD="1"/>
</file>

<file path=xl/ctrlProps/ctrlProp3781.xml><?xml version="1.0" encoding="utf-8"?>
<formControlPr xmlns="http://schemas.microsoft.com/office/spreadsheetml/2009/9/main" objectType="CheckBox" fmlaLink="$A$46" lockText="1" noThreeD="1"/>
</file>

<file path=xl/ctrlProps/ctrlProp3782.xml><?xml version="1.0" encoding="utf-8"?>
<formControlPr xmlns="http://schemas.microsoft.com/office/spreadsheetml/2009/9/main" objectType="CheckBox" fmlaLink="$A$47" lockText="1" noThreeD="1"/>
</file>

<file path=xl/ctrlProps/ctrlProp3783.xml><?xml version="1.0" encoding="utf-8"?>
<formControlPr xmlns="http://schemas.microsoft.com/office/spreadsheetml/2009/9/main" objectType="CheckBox" fmlaLink="$A$48" lockText="1" noThreeD="1"/>
</file>

<file path=xl/ctrlProps/ctrlProp3784.xml><?xml version="1.0" encoding="utf-8"?>
<formControlPr xmlns="http://schemas.microsoft.com/office/spreadsheetml/2009/9/main" objectType="CheckBox" fmlaLink="$A$49" lockText="1" noThreeD="1"/>
</file>

<file path=xl/ctrlProps/ctrlProp3785.xml><?xml version="1.0" encoding="utf-8"?>
<formControlPr xmlns="http://schemas.microsoft.com/office/spreadsheetml/2009/9/main" objectType="Button" lockText="1"/>
</file>

<file path=xl/ctrlProps/ctrlProp3786.xml><?xml version="1.0" encoding="utf-8"?>
<formControlPr xmlns="http://schemas.microsoft.com/office/spreadsheetml/2009/9/main" objectType="Button" lockText="1"/>
</file>

<file path=xl/ctrlProps/ctrlProp3787.xml><?xml version="1.0" encoding="utf-8"?>
<formControlPr xmlns="http://schemas.microsoft.com/office/spreadsheetml/2009/9/main" objectType="CheckBox" fmlaLink="$A$40" lockText="1" noThreeD="1"/>
</file>

<file path=xl/ctrlProps/ctrlProp3788.xml><?xml version="1.0" encoding="utf-8"?>
<formControlPr xmlns="http://schemas.microsoft.com/office/spreadsheetml/2009/9/main" objectType="Button" lockText="1"/>
</file>

<file path=xl/ctrlProps/ctrlProp3789.xml><?xml version="1.0" encoding="utf-8"?>
<formControlPr xmlns="http://schemas.microsoft.com/office/spreadsheetml/2009/9/main" objectType="Button" lockText="1"/>
</file>

<file path=xl/ctrlProps/ctrlProp3790.xml><?xml version="1.0" encoding="utf-8"?>
<formControlPr xmlns="http://schemas.microsoft.com/office/spreadsheetml/2009/9/main" objectType="Button" lockText="1"/>
</file>

<file path=xl/ctrlProps/ctrlProp3791.xml><?xml version="1.0" encoding="utf-8"?>
<formControlPr xmlns="http://schemas.microsoft.com/office/spreadsheetml/2009/9/main" objectType="Button" lockText="1"/>
</file>

<file path=xl/ctrlProps/ctrlProp3792.xml><?xml version="1.0" encoding="utf-8"?>
<formControlPr xmlns="http://schemas.microsoft.com/office/spreadsheetml/2009/9/main" objectType="CheckBox" fmlaLink="$A$49" lockText="1" noThreeD="1"/>
</file>

<file path=xl/ctrlProps/ctrlProp3793.xml><?xml version="1.0" encoding="utf-8"?>
<formControlPr xmlns="http://schemas.microsoft.com/office/spreadsheetml/2009/9/main" objectType="CheckBox" checked="Checked" fmlaLink="$A$28" lockText="1" noThreeD="1"/>
</file>

<file path=xl/ctrlProps/ctrlProp3794.xml><?xml version="1.0" encoding="utf-8"?>
<formControlPr xmlns="http://schemas.microsoft.com/office/spreadsheetml/2009/9/main" objectType="CheckBox" checked="Checked" fmlaLink="$A$29" lockText="1" noThreeD="1"/>
</file>

<file path=xl/ctrlProps/ctrlProp3795.xml><?xml version="1.0" encoding="utf-8"?>
<formControlPr xmlns="http://schemas.microsoft.com/office/spreadsheetml/2009/9/main" objectType="CheckBox" checked="Checked" fmlaLink="$A$30" lockText="1" noThreeD="1"/>
</file>

<file path=xl/ctrlProps/ctrlProp3796.xml><?xml version="1.0" encoding="utf-8"?>
<formControlPr xmlns="http://schemas.microsoft.com/office/spreadsheetml/2009/9/main" objectType="CheckBox" fmlaLink="$A$31" lockText="1" noThreeD="1"/>
</file>

<file path=xl/ctrlProps/ctrlProp3797.xml><?xml version="1.0" encoding="utf-8"?>
<formControlPr xmlns="http://schemas.microsoft.com/office/spreadsheetml/2009/9/main" objectType="CheckBox" checked="Checked" fmlaLink="$E$28" lockText="1" noThreeD="1"/>
</file>

<file path=xl/ctrlProps/ctrlProp3798.xml><?xml version="1.0" encoding="utf-8"?>
<formControlPr xmlns="http://schemas.microsoft.com/office/spreadsheetml/2009/9/main" objectType="CheckBox" checked="Checked" fmlaLink="$E$29" lockText="1" noThreeD="1"/>
</file>

<file path=xl/ctrlProps/ctrlProp3799.xml><?xml version="1.0" encoding="utf-8"?>
<formControlPr xmlns="http://schemas.microsoft.com/office/spreadsheetml/2009/9/main" objectType="CheckBox" checked="Checked" fmlaLink="$E$30" lockText="1" noThreeD="1"/>
</file>

<file path=xl/ctrlProps/ctrlProp3800.xml><?xml version="1.0" encoding="utf-8"?>
<formControlPr xmlns="http://schemas.microsoft.com/office/spreadsheetml/2009/9/main" objectType="CheckBox" checked="Checked" fmlaLink="$A$33" lockText="1" noThreeD="1"/>
</file>

<file path=xl/ctrlProps/ctrlProp3801.xml><?xml version="1.0" encoding="utf-8"?>
<formControlPr xmlns="http://schemas.microsoft.com/office/spreadsheetml/2009/9/main" objectType="CheckBox" checked="Checked" fmlaLink="$A$34" lockText="1" noThreeD="1"/>
</file>

<file path=xl/ctrlProps/ctrlProp3802.xml><?xml version="1.0" encoding="utf-8"?>
<formControlPr xmlns="http://schemas.microsoft.com/office/spreadsheetml/2009/9/main" objectType="CheckBox" checked="Checked" fmlaLink="$A$35" lockText="1" noThreeD="1"/>
</file>

<file path=xl/ctrlProps/ctrlProp3803.xml><?xml version="1.0" encoding="utf-8"?>
<formControlPr xmlns="http://schemas.microsoft.com/office/spreadsheetml/2009/9/main" objectType="CheckBox" checked="Checked" fmlaLink="$A$36" lockText="1" noThreeD="1"/>
</file>

<file path=xl/ctrlProps/ctrlProp3804.xml><?xml version="1.0" encoding="utf-8"?>
<formControlPr xmlns="http://schemas.microsoft.com/office/spreadsheetml/2009/9/main" objectType="CheckBox" fmlaLink="$A$37" lockText="1" noThreeD="1"/>
</file>

<file path=xl/ctrlProps/ctrlProp3805.xml><?xml version="1.0" encoding="utf-8"?>
<formControlPr xmlns="http://schemas.microsoft.com/office/spreadsheetml/2009/9/main" objectType="Button" lockText="1"/>
</file>

<file path=xl/ctrlProps/ctrlProp3806.xml><?xml version="1.0" encoding="utf-8"?>
<formControlPr xmlns="http://schemas.microsoft.com/office/spreadsheetml/2009/9/main" objectType="Button" lockText="1"/>
</file>

<file path=xl/ctrlProps/ctrlProp3807.xml><?xml version="1.0" encoding="utf-8"?>
<formControlPr xmlns="http://schemas.microsoft.com/office/spreadsheetml/2009/9/main" objectType="CheckBox" checked="Checked" fmlaLink="$D$33" lockText="1" noThreeD="1"/>
</file>

<file path=xl/ctrlProps/ctrlProp3808.xml><?xml version="1.0" encoding="utf-8"?>
<formControlPr xmlns="http://schemas.microsoft.com/office/spreadsheetml/2009/9/main" objectType="CheckBox" checked="Checked" lockText="1" noThreeD="1"/>
</file>

<file path=xl/ctrlProps/ctrlProp3809.xml><?xml version="1.0" encoding="utf-8"?>
<formControlPr xmlns="http://schemas.microsoft.com/office/spreadsheetml/2009/9/main" objectType="CheckBox" checked="Checked" lockText="1" noThreeD="1"/>
</file>

<file path=xl/ctrlProps/ctrlProp3810.xml><?xml version="1.0" encoding="utf-8"?>
<formControlPr xmlns="http://schemas.microsoft.com/office/spreadsheetml/2009/9/main" objectType="CheckBox" checked="Checked" lockText="1" noThreeD="1"/>
</file>

<file path=xl/ctrlProps/ctrlProp3811.xml><?xml version="1.0" encoding="utf-8"?>
<formControlPr xmlns="http://schemas.microsoft.com/office/spreadsheetml/2009/9/main" objectType="CheckBox" checked="Checked" lockText="1" noThreeD="1"/>
</file>

<file path=xl/ctrlProps/ctrlProp3812.xml><?xml version="1.0" encoding="utf-8"?>
<formControlPr xmlns="http://schemas.microsoft.com/office/spreadsheetml/2009/9/main" objectType="CheckBox" checked="Checked" lockText="1" noThreeD="1"/>
</file>

<file path=xl/ctrlProps/ctrlProp3813.xml><?xml version="1.0" encoding="utf-8"?>
<formControlPr xmlns="http://schemas.microsoft.com/office/spreadsheetml/2009/9/main" objectType="CheckBox" lockText="1" noThreeD="1"/>
</file>

<file path=xl/ctrlProps/ctrlProp3814.xml><?xml version="1.0" encoding="utf-8"?>
<formControlPr xmlns="http://schemas.microsoft.com/office/spreadsheetml/2009/9/main" objectType="CheckBox" checked="Checked" lockText="1" noThreeD="1"/>
</file>

<file path=xl/ctrlProps/ctrlProp3815.xml><?xml version="1.0" encoding="utf-8"?>
<formControlPr xmlns="http://schemas.microsoft.com/office/spreadsheetml/2009/9/main" objectType="CheckBox" fmlaLink="$A$43" lockText="1" noThreeD="1"/>
</file>

<file path=xl/ctrlProps/ctrlProp3816.xml><?xml version="1.0" encoding="utf-8"?>
<formControlPr xmlns="http://schemas.microsoft.com/office/spreadsheetml/2009/9/main" objectType="CheckBox" fmlaLink="$A$44" lockText="1" noThreeD="1"/>
</file>

<file path=xl/ctrlProps/ctrlProp3817.xml><?xml version="1.0" encoding="utf-8"?>
<formControlPr xmlns="http://schemas.microsoft.com/office/spreadsheetml/2009/9/main" objectType="CheckBox" fmlaLink="$A$45" lockText="1" noThreeD="1"/>
</file>

<file path=xl/ctrlProps/ctrlProp3818.xml><?xml version="1.0" encoding="utf-8"?>
<formControlPr xmlns="http://schemas.microsoft.com/office/spreadsheetml/2009/9/main" objectType="CheckBox" fmlaLink="$A$46" lockText="1" noThreeD="1"/>
</file>

<file path=xl/ctrlProps/ctrlProp3819.xml><?xml version="1.0" encoding="utf-8"?>
<formControlPr xmlns="http://schemas.microsoft.com/office/spreadsheetml/2009/9/main" objectType="CheckBox" fmlaLink="$A$47" lockText="1" noThreeD="1"/>
</file>

<file path=xl/ctrlProps/ctrlProp3820.xml><?xml version="1.0" encoding="utf-8"?>
<formControlPr xmlns="http://schemas.microsoft.com/office/spreadsheetml/2009/9/main" objectType="CheckBox" fmlaLink="$A$48" lockText="1" noThreeD="1"/>
</file>

<file path=xl/ctrlProps/ctrlProp3821.xml><?xml version="1.0" encoding="utf-8"?>
<formControlPr xmlns="http://schemas.microsoft.com/office/spreadsheetml/2009/9/main" objectType="CheckBox" fmlaLink="$A$49" lockText="1" noThreeD="1"/>
</file>

<file path=xl/ctrlProps/ctrlProp3822.xml><?xml version="1.0" encoding="utf-8"?>
<formControlPr xmlns="http://schemas.microsoft.com/office/spreadsheetml/2009/9/main" objectType="Button" lockText="1"/>
</file>

<file path=xl/ctrlProps/ctrlProp3823.xml><?xml version="1.0" encoding="utf-8"?>
<formControlPr xmlns="http://schemas.microsoft.com/office/spreadsheetml/2009/9/main" objectType="Button" lockText="1"/>
</file>

<file path=xl/ctrlProps/ctrlProp3824.xml><?xml version="1.0" encoding="utf-8"?>
<formControlPr xmlns="http://schemas.microsoft.com/office/spreadsheetml/2009/9/main" objectType="CheckBox" fmlaLink="$A$40" lockText="1" noThreeD="1"/>
</file>

<file path=xl/ctrlProps/ctrlProp3825.xml><?xml version="1.0" encoding="utf-8"?>
<formControlPr xmlns="http://schemas.microsoft.com/office/spreadsheetml/2009/9/main" objectType="Button" lockText="1"/>
</file>

<file path=xl/ctrlProps/ctrlProp3826.xml><?xml version="1.0" encoding="utf-8"?>
<formControlPr xmlns="http://schemas.microsoft.com/office/spreadsheetml/2009/9/main" objectType="Button" lockText="1"/>
</file>

<file path=xl/ctrlProps/ctrlProp3827.xml><?xml version="1.0" encoding="utf-8"?>
<formControlPr xmlns="http://schemas.microsoft.com/office/spreadsheetml/2009/9/main" objectType="Button" lockText="1"/>
</file>

<file path=xl/ctrlProps/ctrlProp3828.xml><?xml version="1.0" encoding="utf-8"?>
<formControlPr xmlns="http://schemas.microsoft.com/office/spreadsheetml/2009/9/main" objectType="Button" lockText="1"/>
</file>

<file path=xl/ctrlProps/ctrlProp3829.xml><?xml version="1.0" encoding="utf-8"?>
<formControlPr xmlns="http://schemas.microsoft.com/office/spreadsheetml/2009/9/main" objectType="CheckBox" fmlaLink="$A$49" lockText="1" noThreeD="1"/>
</file>

<file path=xl/ctrlProps/ctrlProp3830.xml><?xml version="1.0" encoding="utf-8"?>
<formControlPr xmlns="http://schemas.microsoft.com/office/spreadsheetml/2009/9/main" objectType="CheckBox" checked="Checked" fmlaLink="$A$28" lockText="1" noThreeD="1"/>
</file>

<file path=xl/ctrlProps/ctrlProp3831.xml><?xml version="1.0" encoding="utf-8"?>
<formControlPr xmlns="http://schemas.microsoft.com/office/spreadsheetml/2009/9/main" objectType="CheckBox" checked="Checked" fmlaLink="$A$29" lockText="1" noThreeD="1"/>
</file>

<file path=xl/ctrlProps/ctrlProp3832.xml><?xml version="1.0" encoding="utf-8"?>
<formControlPr xmlns="http://schemas.microsoft.com/office/spreadsheetml/2009/9/main" objectType="CheckBox" checked="Checked" fmlaLink="$A$30" lockText="1" noThreeD="1"/>
</file>

<file path=xl/ctrlProps/ctrlProp3833.xml><?xml version="1.0" encoding="utf-8"?>
<formControlPr xmlns="http://schemas.microsoft.com/office/spreadsheetml/2009/9/main" objectType="CheckBox" checked="Checked" fmlaLink="$A$31" lockText="1" noThreeD="1"/>
</file>

<file path=xl/ctrlProps/ctrlProp3834.xml><?xml version="1.0" encoding="utf-8"?>
<formControlPr xmlns="http://schemas.microsoft.com/office/spreadsheetml/2009/9/main" objectType="CheckBox" checked="Checked" fmlaLink="$E$28" lockText="1" noThreeD="1"/>
</file>

<file path=xl/ctrlProps/ctrlProp3835.xml><?xml version="1.0" encoding="utf-8"?>
<formControlPr xmlns="http://schemas.microsoft.com/office/spreadsheetml/2009/9/main" objectType="CheckBox" checked="Checked" fmlaLink="$E$29" lockText="1" noThreeD="1"/>
</file>

<file path=xl/ctrlProps/ctrlProp3836.xml><?xml version="1.0" encoding="utf-8"?>
<formControlPr xmlns="http://schemas.microsoft.com/office/spreadsheetml/2009/9/main" objectType="CheckBox" checked="Checked" fmlaLink="$E$30" lockText="1" noThreeD="1"/>
</file>

<file path=xl/ctrlProps/ctrlProp3837.xml><?xml version="1.0" encoding="utf-8"?>
<formControlPr xmlns="http://schemas.microsoft.com/office/spreadsheetml/2009/9/main" objectType="CheckBox" checked="Checked" fmlaLink="$A$33" lockText="1" noThreeD="1"/>
</file>

<file path=xl/ctrlProps/ctrlProp3838.xml><?xml version="1.0" encoding="utf-8"?>
<formControlPr xmlns="http://schemas.microsoft.com/office/spreadsheetml/2009/9/main" objectType="CheckBox" checked="Checked" fmlaLink="$A$34" lockText="1" noThreeD="1"/>
</file>

<file path=xl/ctrlProps/ctrlProp3839.xml><?xml version="1.0" encoding="utf-8"?>
<formControlPr xmlns="http://schemas.microsoft.com/office/spreadsheetml/2009/9/main" objectType="CheckBox" checked="Checked" fmlaLink="$A$35" lockText="1" noThreeD="1"/>
</file>

<file path=xl/ctrlProps/ctrlProp3840.xml><?xml version="1.0" encoding="utf-8"?>
<formControlPr xmlns="http://schemas.microsoft.com/office/spreadsheetml/2009/9/main" objectType="CheckBox" checked="Checked" fmlaLink="$A$36" lockText="1" noThreeD="1"/>
</file>

<file path=xl/ctrlProps/ctrlProp3841.xml><?xml version="1.0" encoding="utf-8"?>
<formControlPr xmlns="http://schemas.microsoft.com/office/spreadsheetml/2009/9/main" objectType="CheckBox" fmlaLink="$A$37" lockText="1" noThreeD="1"/>
</file>

<file path=xl/ctrlProps/ctrlProp3842.xml><?xml version="1.0" encoding="utf-8"?>
<formControlPr xmlns="http://schemas.microsoft.com/office/spreadsheetml/2009/9/main" objectType="Button" lockText="1"/>
</file>

<file path=xl/ctrlProps/ctrlProp3843.xml><?xml version="1.0" encoding="utf-8"?>
<formControlPr xmlns="http://schemas.microsoft.com/office/spreadsheetml/2009/9/main" objectType="Button" lockText="1"/>
</file>

<file path=xl/ctrlProps/ctrlProp3844.xml><?xml version="1.0" encoding="utf-8"?>
<formControlPr xmlns="http://schemas.microsoft.com/office/spreadsheetml/2009/9/main" objectType="CheckBox" checked="Checked" fmlaLink="$D$33" lockText="1" noThreeD="1"/>
</file>

<file path=xl/ctrlProps/ctrlProp3845.xml><?xml version="1.0" encoding="utf-8"?>
<formControlPr xmlns="http://schemas.microsoft.com/office/spreadsheetml/2009/9/main" objectType="CheckBox" checked="Checked" lockText="1" noThreeD="1"/>
</file>

<file path=xl/ctrlProps/ctrlProp3846.xml><?xml version="1.0" encoding="utf-8"?>
<formControlPr xmlns="http://schemas.microsoft.com/office/spreadsheetml/2009/9/main" objectType="CheckBox" checked="Checked" lockText="1" noThreeD="1"/>
</file>

<file path=xl/ctrlProps/ctrlProp3847.xml><?xml version="1.0" encoding="utf-8"?>
<formControlPr xmlns="http://schemas.microsoft.com/office/spreadsheetml/2009/9/main" objectType="CheckBox" checked="Checked" lockText="1" noThreeD="1"/>
</file>

<file path=xl/ctrlProps/ctrlProp3848.xml><?xml version="1.0" encoding="utf-8"?>
<formControlPr xmlns="http://schemas.microsoft.com/office/spreadsheetml/2009/9/main" objectType="CheckBox" checked="Checked" lockText="1" noThreeD="1"/>
</file>

<file path=xl/ctrlProps/ctrlProp3849.xml><?xml version="1.0" encoding="utf-8"?>
<formControlPr xmlns="http://schemas.microsoft.com/office/spreadsheetml/2009/9/main" objectType="CheckBox" checked="Checked" lockText="1" noThreeD="1"/>
</file>

<file path=xl/ctrlProps/ctrlProp3850.xml><?xml version="1.0" encoding="utf-8"?>
<formControlPr xmlns="http://schemas.microsoft.com/office/spreadsheetml/2009/9/main" objectType="CheckBox" checked="Checked" lockText="1" noThreeD="1"/>
</file>

<file path=xl/ctrlProps/ctrlProp3851.xml><?xml version="1.0" encoding="utf-8"?>
<formControlPr xmlns="http://schemas.microsoft.com/office/spreadsheetml/2009/9/main" objectType="CheckBox" lockText="1" noThreeD="1"/>
</file>

<file path=xl/ctrlProps/ctrlProp3852.xml><?xml version="1.0" encoding="utf-8"?>
<formControlPr xmlns="http://schemas.microsoft.com/office/spreadsheetml/2009/9/main" objectType="CheckBox" fmlaLink="$A$43" lockText="1" noThreeD="1"/>
</file>

<file path=xl/ctrlProps/ctrlProp3853.xml><?xml version="1.0" encoding="utf-8"?>
<formControlPr xmlns="http://schemas.microsoft.com/office/spreadsheetml/2009/9/main" objectType="CheckBox" fmlaLink="$A$44" lockText="1" noThreeD="1"/>
</file>

<file path=xl/ctrlProps/ctrlProp3854.xml><?xml version="1.0" encoding="utf-8"?>
<formControlPr xmlns="http://schemas.microsoft.com/office/spreadsheetml/2009/9/main" objectType="CheckBox" fmlaLink="$A$45" lockText="1" noThreeD="1"/>
</file>

<file path=xl/ctrlProps/ctrlProp3855.xml><?xml version="1.0" encoding="utf-8"?>
<formControlPr xmlns="http://schemas.microsoft.com/office/spreadsheetml/2009/9/main" objectType="CheckBox" fmlaLink="$A$46" lockText="1" noThreeD="1"/>
</file>

<file path=xl/ctrlProps/ctrlProp3856.xml><?xml version="1.0" encoding="utf-8"?>
<formControlPr xmlns="http://schemas.microsoft.com/office/spreadsheetml/2009/9/main" objectType="CheckBox" fmlaLink="$A$47" lockText="1" noThreeD="1"/>
</file>

<file path=xl/ctrlProps/ctrlProp3857.xml><?xml version="1.0" encoding="utf-8"?>
<formControlPr xmlns="http://schemas.microsoft.com/office/spreadsheetml/2009/9/main" objectType="CheckBox" fmlaLink="$A$48" lockText="1" noThreeD="1"/>
</file>

<file path=xl/ctrlProps/ctrlProp3858.xml><?xml version="1.0" encoding="utf-8"?>
<formControlPr xmlns="http://schemas.microsoft.com/office/spreadsheetml/2009/9/main" objectType="CheckBox" fmlaLink="$A$49" lockText="1" noThreeD="1"/>
</file>

<file path=xl/ctrlProps/ctrlProp3859.xml><?xml version="1.0" encoding="utf-8"?>
<formControlPr xmlns="http://schemas.microsoft.com/office/spreadsheetml/2009/9/main" objectType="Button" lockText="1"/>
</file>

<file path=xl/ctrlProps/ctrlProp3860.xml><?xml version="1.0" encoding="utf-8"?>
<formControlPr xmlns="http://schemas.microsoft.com/office/spreadsheetml/2009/9/main" objectType="Button" lockText="1"/>
</file>

<file path=xl/ctrlProps/ctrlProp3861.xml><?xml version="1.0" encoding="utf-8"?>
<formControlPr xmlns="http://schemas.microsoft.com/office/spreadsheetml/2009/9/main" objectType="CheckBox" fmlaLink="$A$40" lockText="1" noThreeD="1"/>
</file>

<file path=xl/ctrlProps/ctrlProp3862.xml><?xml version="1.0" encoding="utf-8"?>
<formControlPr xmlns="http://schemas.microsoft.com/office/spreadsheetml/2009/9/main" objectType="Button" lockText="1"/>
</file>

<file path=xl/ctrlProps/ctrlProp3863.xml><?xml version="1.0" encoding="utf-8"?>
<formControlPr xmlns="http://schemas.microsoft.com/office/spreadsheetml/2009/9/main" objectType="Button" lockText="1"/>
</file>

<file path=xl/ctrlProps/ctrlProp3864.xml><?xml version="1.0" encoding="utf-8"?>
<formControlPr xmlns="http://schemas.microsoft.com/office/spreadsheetml/2009/9/main" objectType="Button" lockText="1"/>
</file>

<file path=xl/ctrlProps/ctrlProp3865.xml><?xml version="1.0" encoding="utf-8"?>
<formControlPr xmlns="http://schemas.microsoft.com/office/spreadsheetml/2009/9/main" objectType="Button" lockText="1"/>
</file>

<file path=xl/ctrlProps/ctrlProp3866.xml><?xml version="1.0" encoding="utf-8"?>
<formControlPr xmlns="http://schemas.microsoft.com/office/spreadsheetml/2009/9/main" objectType="CheckBox" fmlaLink="$A$49" lockText="1" noThreeD="1"/>
</file>

<file path=xl/ctrlProps/ctrlProp3867.xml><?xml version="1.0" encoding="utf-8"?>
<formControlPr xmlns="http://schemas.microsoft.com/office/spreadsheetml/2009/9/main" objectType="CheckBox" checked="Checked" fmlaLink="$A$28" lockText="1" noThreeD="1"/>
</file>

<file path=xl/ctrlProps/ctrlProp3868.xml><?xml version="1.0" encoding="utf-8"?>
<formControlPr xmlns="http://schemas.microsoft.com/office/spreadsheetml/2009/9/main" objectType="CheckBox" checked="Checked" fmlaLink="$A$29" lockText="1" noThreeD="1"/>
</file>

<file path=xl/ctrlProps/ctrlProp3869.xml><?xml version="1.0" encoding="utf-8"?>
<formControlPr xmlns="http://schemas.microsoft.com/office/spreadsheetml/2009/9/main" objectType="CheckBox" checked="Checked" fmlaLink="$A$30" lockText="1" noThreeD="1"/>
</file>

<file path=xl/ctrlProps/ctrlProp3870.xml><?xml version="1.0" encoding="utf-8"?>
<formControlPr xmlns="http://schemas.microsoft.com/office/spreadsheetml/2009/9/main" objectType="CheckBox" fmlaLink="$A$31" lockText="1" noThreeD="1"/>
</file>

<file path=xl/ctrlProps/ctrlProp3871.xml><?xml version="1.0" encoding="utf-8"?>
<formControlPr xmlns="http://schemas.microsoft.com/office/spreadsheetml/2009/9/main" objectType="CheckBox" checked="Checked" fmlaLink="$E$28" lockText="1" noThreeD="1"/>
</file>

<file path=xl/ctrlProps/ctrlProp3872.xml><?xml version="1.0" encoding="utf-8"?>
<formControlPr xmlns="http://schemas.microsoft.com/office/spreadsheetml/2009/9/main" objectType="CheckBox" checked="Checked" fmlaLink="$E$29" lockText="1" noThreeD="1"/>
</file>

<file path=xl/ctrlProps/ctrlProp3873.xml><?xml version="1.0" encoding="utf-8"?>
<formControlPr xmlns="http://schemas.microsoft.com/office/spreadsheetml/2009/9/main" objectType="CheckBox" fmlaLink="$E$30" lockText="1" noThreeD="1"/>
</file>

<file path=xl/ctrlProps/ctrlProp3874.xml><?xml version="1.0" encoding="utf-8"?>
<formControlPr xmlns="http://schemas.microsoft.com/office/spreadsheetml/2009/9/main" objectType="CheckBox" fmlaLink="$A$33" lockText="1" noThreeD="1"/>
</file>

<file path=xl/ctrlProps/ctrlProp3875.xml><?xml version="1.0" encoding="utf-8"?>
<formControlPr xmlns="http://schemas.microsoft.com/office/spreadsheetml/2009/9/main" objectType="CheckBox" fmlaLink="$A$34" lockText="1" noThreeD="1"/>
</file>

<file path=xl/ctrlProps/ctrlProp3876.xml><?xml version="1.0" encoding="utf-8"?>
<formControlPr xmlns="http://schemas.microsoft.com/office/spreadsheetml/2009/9/main" objectType="CheckBox" fmlaLink="$A$35" lockText="1" noThreeD="1"/>
</file>

<file path=xl/ctrlProps/ctrlProp3877.xml><?xml version="1.0" encoding="utf-8"?>
<formControlPr xmlns="http://schemas.microsoft.com/office/spreadsheetml/2009/9/main" objectType="CheckBox" fmlaLink="$A$36" lockText="1" noThreeD="1"/>
</file>

<file path=xl/ctrlProps/ctrlProp3878.xml><?xml version="1.0" encoding="utf-8"?>
<formControlPr xmlns="http://schemas.microsoft.com/office/spreadsheetml/2009/9/main" objectType="CheckBox" fmlaLink="$A$37" lockText="1" noThreeD="1"/>
</file>

<file path=xl/ctrlProps/ctrlProp3879.xml><?xml version="1.0" encoding="utf-8"?>
<formControlPr xmlns="http://schemas.microsoft.com/office/spreadsheetml/2009/9/main" objectType="Button" lockText="1"/>
</file>

<file path=xl/ctrlProps/ctrlProp3880.xml><?xml version="1.0" encoding="utf-8"?>
<formControlPr xmlns="http://schemas.microsoft.com/office/spreadsheetml/2009/9/main" objectType="Button" lockText="1"/>
</file>

<file path=xl/ctrlProps/ctrlProp3881.xml><?xml version="1.0" encoding="utf-8"?>
<formControlPr xmlns="http://schemas.microsoft.com/office/spreadsheetml/2009/9/main" objectType="CheckBox" fmlaLink="$D$33" lockText="1" noThreeD="1"/>
</file>

<file path=xl/ctrlProps/ctrlProp3882.xml><?xml version="1.0" encoding="utf-8"?>
<formControlPr xmlns="http://schemas.microsoft.com/office/spreadsheetml/2009/9/main" objectType="CheckBox" lockText="1" noThreeD="1"/>
</file>

<file path=xl/ctrlProps/ctrlProp3883.xml><?xml version="1.0" encoding="utf-8"?>
<formControlPr xmlns="http://schemas.microsoft.com/office/spreadsheetml/2009/9/main" objectType="CheckBox" lockText="1" noThreeD="1"/>
</file>

<file path=xl/ctrlProps/ctrlProp3884.xml><?xml version="1.0" encoding="utf-8"?>
<formControlPr xmlns="http://schemas.microsoft.com/office/spreadsheetml/2009/9/main" objectType="CheckBox" lockText="1" noThreeD="1"/>
</file>

<file path=xl/ctrlProps/ctrlProp3885.xml><?xml version="1.0" encoding="utf-8"?>
<formControlPr xmlns="http://schemas.microsoft.com/office/spreadsheetml/2009/9/main" objectType="CheckBox" lockText="1" noThreeD="1"/>
</file>

<file path=xl/ctrlProps/ctrlProp3886.xml><?xml version="1.0" encoding="utf-8"?>
<formControlPr xmlns="http://schemas.microsoft.com/office/spreadsheetml/2009/9/main" objectType="CheckBox" lockText="1" noThreeD="1"/>
</file>

<file path=xl/ctrlProps/ctrlProp3887.xml><?xml version="1.0" encoding="utf-8"?>
<formControlPr xmlns="http://schemas.microsoft.com/office/spreadsheetml/2009/9/main" objectType="CheckBox" lockText="1" noThreeD="1"/>
</file>

<file path=xl/ctrlProps/ctrlProp3888.xml><?xml version="1.0" encoding="utf-8"?>
<formControlPr xmlns="http://schemas.microsoft.com/office/spreadsheetml/2009/9/main" objectType="CheckBox" lockText="1" noThreeD="1"/>
</file>

<file path=xl/ctrlProps/ctrlProp3889.xml><?xml version="1.0" encoding="utf-8"?>
<formControlPr xmlns="http://schemas.microsoft.com/office/spreadsheetml/2009/9/main" objectType="CheckBox" fmlaLink="$A$43" lockText="1" noThreeD="1"/>
</file>

<file path=xl/ctrlProps/ctrlProp3890.xml><?xml version="1.0" encoding="utf-8"?>
<formControlPr xmlns="http://schemas.microsoft.com/office/spreadsheetml/2009/9/main" objectType="CheckBox" fmlaLink="$A$44" lockText="1" noThreeD="1"/>
</file>

<file path=xl/ctrlProps/ctrlProp3891.xml><?xml version="1.0" encoding="utf-8"?>
<formControlPr xmlns="http://schemas.microsoft.com/office/spreadsheetml/2009/9/main" objectType="CheckBox" fmlaLink="$A$45" lockText="1" noThreeD="1"/>
</file>

<file path=xl/ctrlProps/ctrlProp3892.xml><?xml version="1.0" encoding="utf-8"?>
<formControlPr xmlns="http://schemas.microsoft.com/office/spreadsheetml/2009/9/main" objectType="CheckBox" fmlaLink="$A$46" lockText="1" noThreeD="1"/>
</file>

<file path=xl/ctrlProps/ctrlProp3893.xml><?xml version="1.0" encoding="utf-8"?>
<formControlPr xmlns="http://schemas.microsoft.com/office/spreadsheetml/2009/9/main" objectType="CheckBox" fmlaLink="$A$47" lockText="1" noThreeD="1"/>
</file>

<file path=xl/ctrlProps/ctrlProp3894.xml><?xml version="1.0" encoding="utf-8"?>
<formControlPr xmlns="http://schemas.microsoft.com/office/spreadsheetml/2009/9/main" objectType="CheckBox" fmlaLink="$A$48" lockText="1" noThreeD="1"/>
</file>

<file path=xl/ctrlProps/ctrlProp3895.xml><?xml version="1.0" encoding="utf-8"?>
<formControlPr xmlns="http://schemas.microsoft.com/office/spreadsheetml/2009/9/main" objectType="CheckBox" fmlaLink="$A$49" lockText="1" noThreeD="1"/>
</file>

<file path=xl/ctrlProps/ctrlProp3896.xml><?xml version="1.0" encoding="utf-8"?>
<formControlPr xmlns="http://schemas.microsoft.com/office/spreadsheetml/2009/9/main" objectType="Button" lockText="1"/>
</file>

<file path=xl/ctrlProps/ctrlProp3897.xml><?xml version="1.0" encoding="utf-8"?>
<formControlPr xmlns="http://schemas.microsoft.com/office/spreadsheetml/2009/9/main" objectType="Button" lockText="1"/>
</file>

<file path=xl/ctrlProps/ctrlProp3898.xml><?xml version="1.0" encoding="utf-8"?>
<formControlPr xmlns="http://schemas.microsoft.com/office/spreadsheetml/2009/9/main" objectType="CheckBox" fmlaLink="$A$40" lockText="1" noThreeD="1"/>
</file>

<file path=xl/ctrlProps/ctrlProp3899.xml><?xml version="1.0" encoding="utf-8"?>
<formControlPr xmlns="http://schemas.microsoft.com/office/spreadsheetml/2009/9/main" objectType="Button" lockText="1"/>
</file>

<file path=xl/ctrlProps/ctrlProp3900.xml><?xml version="1.0" encoding="utf-8"?>
<formControlPr xmlns="http://schemas.microsoft.com/office/spreadsheetml/2009/9/main" objectType="Button" lockText="1"/>
</file>

<file path=xl/ctrlProps/ctrlProp3901.xml><?xml version="1.0" encoding="utf-8"?>
<formControlPr xmlns="http://schemas.microsoft.com/office/spreadsheetml/2009/9/main" objectType="Button" lockText="1"/>
</file>

<file path=xl/ctrlProps/ctrlProp3902.xml><?xml version="1.0" encoding="utf-8"?>
<formControlPr xmlns="http://schemas.microsoft.com/office/spreadsheetml/2009/9/main" objectType="Button" lockText="1"/>
</file>

<file path=xl/ctrlProps/ctrlProp3903.xml><?xml version="1.0" encoding="utf-8"?>
<formControlPr xmlns="http://schemas.microsoft.com/office/spreadsheetml/2009/9/main" objectType="CheckBox" fmlaLink="$A$49" lockText="1" noThreeD="1"/>
</file>

<file path=xl/ctrlProps/ctrlProp3904.xml><?xml version="1.0" encoding="utf-8"?>
<formControlPr xmlns="http://schemas.microsoft.com/office/spreadsheetml/2009/9/main" objectType="CheckBox" checked="Checked" fmlaLink="$A$28" lockText="1" noThreeD="1"/>
</file>

<file path=xl/ctrlProps/ctrlProp3905.xml><?xml version="1.0" encoding="utf-8"?>
<formControlPr xmlns="http://schemas.microsoft.com/office/spreadsheetml/2009/9/main" objectType="CheckBox" checked="Checked" fmlaLink="$A$29" lockText="1" noThreeD="1"/>
</file>

<file path=xl/ctrlProps/ctrlProp3906.xml><?xml version="1.0" encoding="utf-8"?>
<formControlPr xmlns="http://schemas.microsoft.com/office/spreadsheetml/2009/9/main" objectType="CheckBox" checked="Checked" fmlaLink="$A$30" lockText="1" noThreeD="1"/>
</file>

<file path=xl/ctrlProps/ctrlProp3907.xml><?xml version="1.0" encoding="utf-8"?>
<formControlPr xmlns="http://schemas.microsoft.com/office/spreadsheetml/2009/9/main" objectType="CheckBox" fmlaLink="$A$31" lockText="1" noThreeD="1"/>
</file>

<file path=xl/ctrlProps/ctrlProp3908.xml><?xml version="1.0" encoding="utf-8"?>
<formControlPr xmlns="http://schemas.microsoft.com/office/spreadsheetml/2009/9/main" objectType="CheckBox" checked="Checked" fmlaLink="$E$28" lockText="1" noThreeD="1"/>
</file>

<file path=xl/ctrlProps/ctrlProp3909.xml><?xml version="1.0" encoding="utf-8"?>
<formControlPr xmlns="http://schemas.microsoft.com/office/spreadsheetml/2009/9/main" objectType="CheckBox" checked="Checked" fmlaLink="$E$29" lockText="1" noThreeD="1"/>
</file>

<file path=xl/ctrlProps/ctrlProp3910.xml><?xml version="1.0" encoding="utf-8"?>
<formControlPr xmlns="http://schemas.microsoft.com/office/spreadsheetml/2009/9/main" objectType="CheckBox" checked="Checked" fmlaLink="$E$30" lockText="1" noThreeD="1"/>
</file>

<file path=xl/ctrlProps/ctrlProp3911.xml><?xml version="1.0" encoding="utf-8"?>
<formControlPr xmlns="http://schemas.microsoft.com/office/spreadsheetml/2009/9/main" objectType="CheckBox" checked="Checked" fmlaLink="$A$33" lockText="1" noThreeD="1"/>
</file>

<file path=xl/ctrlProps/ctrlProp3912.xml><?xml version="1.0" encoding="utf-8"?>
<formControlPr xmlns="http://schemas.microsoft.com/office/spreadsheetml/2009/9/main" objectType="CheckBox" fmlaLink="$A$34" lockText="1" noThreeD="1"/>
</file>

<file path=xl/ctrlProps/ctrlProp3913.xml><?xml version="1.0" encoding="utf-8"?>
<formControlPr xmlns="http://schemas.microsoft.com/office/spreadsheetml/2009/9/main" objectType="CheckBox" checked="Checked" fmlaLink="$A$35" lockText="1" noThreeD="1"/>
</file>

<file path=xl/ctrlProps/ctrlProp3914.xml><?xml version="1.0" encoding="utf-8"?>
<formControlPr xmlns="http://schemas.microsoft.com/office/spreadsheetml/2009/9/main" objectType="CheckBox" checked="Checked" fmlaLink="$A$36" lockText="1" noThreeD="1"/>
</file>

<file path=xl/ctrlProps/ctrlProp3915.xml><?xml version="1.0" encoding="utf-8"?>
<formControlPr xmlns="http://schemas.microsoft.com/office/spreadsheetml/2009/9/main" objectType="CheckBox" fmlaLink="$A$37" lockText="1" noThreeD="1"/>
</file>

<file path=xl/ctrlProps/ctrlProp3916.xml><?xml version="1.0" encoding="utf-8"?>
<formControlPr xmlns="http://schemas.microsoft.com/office/spreadsheetml/2009/9/main" objectType="Button" lockText="1"/>
</file>

<file path=xl/ctrlProps/ctrlProp3917.xml><?xml version="1.0" encoding="utf-8"?>
<formControlPr xmlns="http://schemas.microsoft.com/office/spreadsheetml/2009/9/main" objectType="Button" lockText="1"/>
</file>

<file path=xl/ctrlProps/ctrlProp3918.xml><?xml version="1.0" encoding="utf-8"?>
<formControlPr xmlns="http://schemas.microsoft.com/office/spreadsheetml/2009/9/main" objectType="CheckBox" checked="Checked" fmlaLink="$D$33" lockText="1" noThreeD="1"/>
</file>

<file path=xl/ctrlProps/ctrlProp3919.xml><?xml version="1.0" encoding="utf-8"?>
<formControlPr xmlns="http://schemas.microsoft.com/office/spreadsheetml/2009/9/main" objectType="CheckBox" checked="Checked" lockText="1" noThreeD="1"/>
</file>

<file path=xl/ctrlProps/ctrlProp3920.xml><?xml version="1.0" encoding="utf-8"?>
<formControlPr xmlns="http://schemas.microsoft.com/office/spreadsheetml/2009/9/main" objectType="CheckBox" checked="Checked" lockText="1" noThreeD="1"/>
</file>

<file path=xl/ctrlProps/ctrlProp3921.xml><?xml version="1.0" encoding="utf-8"?>
<formControlPr xmlns="http://schemas.microsoft.com/office/spreadsheetml/2009/9/main" objectType="CheckBox" checked="Checked" lockText="1" noThreeD="1"/>
</file>

<file path=xl/ctrlProps/ctrlProp3922.xml><?xml version="1.0" encoding="utf-8"?>
<formControlPr xmlns="http://schemas.microsoft.com/office/spreadsheetml/2009/9/main" objectType="CheckBox" checked="Checked" lockText="1" noThreeD="1"/>
</file>

<file path=xl/ctrlProps/ctrlProp3923.xml><?xml version="1.0" encoding="utf-8"?>
<formControlPr xmlns="http://schemas.microsoft.com/office/spreadsheetml/2009/9/main" objectType="CheckBox" lockText="1" noThreeD="1"/>
</file>

<file path=xl/ctrlProps/ctrlProp3924.xml><?xml version="1.0" encoding="utf-8"?>
<formControlPr xmlns="http://schemas.microsoft.com/office/spreadsheetml/2009/9/main" objectType="CheckBox" checked="Checked" lockText="1" noThreeD="1"/>
</file>

<file path=xl/ctrlProps/ctrlProp3925.xml><?xml version="1.0" encoding="utf-8"?>
<formControlPr xmlns="http://schemas.microsoft.com/office/spreadsheetml/2009/9/main" objectType="CheckBox" checked="Checked" lockText="1" noThreeD="1"/>
</file>

<file path=xl/ctrlProps/ctrlProp3926.xml><?xml version="1.0" encoding="utf-8"?>
<formControlPr xmlns="http://schemas.microsoft.com/office/spreadsheetml/2009/9/main" objectType="CheckBox" fmlaLink="$A$43" lockText="1" noThreeD="1"/>
</file>

<file path=xl/ctrlProps/ctrlProp3927.xml><?xml version="1.0" encoding="utf-8"?>
<formControlPr xmlns="http://schemas.microsoft.com/office/spreadsheetml/2009/9/main" objectType="CheckBox" fmlaLink="$A$44" lockText="1" noThreeD="1"/>
</file>

<file path=xl/ctrlProps/ctrlProp3928.xml><?xml version="1.0" encoding="utf-8"?>
<formControlPr xmlns="http://schemas.microsoft.com/office/spreadsheetml/2009/9/main" objectType="CheckBox" fmlaLink="$A$45" lockText="1" noThreeD="1"/>
</file>

<file path=xl/ctrlProps/ctrlProp3929.xml><?xml version="1.0" encoding="utf-8"?>
<formControlPr xmlns="http://schemas.microsoft.com/office/spreadsheetml/2009/9/main" objectType="CheckBox" fmlaLink="$A$46" lockText="1" noThreeD="1"/>
</file>

<file path=xl/ctrlProps/ctrlProp3930.xml><?xml version="1.0" encoding="utf-8"?>
<formControlPr xmlns="http://schemas.microsoft.com/office/spreadsheetml/2009/9/main" objectType="CheckBox" fmlaLink="$A$47" lockText="1" noThreeD="1"/>
</file>

<file path=xl/ctrlProps/ctrlProp3931.xml><?xml version="1.0" encoding="utf-8"?>
<formControlPr xmlns="http://schemas.microsoft.com/office/spreadsheetml/2009/9/main" objectType="CheckBox" fmlaLink="$A$48" lockText="1" noThreeD="1"/>
</file>

<file path=xl/ctrlProps/ctrlProp3932.xml><?xml version="1.0" encoding="utf-8"?>
<formControlPr xmlns="http://schemas.microsoft.com/office/spreadsheetml/2009/9/main" objectType="CheckBox" fmlaLink="$A$49" lockText="1" noThreeD="1"/>
</file>

<file path=xl/ctrlProps/ctrlProp3933.xml><?xml version="1.0" encoding="utf-8"?>
<formControlPr xmlns="http://schemas.microsoft.com/office/spreadsheetml/2009/9/main" objectType="Button" lockText="1"/>
</file>

<file path=xl/ctrlProps/ctrlProp3934.xml><?xml version="1.0" encoding="utf-8"?>
<formControlPr xmlns="http://schemas.microsoft.com/office/spreadsheetml/2009/9/main" objectType="Button" lockText="1"/>
</file>

<file path=xl/ctrlProps/ctrlProp3935.xml><?xml version="1.0" encoding="utf-8"?>
<formControlPr xmlns="http://schemas.microsoft.com/office/spreadsheetml/2009/9/main" objectType="CheckBox" fmlaLink="$A$40" lockText="1" noThreeD="1"/>
</file>

<file path=xl/ctrlProps/ctrlProp3936.xml><?xml version="1.0" encoding="utf-8"?>
<formControlPr xmlns="http://schemas.microsoft.com/office/spreadsheetml/2009/9/main" objectType="Button" lockText="1"/>
</file>

<file path=xl/ctrlProps/ctrlProp3937.xml><?xml version="1.0" encoding="utf-8"?>
<formControlPr xmlns="http://schemas.microsoft.com/office/spreadsheetml/2009/9/main" objectType="Button" lockText="1"/>
</file>

<file path=xl/ctrlProps/ctrlProp3938.xml><?xml version="1.0" encoding="utf-8"?>
<formControlPr xmlns="http://schemas.microsoft.com/office/spreadsheetml/2009/9/main" objectType="Button" lockText="1"/>
</file>

<file path=xl/ctrlProps/ctrlProp3939.xml><?xml version="1.0" encoding="utf-8"?>
<formControlPr xmlns="http://schemas.microsoft.com/office/spreadsheetml/2009/9/main" objectType="Button" lockText="1"/>
</file>

<file path=xl/ctrlProps/ctrlProp3940.xml><?xml version="1.0" encoding="utf-8"?>
<formControlPr xmlns="http://schemas.microsoft.com/office/spreadsheetml/2009/9/main" objectType="CheckBox" fmlaLink="$A$49" lockText="1" noThreeD="1"/>
</file>

<file path=xl/ctrlProps/ctrlProp3941.xml><?xml version="1.0" encoding="utf-8"?>
<formControlPr xmlns="http://schemas.microsoft.com/office/spreadsheetml/2009/9/main" objectType="CheckBox" fmlaLink="$A$28" lockText="1" noThreeD="1"/>
</file>

<file path=xl/ctrlProps/ctrlProp3942.xml><?xml version="1.0" encoding="utf-8"?>
<formControlPr xmlns="http://schemas.microsoft.com/office/spreadsheetml/2009/9/main" objectType="CheckBox" fmlaLink="$A$29" lockText="1" noThreeD="1"/>
</file>

<file path=xl/ctrlProps/ctrlProp3943.xml><?xml version="1.0" encoding="utf-8"?>
<formControlPr xmlns="http://schemas.microsoft.com/office/spreadsheetml/2009/9/main" objectType="CheckBox" fmlaLink="$A$30" lockText="1" noThreeD="1"/>
</file>

<file path=xl/ctrlProps/ctrlProp3944.xml><?xml version="1.0" encoding="utf-8"?>
<formControlPr xmlns="http://schemas.microsoft.com/office/spreadsheetml/2009/9/main" objectType="CheckBox" fmlaLink="$A$31" lockText="1" noThreeD="1"/>
</file>

<file path=xl/ctrlProps/ctrlProp3945.xml><?xml version="1.0" encoding="utf-8"?>
<formControlPr xmlns="http://schemas.microsoft.com/office/spreadsheetml/2009/9/main" objectType="CheckBox" fmlaLink="$E$28" lockText="1" noThreeD="1"/>
</file>

<file path=xl/ctrlProps/ctrlProp3946.xml><?xml version="1.0" encoding="utf-8"?>
<formControlPr xmlns="http://schemas.microsoft.com/office/spreadsheetml/2009/9/main" objectType="CheckBox" fmlaLink="$E$29" lockText="1" noThreeD="1"/>
</file>

<file path=xl/ctrlProps/ctrlProp3947.xml><?xml version="1.0" encoding="utf-8"?>
<formControlPr xmlns="http://schemas.microsoft.com/office/spreadsheetml/2009/9/main" objectType="CheckBox" fmlaLink="$E$30" lockText="1" noThreeD="1"/>
</file>

<file path=xl/ctrlProps/ctrlProp3948.xml><?xml version="1.0" encoding="utf-8"?>
<formControlPr xmlns="http://schemas.microsoft.com/office/spreadsheetml/2009/9/main" objectType="CheckBox" checked="Checked" fmlaLink="$A$33" lockText="1" noThreeD="1"/>
</file>

<file path=xl/ctrlProps/ctrlProp3949.xml><?xml version="1.0" encoding="utf-8"?>
<formControlPr xmlns="http://schemas.microsoft.com/office/spreadsheetml/2009/9/main" objectType="CheckBox" checked="Checked" fmlaLink="$A$34" lockText="1" noThreeD="1"/>
</file>

<file path=xl/ctrlProps/ctrlProp3950.xml><?xml version="1.0" encoding="utf-8"?>
<formControlPr xmlns="http://schemas.microsoft.com/office/spreadsheetml/2009/9/main" objectType="CheckBox" checked="Checked" fmlaLink="$A$35" lockText="1" noThreeD="1"/>
</file>

<file path=xl/ctrlProps/ctrlProp3951.xml><?xml version="1.0" encoding="utf-8"?>
<formControlPr xmlns="http://schemas.microsoft.com/office/spreadsheetml/2009/9/main" objectType="CheckBox" checked="Checked" fmlaLink="$A$36" lockText="1" noThreeD="1"/>
</file>

<file path=xl/ctrlProps/ctrlProp3952.xml><?xml version="1.0" encoding="utf-8"?>
<formControlPr xmlns="http://schemas.microsoft.com/office/spreadsheetml/2009/9/main" objectType="CheckBox" fmlaLink="$A$37" lockText="1" noThreeD="1"/>
</file>

<file path=xl/ctrlProps/ctrlProp3953.xml><?xml version="1.0" encoding="utf-8"?>
<formControlPr xmlns="http://schemas.microsoft.com/office/spreadsheetml/2009/9/main" objectType="Button" lockText="1"/>
</file>

<file path=xl/ctrlProps/ctrlProp3954.xml><?xml version="1.0" encoding="utf-8"?>
<formControlPr xmlns="http://schemas.microsoft.com/office/spreadsheetml/2009/9/main" objectType="Button" lockText="1"/>
</file>

<file path=xl/ctrlProps/ctrlProp3955.xml><?xml version="1.0" encoding="utf-8"?>
<formControlPr xmlns="http://schemas.microsoft.com/office/spreadsheetml/2009/9/main" objectType="CheckBox" checked="Checked" fmlaLink="$D$33" lockText="1" noThreeD="1"/>
</file>

<file path=xl/ctrlProps/ctrlProp3956.xml><?xml version="1.0" encoding="utf-8"?>
<formControlPr xmlns="http://schemas.microsoft.com/office/spreadsheetml/2009/9/main" objectType="CheckBox" checked="Checked" lockText="1" noThreeD="1"/>
</file>

<file path=xl/ctrlProps/ctrlProp3957.xml><?xml version="1.0" encoding="utf-8"?>
<formControlPr xmlns="http://schemas.microsoft.com/office/spreadsheetml/2009/9/main" objectType="CheckBox" checked="Checked" lockText="1" noThreeD="1"/>
</file>

<file path=xl/ctrlProps/ctrlProp3958.xml><?xml version="1.0" encoding="utf-8"?>
<formControlPr xmlns="http://schemas.microsoft.com/office/spreadsheetml/2009/9/main" objectType="CheckBox" checked="Checked" lockText="1" noThreeD="1"/>
</file>

<file path=xl/ctrlProps/ctrlProp3959.xml><?xml version="1.0" encoding="utf-8"?>
<formControlPr xmlns="http://schemas.microsoft.com/office/spreadsheetml/2009/9/main" objectType="CheckBox" checked="Checked" lockText="1" noThreeD="1"/>
</file>

<file path=xl/ctrlProps/ctrlProp3960.xml><?xml version="1.0" encoding="utf-8"?>
<formControlPr xmlns="http://schemas.microsoft.com/office/spreadsheetml/2009/9/main" objectType="CheckBox" checked="Checked" lockText="1" noThreeD="1"/>
</file>

<file path=xl/ctrlProps/ctrlProp3961.xml><?xml version="1.0" encoding="utf-8"?>
<formControlPr xmlns="http://schemas.microsoft.com/office/spreadsheetml/2009/9/main" objectType="CheckBox" checked="Checked" lockText="1" noThreeD="1"/>
</file>

<file path=xl/ctrlProps/ctrlProp3962.xml><?xml version="1.0" encoding="utf-8"?>
<formControlPr xmlns="http://schemas.microsoft.com/office/spreadsheetml/2009/9/main" objectType="CheckBox" lockText="1" noThreeD="1"/>
</file>

<file path=xl/ctrlProps/ctrlProp3963.xml><?xml version="1.0" encoding="utf-8"?>
<formControlPr xmlns="http://schemas.microsoft.com/office/spreadsheetml/2009/9/main" objectType="CheckBox" fmlaLink="$A$43" lockText="1" noThreeD="1"/>
</file>

<file path=xl/ctrlProps/ctrlProp3964.xml><?xml version="1.0" encoding="utf-8"?>
<formControlPr xmlns="http://schemas.microsoft.com/office/spreadsheetml/2009/9/main" objectType="CheckBox" fmlaLink="$A$44" lockText="1" noThreeD="1"/>
</file>

<file path=xl/ctrlProps/ctrlProp3965.xml><?xml version="1.0" encoding="utf-8"?>
<formControlPr xmlns="http://schemas.microsoft.com/office/spreadsheetml/2009/9/main" objectType="CheckBox" fmlaLink="$A$45" lockText="1" noThreeD="1"/>
</file>

<file path=xl/ctrlProps/ctrlProp3966.xml><?xml version="1.0" encoding="utf-8"?>
<formControlPr xmlns="http://schemas.microsoft.com/office/spreadsheetml/2009/9/main" objectType="CheckBox" fmlaLink="$A$46" lockText="1" noThreeD="1"/>
</file>

<file path=xl/ctrlProps/ctrlProp3967.xml><?xml version="1.0" encoding="utf-8"?>
<formControlPr xmlns="http://schemas.microsoft.com/office/spreadsheetml/2009/9/main" objectType="CheckBox" fmlaLink="$A$47" lockText="1" noThreeD="1"/>
</file>

<file path=xl/ctrlProps/ctrlProp3968.xml><?xml version="1.0" encoding="utf-8"?>
<formControlPr xmlns="http://schemas.microsoft.com/office/spreadsheetml/2009/9/main" objectType="CheckBox" fmlaLink="$A$48" lockText="1" noThreeD="1"/>
</file>

<file path=xl/ctrlProps/ctrlProp3969.xml><?xml version="1.0" encoding="utf-8"?>
<formControlPr xmlns="http://schemas.microsoft.com/office/spreadsheetml/2009/9/main" objectType="CheckBox" fmlaLink="$A$49" lockText="1" noThreeD="1"/>
</file>

<file path=xl/ctrlProps/ctrlProp3970.xml><?xml version="1.0" encoding="utf-8"?>
<formControlPr xmlns="http://schemas.microsoft.com/office/spreadsheetml/2009/9/main" objectType="Button" lockText="1"/>
</file>

<file path=xl/ctrlProps/ctrlProp3971.xml><?xml version="1.0" encoding="utf-8"?>
<formControlPr xmlns="http://schemas.microsoft.com/office/spreadsheetml/2009/9/main" objectType="Button" lockText="1"/>
</file>

<file path=xl/ctrlProps/ctrlProp3972.xml><?xml version="1.0" encoding="utf-8"?>
<formControlPr xmlns="http://schemas.microsoft.com/office/spreadsheetml/2009/9/main" objectType="CheckBox" fmlaLink="$A$40" lockText="1" noThreeD="1"/>
</file>

<file path=xl/ctrlProps/ctrlProp3973.xml><?xml version="1.0" encoding="utf-8"?>
<formControlPr xmlns="http://schemas.microsoft.com/office/spreadsheetml/2009/9/main" objectType="Button" lockText="1"/>
</file>

<file path=xl/ctrlProps/ctrlProp3974.xml><?xml version="1.0" encoding="utf-8"?>
<formControlPr xmlns="http://schemas.microsoft.com/office/spreadsheetml/2009/9/main" objectType="Button" lockText="1"/>
</file>

<file path=xl/ctrlProps/ctrlProp3975.xml><?xml version="1.0" encoding="utf-8"?>
<formControlPr xmlns="http://schemas.microsoft.com/office/spreadsheetml/2009/9/main" objectType="Button" lockText="1"/>
</file>

<file path=xl/ctrlProps/ctrlProp3976.xml><?xml version="1.0" encoding="utf-8"?>
<formControlPr xmlns="http://schemas.microsoft.com/office/spreadsheetml/2009/9/main" objectType="Button" lockText="1"/>
</file>

<file path=xl/ctrlProps/ctrlProp3977.xml><?xml version="1.0" encoding="utf-8"?>
<formControlPr xmlns="http://schemas.microsoft.com/office/spreadsheetml/2009/9/main" objectType="CheckBox" fmlaLink="$A$49" lockText="1" noThreeD="1"/>
</file>

<file path=xl/ctrlProps/ctrlProp3978.xml><?xml version="1.0" encoding="utf-8"?>
<formControlPr xmlns="http://schemas.microsoft.com/office/spreadsheetml/2009/9/main" objectType="CheckBox" fmlaLink="$A$28" lockText="1" noThreeD="1"/>
</file>

<file path=xl/ctrlProps/ctrlProp3979.xml><?xml version="1.0" encoding="utf-8"?>
<formControlPr xmlns="http://schemas.microsoft.com/office/spreadsheetml/2009/9/main" objectType="CheckBox" fmlaLink="$A$29" lockText="1" noThreeD="1"/>
</file>

<file path=xl/ctrlProps/ctrlProp3980.xml><?xml version="1.0" encoding="utf-8"?>
<formControlPr xmlns="http://schemas.microsoft.com/office/spreadsheetml/2009/9/main" objectType="CheckBox" fmlaLink="$A$30" lockText="1" noThreeD="1"/>
</file>

<file path=xl/ctrlProps/ctrlProp3981.xml><?xml version="1.0" encoding="utf-8"?>
<formControlPr xmlns="http://schemas.microsoft.com/office/spreadsheetml/2009/9/main" objectType="CheckBox" fmlaLink="$A$31" lockText="1" noThreeD="1"/>
</file>

<file path=xl/ctrlProps/ctrlProp3982.xml><?xml version="1.0" encoding="utf-8"?>
<formControlPr xmlns="http://schemas.microsoft.com/office/spreadsheetml/2009/9/main" objectType="CheckBox" fmlaLink="$E$28" lockText="1" noThreeD="1"/>
</file>

<file path=xl/ctrlProps/ctrlProp3983.xml><?xml version="1.0" encoding="utf-8"?>
<formControlPr xmlns="http://schemas.microsoft.com/office/spreadsheetml/2009/9/main" objectType="CheckBox" fmlaLink="$E$29" lockText="1" noThreeD="1"/>
</file>

<file path=xl/ctrlProps/ctrlProp3984.xml><?xml version="1.0" encoding="utf-8"?>
<formControlPr xmlns="http://schemas.microsoft.com/office/spreadsheetml/2009/9/main" objectType="CheckBox" fmlaLink="$E$30" lockText="1" noThreeD="1"/>
</file>

<file path=xl/ctrlProps/ctrlProp3985.xml><?xml version="1.0" encoding="utf-8"?>
<formControlPr xmlns="http://schemas.microsoft.com/office/spreadsheetml/2009/9/main" objectType="CheckBox" fmlaLink="$A$33" lockText="1" noThreeD="1"/>
</file>

<file path=xl/ctrlProps/ctrlProp3986.xml><?xml version="1.0" encoding="utf-8"?>
<formControlPr xmlns="http://schemas.microsoft.com/office/spreadsheetml/2009/9/main" objectType="CheckBox" fmlaLink="$A$34" lockText="1" noThreeD="1"/>
</file>

<file path=xl/ctrlProps/ctrlProp3987.xml><?xml version="1.0" encoding="utf-8"?>
<formControlPr xmlns="http://schemas.microsoft.com/office/spreadsheetml/2009/9/main" objectType="CheckBox" fmlaLink="$A$35" lockText="1" noThreeD="1"/>
</file>

<file path=xl/ctrlProps/ctrlProp3988.xml><?xml version="1.0" encoding="utf-8"?>
<formControlPr xmlns="http://schemas.microsoft.com/office/spreadsheetml/2009/9/main" objectType="CheckBox" fmlaLink="$A$36" lockText="1" noThreeD="1"/>
</file>

<file path=xl/ctrlProps/ctrlProp3989.xml><?xml version="1.0" encoding="utf-8"?>
<formControlPr xmlns="http://schemas.microsoft.com/office/spreadsheetml/2009/9/main" objectType="CheckBox" fmlaLink="$A$37" lockText="1" noThreeD="1"/>
</file>

<file path=xl/ctrlProps/ctrlProp3990.xml><?xml version="1.0" encoding="utf-8"?>
<formControlPr xmlns="http://schemas.microsoft.com/office/spreadsheetml/2009/9/main" objectType="Button" lockText="1"/>
</file>

<file path=xl/ctrlProps/ctrlProp3991.xml><?xml version="1.0" encoding="utf-8"?>
<formControlPr xmlns="http://schemas.microsoft.com/office/spreadsheetml/2009/9/main" objectType="Button" lockText="1"/>
</file>

<file path=xl/ctrlProps/ctrlProp3992.xml><?xml version="1.0" encoding="utf-8"?>
<formControlPr xmlns="http://schemas.microsoft.com/office/spreadsheetml/2009/9/main" objectType="CheckBox" fmlaLink="$D$33" lockText="1" noThreeD="1"/>
</file>

<file path=xl/ctrlProps/ctrlProp3993.xml><?xml version="1.0" encoding="utf-8"?>
<formControlPr xmlns="http://schemas.microsoft.com/office/spreadsheetml/2009/9/main" objectType="CheckBox" lockText="1" noThreeD="1"/>
</file>

<file path=xl/ctrlProps/ctrlProp3994.xml><?xml version="1.0" encoding="utf-8"?>
<formControlPr xmlns="http://schemas.microsoft.com/office/spreadsheetml/2009/9/main" objectType="CheckBox" lockText="1" noThreeD="1"/>
</file>

<file path=xl/ctrlProps/ctrlProp3995.xml><?xml version="1.0" encoding="utf-8"?>
<formControlPr xmlns="http://schemas.microsoft.com/office/spreadsheetml/2009/9/main" objectType="CheckBox" lockText="1" noThreeD="1"/>
</file>

<file path=xl/ctrlProps/ctrlProp3996.xml><?xml version="1.0" encoding="utf-8"?>
<formControlPr xmlns="http://schemas.microsoft.com/office/spreadsheetml/2009/9/main" objectType="CheckBox" lockText="1" noThreeD="1"/>
</file>

<file path=xl/ctrlProps/ctrlProp3997.xml><?xml version="1.0" encoding="utf-8"?>
<formControlPr xmlns="http://schemas.microsoft.com/office/spreadsheetml/2009/9/main" objectType="CheckBox" lockText="1" noThreeD="1"/>
</file>

<file path=xl/ctrlProps/ctrlProp3998.xml><?xml version="1.0" encoding="utf-8"?>
<formControlPr xmlns="http://schemas.microsoft.com/office/spreadsheetml/2009/9/main" objectType="CheckBox" lockText="1" noThreeD="1"/>
</file>

<file path=xl/ctrlProps/ctrlProp3999.xml><?xml version="1.0" encoding="utf-8"?>
<formControlPr xmlns="http://schemas.microsoft.com/office/spreadsheetml/2009/9/main" objectType="CheckBox" lockText="1" noThreeD="1"/>
</file>

<file path=xl/ctrlProps/ctrlProp4000.xml><?xml version="1.0" encoding="utf-8"?>
<formControlPr xmlns="http://schemas.microsoft.com/office/spreadsheetml/2009/9/main" objectType="CheckBox" fmlaLink="$A$43" lockText="1" noThreeD="1"/>
</file>

<file path=xl/ctrlProps/ctrlProp4001.xml><?xml version="1.0" encoding="utf-8"?>
<formControlPr xmlns="http://schemas.microsoft.com/office/spreadsheetml/2009/9/main" objectType="CheckBox" fmlaLink="$A$44" lockText="1" noThreeD="1"/>
</file>

<file path=xl/ctrlProps/ctrlProp4002.xml><?xml version="1.0" encoding="utf-8"?>
<formControlPr xmlns="http://schemas.microsoft.com/office/spreadsheetml/2009/9/main" objectType="CheckBox" fmlaLink="$A$45" lockText="1" noThreeD="1"/>
</file>

<file path=xl/ctrlProps/ctrlProp4003.xml><?xml version="1.0" encoding="utf-8"?>
<formControlPr xmlns="http://schemas.microsoft.com/office/spreadsheetml/2009/9/main" objectType="CheckBox" fmlaLink="$A$46" lockText="1" noThreeD="1"/>
</file>

<file path=xl/ctrlProps/ctrlProp4004.xml><?xml version="1.0" encoding="utf-8"?>
<formControlPr xmlns="http://schemas.microsoft.com/office/spreadsheetml/2009/9/main" objectType="CheckBox" fmlaLink="$A$47" lockText="1" noThreeD="1"/>
</file>

<file path=xl/ctrlProps/ctrlProp4005.xml><?xml version="1.0" encoding="utf-8"?>
<formControlPr xmlns="http://schemas.microsoft.com/office/spreadsheetml/2009/9/main" objectType="CheckBox" fmlaLink="$A$48" lockText="1" noThreeD="1"/>
</file>

<file path=xl/ctrlProps/ctrlProp4006.xml><?xml version="1.0" encoding="utf-8"?>
<formControlPr xmlns="http://schemas.microsoft.com/office/spreadsheetml/2009/9/main" objectType="CheckBox" fmlaLink="$A$49" lockText="1" noThreeD="1"/>
</file>

<file path=xl/ctrlProps/ctrlProp4007.xml><?xml version="1.0" encoding="utf-8"?>
<formControlPr xmlns="http://schemas.microsoft.com/office/spreadsheetml/2009/9/main" objectType="Button" lockText="1"/>
</file>

<file path=xl/ctrlProps/ctrlProp4008.xml><?xml version="1.0" encoding="utf-8"?>
<formControlPr xmlns="http://schemas.microsoft.com/office/spreadsheetml/2009/9/main" objectType="Button" lockText="1"/>
</file>

<file path=xl/ctrlProps/ctrlProp4009.xml><?xml version="1.0" encoding="utf-8"?>
<formControlPr xmlns="http://schemas.microsoft.com/office/spreadsheetml/2009/9/main" objectType="CheckBox" fmlaLink="$A$40" lockText="1" noThreeD="1"/>
</file>

<file path=xl/ctrlProps/ctrlProp4010.xml><?xml version="1.0" encoding="utf-8"?>
<formControlPr xmlns="http://schemas.microsoft.com/office/spreadsheetml/2009/9/main" objectType="Button" lockText="1"/>
</file>

<file path=xl/ctrlProps/ctrlProp4011.xml><?xml version="1.0" encoding="utf-8"?>
<formControlPr xmlns="http://schemas.microsoft.com/office/spreadsheetml/2009/9/main" objectType="Button" lockText="1"/>
</file>

<file path=xl/ctrlProps/ctrlProp4012.xml><?xml version="1.0" encoding="utf-8"?>
<formControlPr xmlns="http://schemas.microsoft.com/office/spreadsheetml/2009/9/main" objectType="Button" lockText="1"/>
</file>

<file path=xl/ctrlProps/ctrlProp4013.xml><?xml version="1.0" encoding="utf-8"?>
<formControlPr xmlns="http://schemas.microsoft.com/office/spreadsheetml/2009/9/main" objectType="Button" lockText="1"/>
</file>

<file path=xl/ctrlProps/ctrlProp4014.xml><?xml version="1.0" encoding="utf-8"?>
<formControlPr xmlns="http://schemas.microsoft.com/office/spreadsheetml/2009/9/main" objectType="CheckBox" fmlaLink="$A$49" lockText="1" noThreeD="1"/>
</file>

<file path=xl/ctrlProps/ctrlProp4015.xml><?xml version="1.0" encoding="utf-8"?>
<formControlPr xmlns="http://schemas.microsoft.com/office/spreadsheetml/2009/9/main" objectType="CheckBox" checked="Checked" fmlaLink="$A$28" lockText="1" noThreeD="1"/>
</file>

<file path=xl/ctrlProps/ctrlProp4016.xml><?xml version="1.0" encoding="utf-8"?>
<formControlPr xmlns="http://schemas.microsoft.com/office/spreadsheetml/2009/9/main" objectType="CheckBox" checked="Checked" fmlaLink="$A$29" lockText="1" noThreeD="1"/>
</file>

<file path=xl/ctrlProps/ctrlProp4017.xml><?xml version="1.0" encoding="utf-8"?>
<formControlPr xmlns="http://schemas.microsoft.com/office/spreadsheetml/2009/9/main" objectType="CheckBox" checked="Checked" fmlaLink="$A$30" lockText="1" noThreeD="1"/>
</file>

<file path=xl/ctrlProps/ctrlProp4018.xml><?xml version="1.0" encoding="utf-8"?>
<formControlPr xmlns="http://schemas.microsoft.com/office/spreadsheetml/2009/9/main" objectType="CheckBox" fmlaLink="$A$31" lockText="1" noThreeD="1"/>
</file>

<file path=xl/ctrlProps/ctrlProp4019.xml><?xml version="1.0" encoding="utf-8"?>
<formControlPr xmlns="http://schemas.microsoft.com/office/spreadsheetml/2009/9/main" objectType="CheckBox" checked="Checked" fmlaLink="$E$28" lockText="1" noThreeD="1"/>
</file>

<file path=xl/ctrlProps/ctrlProp4020.xml><?xml version="1.0" encoding="utf-8"?>
<formControlPr xmlns="http://schemas.microsoft.com/office/spreadsheetml/2009/9/main" objectType="CheckBox" checked="Checked" fmlaLink="$E$29" lockText="1" noThreeD="1"/>
</file>

<file path=xl/ctrlProps/ctrlProp4021.xml><?xml version="1.0" encoding="utf-8"?>
<formControlPr xmlns="http://schemas.microsoft.com/office/spreadsheetml/2009/9/main" objectType="CheckBox" fmlaLink="$E$30" lockText="1" noThreeD="1"/>
</file>

<file path=xl/ctrlProps/ctrlProp4022.xml><?xml version="1.0" encoding="utf-8"?>
<formControlPr xmlns="http://schemas.microsoft.com/office/spreadsheetml/2009/9/main" objectType="CheckBox" checked="Checked" fmlaLink="$A$33" lockText="1" noThreeD="1"/>
</file>

<file path=xl/ctrlProps/ctrlProp4023.xml><?xml version="1.0" encoding="utf-8"?>
<formControlPr xmlns="http://schemas.microsoft.com/office/spreadsheetml/2009/9/main" objectType="CheckBox" checked="Checked" fmlaLink="$A$34" lockText="1" noThreeD="1"/>
</file>

<file path=xl/ctrlProps/ctrlProp4024.xml><?xml version="1.0" encoding="utf-8"?>
<formControlPr xmlns="http://schemas.microsoft.com/office/spreadsheetml/2009/9/main" objectType="CheckBox" checked="Checked" fmlaLink="$A$35" lockText="1" noThreeD="1"/>
</file>

<file path=xl/ctrlProps/ctrlProp4025.xml><?xml version="1.0" encoding="utf-8"?>
<formControlPr xmlns="http://schemas.microsoft.com/office/spreadsheetml/2009/9/main" objectType="CheckBox" checked="Checked" fmlaLink="$A$36" lockText="1" noThreeD="1"/>
</file>

<file path=xl/ctrlProps/ctrlProp4026.xml><?xml version="1.0" encoding="utf-8"?>
<formControlPr xmlns="http://schemas.microsoft.com/office/spreadsheetml/2009/9/main" objectType="CheckBox" checked="Checked" fmlaLink="$A$37" lockText="1" noThreeD="1"/>
</file>

<file path=xl/ctrlProps/ctrlProp4027.xml><?xml version="1.0" encoding="utf-8"?>
<formControlPr xmlns="http://schemas.microsoft.com/office/spreadsheetml/2009/9/main" objectType="Button" lockText="1"/>
</file>

<file path=xl/ctrlProps/ctrlProp4028.xml><?xml version="1.0" encoding="utf-8"?>
<formControlPr xmlns="http://schemas.microsoft.com/office/spreadsheetml/2009/9/main" objectType="Button" lockText="1"/>
</file>

<file path=xl/ctrlProps/ctrlProp4029.xml><?xml version="1.0" encoding="utf-8"?>
<formControlPr xmlns="http://schemas.microsoft.com/office/spreadsheetml/2009/9/main" objectType="CheckBox" checked="Checked" fmlaLink="$D$33" lockText="1" noThreeD="1"/>
</file>

<file path=xl/ctrlProps/ctrlProp4030.xml><?xml version="1.0" encoding="utf-8"?>
<formControlPr xmlns="http://schemas.microsoft.com/office/spreadsheetml/2009/9/main" objectType="CheckBox" checked="Checked" lockText="1" noThreeD="1"/>
</file>

<file path=xl/ctrlProps/ctrlProp4031.xml><?xml version="1.0" encoding="utf-8"?>
<formControlPr xmlns="http://schemas.microsoft.com/office/spreadsheetml/2009/9/main" objectType="CheckBox" checked="Checked" lockText="1" noThreeD="1"/>
</file>

<file path=xl/ctrlProps/ctrlProp4032.xml><?xml version="1.0" encoding="utf-8"?>
<formControlPr xmlns="http://schemas.microsoft.com/office/spreadsheetml/2009/9/main" objectType="CheckBox" checked="Checked" lockText="1" noThreeD="1"/>
</file>

<file path=xl/ctrlProps/ctrlProp4033.xml><?xml version="1.0" encoding="utf-8"?>
<formControlPr xmlns="http://schemas.microsoft.com/office/spreadsheetml/2009/9/main" objectType="CheckBox" checked="Checked" lockText="1" noThreeD="1"/>
</file>

<file path=xl/ctrlProps/ctrlProp4034.xml><?xml version="1.0" encoding="utf-8"?>
<formControlPr xmlns="http://schemas.microsoft.com/office/spreadsheetml/2009/9/main" objectType="CheckBox" checked="Checked" lockText="1" noThreeD="1"/>
</file>

<file path=xl/ctrlProps/ctrlProp4035.xml><?xml version="1.0" encoding="utf-8"?>
<formControlPr xmlns="http://schemas.microsoft.com/office/spreadsheetml/2009/9/main" objectType="CheckBox" checked="Checked" lockText="1" noThreeD="1"/>
</file>

<file path=xl/ctrlProps/ctrlProp4036.xml><?xml version="1.0" encoding="utf-8"?>
<formControlPr xmlns="http://schemas.microsoft.com/office/spreadsheetml/2009/9/main" objectType="CheckBox" lockText="1" noThreeD="1"/>
</file>

<file path=xl/ctrlProps/ctrlProp4037.xml><?xml version="1.0" encoding="utf-8"?>
<formControlPr xmlns="http://schemas.microsoft.com/office/spreadsheetml/2009/9/main" objectType="CheckBox" fmlaLink="$A$43" lockText="1" noThreeD="1"/>
</file>

<file path=xl/ctrlProps/ctrlProp4038.xml><?xml version="1.0" encoding="utf-8"?>
<formControlPr xmlns="http://schemas.microsoft.com/office/spreadsheetml/2009/9/main" objectType="CheckBox" fmlaLink="$A$44" lockText="1" noThreeD="1"/>
</file>

<file path=xl/ctrlProps/ctrlProp4039.xml><?xml version="1.0" encoding="utf-8"?>
<formControlPr xmlns="http://schemas.microsoft.com/office/spreadsheetml/2009/9/main" objectType="CheckBox" fmlaLink="$A$45" lockText="1" noThreeD="1"/>
</file>

<file path=xl/ctrlProps/ctrlProp4040.xml><?xml version="1.0" encoding="utf-8"?>
<formControlPr xmlns="http://schemas.microsoft.com/office/spreadsheetml/2009/9/main" objectType="CheckBox" fmlaLink="$A$46" lockText="1" noThreeD="1"/>
</file>

<file path=xl/ctrlProps/ctrlProp4041.xml><?xml version="1.0" encoding="utf-8"?>
<formControlPr xmlns="http://schemas.microsoft.com/office/spreadsheetml/2009/9/main" objectType="CheckBox" fmlaLink="$A$47" lockText="1" noThreeD="1"/>
</file>

<file path=xl/ctrlProps/ctrlProp4042.xml><?xml version="1.0" encoding="utf-8"?>
<formControlPr xmlns="http://schemas.microsoft.com/office/spreadsheetml/2009/9/main" objectType="CheckBox" fmlaLink="$A$48" lockText="1" noThreeD="1"/>
</file>

<file path=xl/ctrlProps/ctrlProp4043.xml><?xml version="1.0" encoding="utf-8"?>
<formControlPr xmlns="http://schemas.microsoft.com/office/spreadsheetml/2009/9/main" objectType="CheckBox" fmlaLink="$A$49" lockText="1" noThreeD="1"/>
</file>

<file path=xl/ctrlProps/ctrlProp4044.xml><?xml version="1.0" encoding="utf-8"?>
<formControlPr xmlns="http://schemas.microsoft.com/office/spreadsheetml/2009/9/main" objectType="Button" lockText="1"/>
</file>

<file path=xl/ctrlProps/ctrlProp4045.xml><?xml version="1.0" encoding="utf-8"?>
<formControlPr xmlns="http://schemas.microsoft.com/office/spreadsheetml/2009/9/main" objectType="Button" lockText="1"/>
</file>

<file path=xl/ctrlProps/ctrlProp4046.xml><?xml version="1.0" encoding="utf-8"?>
<formControlPr xmlns="http://schemas.microsoft.com/office/spreadsheetml/2009/9/main" objectType="CheckBox" fmlaLink="$A$40" lockText="1" noThreeD="1"/>
</file>

<file path=xl/ctrlProps/ctrlProp4047.xml><?xml version="1.0" encoding="utf-8"?>
<formControlPr xmlns="http://schemas.microsoft.com/office/spreadsheetml/2009/9/main" objectType="Button" lockText="1"/>
</file>

<file path=xl/ctrlProps/ctrlProp4048.xml><?xml version="1.0" encoding="utf-8"?>
<formControlPr xmlns="http://schemas.microsoft.com/office/spreadsheetml/2009/9/main" objectType="Button" lockText="1"/>
</file>

<file path=xl/ctrlProps/ctrlProp4049.xml><?xml version="1.0" encoding="utf-8"?>
<formControlPr xmlns="http://schemas.microsoft.com/office/spreadsheetml/2009/9/main" objectType="Button" lockText="1"/>
</file>

<file path=xl/ctrlProps/ctrlProp4050.xml><?xml version="1.0" encoding="utf-8"?>
<formControlPr xmlns="http://schemas.microsoft.com/office/spreadsheetml/2009/9/main" objectType="Button" lockText="1"/>
</file>

<file path=xl/ctrlProps/ctrlProp4051.xml><?xml version="1.0" encoding="utf-8"?>
<formControlPr xmlns="http://schemas.microsoft.com/office/spreadsheetml/2009/9/main" objectType="CheckBox" fmlaLink="$A$49" lockText="1" noThreeD="1"/>
</file>

<file path=xl/ctrlProps/ctrlProp4052.xml><?xml version="1.0" encoding="utf-8"?>
<formControlPr xmlns="http://schemas.microsoft.com/office/spreadsheetml/2009/9/main" objectType="CheckBox" checked="Checked" fmlaLink="$A$28" lockText="1" noThreeD="1"/>
</file>

<file path=xl/ctrlProps/ctrlProp4053.xml><?xml version="1.0" encoding="utf-8"?>
<formControlPr xmlns="http://schemas.microsoft.com/office/spreadsheetml/2009/9/main" objectType="CheckBox" checked="Checked" fmlaLink="$A$29" lockText="1" noThreeD="1"/>
</file>

<file path=xl/ctrlProps/ctrlProp4054.xml><?xml version="1.0" encoding="utf-8"?>
<formControlPr xmlns="http://schemas.microsoft.com/office/spreadsheetml/2009/9/main" objectType="CheckBox" checked="Checked" fmlaLink="$A$30" lockText="1" noThreeD="1"/>
</file>

<file path=xl/ctrlProps/ctrlProp4055.xml><?xml version="1.0" encoding="utf-8"?>
<formControlPr xmlns="http://schemas.microsoft.com/office/spreadsheetml/2009/9/main" objectType="CheckBox" fmlaLink="$A$31" lockText="1" noThreeD="1"/>
</file>

<file path=xl/ctrlProps/ctrlProp4056.xml><?xml version="1.0" encoding="utf-8"?>
<formControlPr xmlns="http://schemas.microsoft.com/office/spreadsheetml/2009/9/main" objectType="CheckBox" checked="Checked" fmlaLink="$E$28" lockText="1" noThreeD="1"/>
</file>

<file path=xl/ctrlProps/ctrlProp4057.xml><?xml version="1.0" encoding="utf-8"?>
<formControlPr xmlns="http://schemas.microsoft.com/office/spreadsheetml/2009/9/main" objectType="CheckBox" fmlaLink="$E$29" lockText="1" noThreeD="1"/>
</file>

<file path=xl/ctrlProps/ctrlProp4058.xml><?xml version="1.0" encoding="utf-8"?>
<formControlPr xmlns="http://schemas.microsoft.com/office/spreadsheetml/2009/9/main" objectType="CheckBox" fmlaLink="$E$30" lockText="1" noThreeD="1"/>
</file>

<file path=xl/ctrlProps/ctrlProp4059.xml><?xml version="1.0" encoding="utf-8"?>
<formControlPr xmlns="http://schemas.microsoft.com/office/spreadsheetml/2009/9/main" objectType="CheckBox" fmlaLink="$A$33" lockText="1" noThreeD="1"/>
</file>

<file path=xl/ctrlProps/ctrlProp4060.xml><?xml version="1.0" encoding="utf-8"?>
<formControlPr xmlns="http://schemas.microsoft.com/office/spreadsheetml/2009/9/main" objectType="CheckBox" fmlaLink="$A$34" lockText="1" noThreeD="1"/>
</file>

<file path=xl/ctrlProps/ctrlProp4061.xml><?xml version="1.0" encoding="utf-8"?>
<formControlPr xmlns="http://schemas.microsoft.com/office/spreadsheetml/2009/9/main" objectType="CheckBox" fmlaLink="$A$35" lockText="1" noThreeD="1"/>
</file>

<file path=xl/ctrlProps/ctrlProp4062.xml><?xml version="1.0" encoding="utf-8"?>
<formControlPr xmlns="http://schemas.microsoft.com/office/spreadsheetml/2009/9/main" objectType="CheckBox" fmlaLink="$A$36" lockText="1" noThreeD="1"/>
</file>

<file path=xl/ctrlProps/ctrlProp4063.xml><?xml version="1.0" encoding="utf-8"?>
<formControlPr xmlns="http://schemas.microsoft.com/office/spreadsheetml/2009/9/main" objectType="CheckBox" fmlaLink="$A$37" lockText="1" noThreeD="1"/>
</file>

<file path=xl/ctrlProps/ctrlProp4064.xml><?xml version="1.0" encoding="utf-8"?>
<formControlPr xmlns="http://schemas.microsoft.com/office/spreadsheetml/2009/9/main" objectType="Button" lockText="1"/>
</file>

<file path=xl/ctrlProps/ctrlProp4065.xml><?xml version="1.0" encoding="utf-8"?>
<formControlPr xmlns="http://schemas.microsoft.com/office/spreadsheetml/2009/9/main" objectType="Button" lockText="1"/>
</file>

<file path=xl/ctrlProps/ctrlProp4066.xml><?xml version="1.0" encoding="utf-8"?>
<formControlPr xmlns="http://schemas.microsoft.com/office/spreadsheetml/2009/9/main" objectType="CheckBox" fmlaLink="$D$33" lockText="1" noThreeD="1"/>
</file>

<file path=xl/ctrlProps/ctrlProp4067.xml><?xml version="1.0" encoding="utf-8"?>
<formControlPr xmlns="http://schemas.microsoft.com/office/spreadsheetml/2009/9/main" objectType="CheckBox" lockText="1" noThreeD="1"/>
</file>

<file path=xl/ctrlProps/ctrlProp4068.xml><?xml version="1.0" encoding="utf-8"?>
<formControlPr xmlns="http://schemas.microsoft.com/office/spreadsheetml/2009/9/main" objectType="CheckBox" lockText="1" noThreeD="1"/>
</file>

<file path=xl/ctrlProps/ctrlProp4069.xml><?xml version="1.0" encoding="utf-8"?>
<formControlPr xmlns="http://schemas.microsoft.com/office/spreadsheetml/2009/9/main" objectType="CheckBox" lockText="1" noThreeD="1"/>
</file>

<file path=xl/ctrlProps/ctrlProp4070.xml><?xml version="1.0" encoding="utf-8"?>
<formControlPr xmlns="http://schemas.microsoft.com/office/spreadsheetml/2009/9/main" objectType="CheckBox" lockText="1" noThreeD="1"/>
</file>

<file path=xl/ctrlProps/ctrlProp4071.xml><?xml version="1.0" encoding="utf-8"?>
<formControlPr xmlns="http://schemas.microsoft.com/office/spreadsheetml/2009/9/main" objectType="CheckBox" lockText="1" noThreeD="1"/>
</file>

<file path=xl/ctrlProps/ctrlProp4072.xml><?xml version="1.0" encoding="utf-8"?>
<formControlPr xmlns="http://schemas.microsoft.com/office/spreadsheetml/2009/9/main" objectType="CheckBox" lockText="1" noThreeD="1"/>
</file>

<file path=xl/ctrlProps/ctrlProp4073.xml><?xml version="1.0" encoding="utf-8"?>
<formControlPr xmlns="http://schemas.microsoft.com/office/spreadsheetml/2009/9/main" objectType="CheckBox" lockText="1" noThreeD="1"/>
</file>

<file path=xl/ctrlProps/ctrlProp4074.xml><?xml version="1.0" encoding="utf-8"?>
<formControlPr xmlns="http://schemas.microsoft.com/office/spreadsheetml/2009/9/main" objectType="CheckBox" fmlaLink="$A$43" lockText="1" noThreeD="1"/>
</file>

<file path=xl/ctrlProps/ctrlProp4075.xml><?xml version="1.0" encoding="utf-8"?>
<formControlPr xmlns="http://schemas.microsoft.com/office/spreadsheetml/2009/9/main" objectType="CheckBox" fmlaLink="$A$44" lockText="1" noThreeD="1"/>
</file>

<file path=xl/ctrlProps/ctrlProp4076.xml><?xml version="1.0" encoding="utf-8"?>
<formControlPr xmlns="http://schemas.microsoft.com/office/spreadsheetml/2009/9/main" objectType="CheckBox" fmlaLink="$A$45" lockText="1" noThreeD="1"/>
</file>

<file path=xl/ctrlProps/ctrlProp4077.xml><?xml version="1.0" encoding="utf-8"?>
<formControlPr xmlns="http://schemas.microsoft.com/office/spreadsheetml/2009/9/main" objectType="CheckBox" fmlaLink="$A$46" lockText="1" noThreeD="1"/>
</file>

<file path=xl/ctrlProps/ctrlProp4078.xml><?xml version="1.0" encoding="utf-8"?>
<formControlPr xmlns="http://schemas.microsoft.com/office/spreadsheetml/2009/9/main" objectType="CheckBox" fmlaLink="$A$47" lockText="1" noThreeD="1"/>
</file>

<file path=xl/ctrlProps/ctrlProp4079.xml><?xml version="1.0" encoding="utf-8"?>
<formControlPr xmlns="http://schemas.microsoft.com/office/spreadsheetml/2009/9/main" objectType="CheckBox" fmlaLink="$A$48" lockText="1" noThreeD="1"/>
</file>

<file path=xl/ctrlProps/ctrlProp4080.xml><?xml version="1.0" encoding="utf-8"?>
<formControlPr xmlns="http://schemas.microsoft.com/office/spreadsheetml/2009/9/main" objectType="CheckBox" fmlaLink="$A$49" lockText="1" noThreeD="1"/>
</file>

<file path=xl/ctrlProps/ctrlProp4081.xml><?xml version="1.0" encoding="utf-8"?>
<formControlPr xmlns="http://schemas.microsoft.com/office/spreadsheetml/2009/9/main" objectType="Button" lockText="1"/>
</file>

<file path=xl/ctrlProps/ctrlProp4082.xml><?xml version="1.0" encoding="utf-8"?>
<formControlPr xmlns="http://schemas.microsoft.com/office/spreadsheetml/2009/9/main" objectType="Button" lockText="1"/>
</file>

<file path=xl/ctrlProps/ctrlProp4083.xml><?xml version="1.0" encoding="utf-8"?>
<formControlPr xmlns="http://schemas.microsoft.com/office/spreadsheetml/2009/9/main" objectType="CheckBox" fmlaLink="$A$40" lockText="1" noThreeD="1"/>
</file>

<file path=xl/ctrlProps/ctrlProp4084.xml><?xml version="1.0" encoding="utf-8"?>
<formControlPr xmlns="http://schemas.microsoft.com/office/spreadsheetml/2009/9/main" objectType="Button" lockText="1"/>
</file>

<file path=xl/ctrlProps/ctrlProp4085.xml><?xml version="1.0" encoding="utf-8"?>
<formControlPr xmlns="http://schemas.microsoft.com/office/spreadsheetml/2009/9/main" objectType="Button" lockText="1"/>
</file>

<file path=xl/ctrlProps/ctrlProp4086.xml><?xml version="1.0" encoding="utf-8"?>
<formControlPr xmlns="http://schemas.microsoft.com/office/spreadsheetml/2009/9/main" objectType="Button" lockText="1"/>
</file>

<file path=xl/ctrlProps/ctrlProp4087.xml><?xml version="1.0" encoding="utf-8"?>
<formControlPr xmlns="http://schemas.microsoft.com/office/spreadsheetml/2009/9/main" objectType="Button" lockText="1"/>
</file>

<file path=xl/ctrlProps/ctrlProp4088.xml><?xml version="1.0" encoding="utf-8"?>
<formControlPr xmlns="http://schemas.microsoft.com/office/spreadsheetml/2009/9/main" objectType="CheckBox" fmlaLink="$A$49" lockText="1" noThreeD="1"/>
</file>

<file path=xl/ctrlProps/ctrlProp4089.xml><?xml version="1.0" encoding="utf-8"?>
<formControlPr xmlns="http://schemas.microsoft.com/office/spreadsheetml/2009/9/main" objectType="CheckBox" checked="Checked" fmlaLink="$A$28" lockText="1" noThreeD="1"/>
</file>

<file path=xl/ctrlProps/ctrlProp4090.xml><?xml version="1.0" encoding="utf-8"?>
<formControlPr xmlns="http://schemas.microsoft.com/office/spreadsheetml/2009/9/main" objectType="CheckBox" checked="Checked" fmlaLink="$A$29" lockText="1" noThreeD="1"/>
</file>

<file path=xl/ctrlProps/ctrlProp4091.xml><?xml version="1.0" encoding="utf-8"?>
<formControlPr xmlns="http://schemas.microsoft.com/office/spreadsheetml/2009/9/main" objectType="CheckBox" checked="Checked" fmlaLink="$A$30" lockText="1" noThreeD="1"/>
</file>

<file path=xl/ctrlProps/ctrlProp4092.xml><?xml version="1.0" encoding="utf-8"?>
<formControlPr xmlns="http://schemas.microsoft.com/office/spreadsheetml/2009/9/main" objectType="CheckBox" fmlaLink="$A$31" lockText="1" noThreeD="1"/>
</file>

<file path=xl/ctrlProps/ctrlProp4093.xml><?xml version="1.0" encoding="utf-8"?>
<formControlPr xmlns="http://schemas.microsoft.com/office/spreadsheetml/2009/9/main" objectType="CheckBox" fmlaLink="$E$28" lockText="1" noThreeD="1"/>
</file>

<file path=xl/ctrlProps/ctrlProp4094.xml><?xml version="1.0" encoding="utf-8"?>
<formControlPr xmlns="http://schemas.microsoft.com/office/spreadsheetml/2009/9/main" objectType="CheckBox" checked="Checked" fmlaLink="$E$29" lockText="1" noThreeD="1"/>
</file>

<file path=xl/ctrlProps/ctrlProp4095.xml><?xml version="1.0" encoding="utf-8"?>
<formControlPr xmlns="http://schemas.microsoft.com/office/spreadsheetml/2009/9/main" objectType="CheckBox" fmlaLink="$E$30" lockText="1" noThreeD="1"/>
</file>

<file path=xl/ctrlProps/ctrlProp4096.xml><?xml version="1.0" encoding="utf-8"?>
<formControlPr xmlns="http://schemas.microsoft.com/office/spreadsheetml/2009/9/main" objectType="CheckBox" fmlaLink="$A$33" lockText="1" noThreeD="1"/>
</file>

<file path=xl/ctrlProps/ctrlProp4097.xml><?xml version="1.0" encoding="utf-8"?>
<formControlPr xmlns="http://schemas.microsoft.com/office/spreadsheetml/2009/9/main" objectType="CheckBox" fmlaLink="$A$34" lockText="1" noThreeD="1"/>
</file>

<file path=xl/ctrlProps/ctrlProp4098.xml><?xml version="1.0" encoding="utf-8"?>
<formControlPr xmlns="http://schemas.microsoft.com/office/spreadsheetml/2009/9/main" objectType="CheckBox" fmlaLink="$A$35" lockText="1" noThreeD="1"/>
</file>

<file path=xl/ctrlProps/ctrlProp4099.xml><?xml version="1.0" encoding="utf-8"?>
<formControlPr xmlns="http://schemas.microsoft.com/office/spreadsheetml/2009/9/main" objectType="CheckBox" fmlaLink="$A$36" lockText="1" noThreeD="1"/>
</file>

<file path=xl/ctrlProps/ctrlProp4100.xml><?xml version="1.0" encoding="utf-8"?>
<formControlPr xmlns="http://schemas.microsoft.com/office/spreadsheetml/2009/9/main" objectType="CheckBox" fmlaLink="$A$37" lockText="1" noThreeD="1"/>
</file>

<file path=xl/ctrlProps/ctrlProp4101.xml><?xml version="1.0" encoding="utf-8"?>
<formControlPr xmlns="http://schemas.microsoft.com/office/spreadsheetml/2009/9/main" objectType="Button" lockText="1"/>
</file>

<file path=xl/ctrlProps/ctrlProp4102.xml><?xml version="1.0" encoding="utf-8"?>
<formControlPr xmlns="http://schemas.microsoft.com/office/spreadsheetml/2009/9/main" objectType="Button" lockText="1"/>
</file>

<file path=xl/ctrlProps/ctrlProp4103.xml><?xml version="1.0" encoding="utf-8"?>
<formControlPr xmlns="http://schemas.microsoft.com/office/spreadsheetml/2009/9/main" objectType="CheckBox" fmlaLink="$D$33" lockText="1" noThreeD="1"/>
</file>

<file path=xl/ctrlProps/ctrlProp4104.xml><?xml version="1.0" encoding="utf-8"?>
<formControlPr xmlns="http://schemas.microsoft.com/office/spreadsheetml/2009/9/main" objectType="CheckBox" lockText="1" noThreeD="1"/>
</file>

<file path=xl/ctrlProps/ctrlProp4105.xml><?xml version="1.0" encoding="utf-8"?>
<formControlPr xmlns="http://schemas.microsoft.com/office/spreadsheetml/2009/9/main" objectType="CheckBox" lockText="1" noThreeD="1"/>
</file>

<file path=xl/ctrlProps/ctrlProp4106.xml><?xml version="1.0" encoding="utf-8"?>
<formControlPr xmlns="http://schemas.microsoft.com/office/spreadsheetml/2009/9/main" objectType="CheckBox" lockText="1" noThreeD="1"/>
</file>

<file path=xl/ctrlProps/ctrlProp4107.xml><?xml version="1.0" encoding="utf-8"?>
<formControlPr xmlns="http://schemas.microsoft.com/office/spreadsheetml/2009/9/main" objectType="CheckBox" lockText="1" noThreeD="1"/>
</file>

<file path=xl/ctrlProps/ctrlProp4108.xml><?xml version="1.0" encoding="utf-8"?>
<formControlPr xmlns="http://schemas.microsoft.com/office/spreadsheetml/2009/9/main" objectType="CheckBox" lockText="1" noThreeD="1"/>
</file>

<file path=xl/ctrlProps/ctrlProp4109.xml><?xml version="1.0" encoding="utf-8"?>
<formControlPr xmlns="http://schemas.microsoft.com/office/spreadsheetml/2009/9/main" objectType="CheckBox" lockText="1" noThreeD="1"/>
</file>

<file path=xl/ctrlProps/ctrlProp4110.xml><?xml version="1.0" encoding="utf-8"?>
<formControlPr xmlns="http://schemas.microsoft.com/office/spreadsheetml/2009/9/main" objectType="CheckBox" lockText="1" noThreeD="1"/>
</file>

<file path=xl/ctrlProps/ctrlProp4111.xml><?xml version="1.0" encoding="utf-8"?>
<formControlPr xmlns="http://schemas.microsoft.com/office/spreadsheetml/2009/9/main" objectType="CheckBox" fmlaLink="$A$43" lockText="1" noThreeD="1"/>
</file>

<file path=xl/ctrlProps/ctrlProp4112.xml><?xml version="1.0" encoding="utf-8"?>
<formControlPr xmlns="http://schemas.microsoft.com/office/spreadsheetml/2009/9/main" objectType="CheckBox" fmlaLink="$A$44" lockText="1" noThreeD="1"/>
</file>

<file path=xl/ctrlProps/ctrlProp4113.xml><?xml version="1.0" encoding="utf-8"?>
<formControlPr xmlns="http://schemas.microsoft.com/office/spreadsheetml/2009/9/main" objectType="CheckBox" fmlaLink="$A$45" lockText="1" noThreeD="1"/>
</file>

<file path=xl/ctrlProps/ctrlProp4114.xml><?xml version="1.0" encoding="utf-8"?>
<formControlPr xmlns="http://schemas.microsoft.com/office/spreadsheetml/2009/9/main" objectType="CheckBox" fmlaLink="$A$46" lockText="1" noThreeD="1"/>
</file>

<file path=xl/ctrlProps/ctrlProp4115.xml><?xml version="1.0" encoding="utf-8"?>
<formControlPr xmlns="http://schemas.microsoft.com/office/spreadsheetml/2009/9/main" objectType="CheckBox" fmlaLink="$A$47" lockText="1" noThreeD="1"/>
</file>

<file path=xl/ctrlProps/ctrlProp4116.xml><?xml version="1.0" encoding="utf-8"?>
<formControlPr xmlns="http://schemas.microsoft.com/office/spreadsheetml/2009/9/main" objectType="CheckBox" fmlaLink="$A$48" lockText="1" noThreeD="1"/>
</file>

<file path=xl/ctrlProps/ctrlProp4117.xml><?xml version="1.0" encoding="utf-8"?>
<formControlPr xmlns="http://schemas.microsoft.com/office/spreadsheetml/2009/9/main" objectType="CheckBox" fmlaLink="$A$49" lockText="1" noThreeD="1"/>
</file>

<file path=xl/ctrlProps/ctrlProp4118.xml><?xml version="1.0" encoding="utf-8"?>
<formControlPr xmlns="http://schemas.microsoft.com/office/spreadsheetml/2009/9/main" objectType="Button" lockText="1"/>
</file>

<file path=xl/ctrlProps/ctrlProp4119.xml><?xml version="1.0" encoding="utf-8"?>
<formControlPr xmlns="http://schemas.microsoft.com/office/spreadsheetml/2009/9/main" objectType="Button" lockText="1"/>
</file>

<file path=xl/ctrlProps/ctrlProp4120.xml><?xml version="1.0" encoding="utf-8"?>
<formControlPr xmlns="http://schemas.microsoft.com/office/spreadsheetml/2009/9/main" objectType="CheckBox" fmlaLink="$A$40" lockText="1" noThreeD="1"/>
</file>

<file path=xl/ctrlProps/ctrlProp4121.xml><?xml version="1.0" encoding="utf-8"?>
<formControlPr xmlns="http://schemas.microsoft.com/office/spreadsheetml/2009/9/main" objectType="Button" lockText="1"/>
</file>

<file path=xl/ctrlProps/ctrlProp4122.xml><?xml version="1.0" encoding="utf-8"?>
<formControlPr xmlns="http://schemas.microsoft.com/office/spreadsheetml/2009/9/main" objectType="Button" lockText="1"/>
</file>

<file path=xl/ctrlProps/ctrlProp4123.xml><?xml version="1.0" encoding="utf-8"?>
<formControlPr xmlns="http://schemas.microsoft.com/office/spreadsheetml/2009/9/main" objectType="Button" lockText="1"/>
</file>

<file path=xl/ctrlProps/ctrlProp4124.xml><?xml version="1.0" encoding="utf-8"?>
<formControlPr xmlns="http://schemas.microsoft.com/office/spreadsheetml/2009/9/main" objectType="Button" lockText="1"/>
</file>

<file path=xl/ctrlProps/ctrlProp4125.xml><?xml version="1.0" encoding="utf-8"?>
<formControlPr xmlns="http://schemas.microsoft.com/office/spreadsheetml/2009/9/main" objectType="CheckBox" fmlaLink="$A$49" lockText="1" noThreeD="1"/>
</file>

<file path=xl/ctrlProps/ctrlProp4126.xml><?xml version="1.0" encoding="utf-8"?>
<formControlPr xmlns="http://schemas.microsoft.com/office/spreadsheetml/2009/9/main" objectType="CheckBox" checked="Checked" fmlaLink="$A$28" lockText="1" noThreeD="1"/>
</file>

<file path=xl/ctrlProps/ctrlProp4127.xml><?xml version="1.0" encoding="utf-8"?>
<formControlPr xmlns="http://schemas.microsoft.com/office/spreadsheetml/2009/9/main" objectType="CheckBox" checked="Checked" fmlaLink="$A$29" lockText="1" noThreeD="1"/>
</file>

<file path=xl/ctrlProps/ctrlProp4128.xml><?xml version="1.0" encoding="utf-8"?>
<formControlPr xmlns="http://schemas.microsoft.com/office/spreadsheetml/2009/9/main" objectType="CheckBox" checked="Checked" fmlaLink="$A$30" lockText="1" noThreeD="1"/>
</file>

<file path=xl/ctrlProps/ctrlProp4129.xml><?xml version="1.0" encoding="utf-8"?>
<formControlPr xmlns="http://schemas.microsoft.com/office/spreadsheetml/2009/9/main" objectType="CheckBox" fmlaLink="$A$31" lockText="1" noThreeD="1"/>
</file>

<file path=xl/ctrlProps/ctrlProp4130.xml><?xml version="1.0" encoding="utf-8"?>
<formControlPr xmlns="http://schemas.microsoft.com/office/spreadsheetml/2009/9/main" objectType="CheckBox" checked="Checked" fmlaLink="$E$28" lockText="1" noThreeD="1"/>
</file>

<file path=xl/ctrlProps/ctrlProp4131.xml><?xml version="1.0" encoding="utf-8"?>
<formControlPr xmlns="http://schemas.microsoft.com/office/spreadsheetml/2009/9/main" objectType="CheckBox" checked="Checked" fmlaLink="$E$29" lockText="1" noThreeD="1"/>
</file>

<file path=xl/ctrlProps/ctrlProp4132.xml><?xml version="1.0" encoding="utf-8"?>
<formControlPr xmlns="http://schemas.microsoft.com/office/spreadsheetml/2009/9/main" objectType="CheckBox" checked="Checked" fmlaLink="$E$30" lockText="1" noThreeD="1"/>
</file>

<file path=xl/ctrlProps/ctrlProp4133.xml><?xml version="1.0" encoding="utf-8"?>
<formControlPr xmlns="http://schemas.microsoft.com/office/spreadsheetml/2009/9/main" objectType="CheckBox" checked="Checked" fmlaLink="$A$33" lockText="1" noThreeD="1"/>
</file>

<file path=xl/ctrlProps/ctrlProp4134.xml><?xml version="1.0" encoding="utf-8"?>
<formControlPr xmlns="http://schemas.microsoft.com/office/spreadsheetml/2009/9/main" objectType="CheckBox" checked="Checked" fmlaLink="$A$34" lockText="1" noThreeD="1"/>
</file>

<file path=xl/ctrlProps/ctrlProp4135.xml><?xml version="1.0" encoding="utf-8"?>
<formControlPr xmlns="http://schemas.microsoft.com/office/spreadsheetml/2009/9/main" objectType="CheckBox" checked="Checked" fmlaLink="$A$35" lockText="1" noThreeD="1"/>
</file>

<file path=xl/ctrlProps/ctrlProp4136.xml><?xml version="1.0" encoding="utf-8"?>
<formControlPr xmlns="http://schemas.microsoft.com/office/spreadsheetml/2009/9/main" objectType="CheckBox" checked="Checked" fmlaLink="$A$36" lockText="1" noThreeD="1"/>
</file>

<file path=xl/ctrlProps/ctrlProp4137.xml><?xml version="1.0" encoding="utf-8"?>
<formControlPr xmlns="http://schemas.microsoft.com/office/spreadsheetml/2009/9/main" objectType="CheckBox" fmlaLink="$A$37" lockText="1" noThreeD="1"/>
</file>

<file path=xl/ctrlProps/ctrlProp4138.xml><?xml version="1.0" encoding="utf-8"?>
<formControlPr xmlns="http://schemas.microsoft.com/office/spreadsheetml/2009/9/main" objectType="Button" lockText="1"/>
</file>

<file path=xl/ctrlProps/ctrlProp4139.xml><?xml version="1.0" encoding="utf-8"?>
<formControlPr xmlns="http://schemas.microsoft.com/office/spreadsheetml/2009/9/main" objectType="Button" lockText="1"/>
</file>

<file path=xl/ctrlProps/ctrlProp4140.xml><?xml version="1.0" encoding="utf-8"?>
<formControlPr xmlns="http://schemas.microsoft.com/office/spreadsheetml/2009/9/main" objectType="CheckBox" checked="Checked" fmlaLink="$D$33" lockText="1" noThreeD="1"/>
</file>

<file path=xl/ctrlProps/ctrlProp4141.xml><?xml version="1.0" encoding="utf-8"?>
<formControlPr xmlns="http://schemas.microsoft.com/office/spreadsheetml/2009/9/main" objectType="CheckBox" checked="Checked" lockText="1" noThreeD="1"/>
</file>

<file path=xl/ctrlProps/ctrlProp4142.xml><?xml version="1.0" encoding="utf-8"?>
<formControlPr xmlns="http://schemas.microsoft.com/office/spreadsheetml/2009/9/main" objectType="CheckBox" checked="Checked" lockText="1" noThreeD="1"/>
</file>

<file path=xl/ctrlProps/ctrlProp4143.xml><?xml version="1.0" encoding="utf-8"?>
<formControlPr xmlns="http://schemas.microsoft.com/office/spreadsheetml/2009/9/main" objectType="CheckBox" checked="Checked" lockText="1" noThreeD="1"/>
</file>

<file path=xl/ctrlProps/ctrlProp4144.xml><?xml version="1.0" encoding="utf-8"?>
<formControlPr xmlns="http://schemas.microsoft.com/office/spreadsheetml/2009/9/main" objectType="CheckBox" checked="Checked" lockText="1" noThreeD="1"/>
</file>

<file path=xl/ctrlProps/ctrlProp4145.xml><?xml version="1.0" encoding="utf-8"?>
<formControlPr xmlns="http://schemas.microsoft.com/office/spreadsheetml/2009/9/main" objectType="CheckBox" checked="Checked" lockText="1" noThreeD="1"/>
</file>

<file path=xl/ctrlProps/ctrlProp4146.xml><?xml version="1.0" encoding="utf-8"?>
<formControlPr xmlns="http://schemas.microsoft.com/office/spreadsheetml/2009/9/main" objectType="CheckBox" lockText="1" noThreeD="1"/>
</file>

<file path=xl/ctrlProps/ctrlProp4147.xml><?xml version="1.0" encoding="utf-8"?>
<formControlPr xmlns="http://schemas.microsoft.com/office/spreadsheetml/2009/9/main" objectType="CheckBox" checked="Checked" lockText="1" noThreeD="1"/>
</file>

<file path=xl/ctrlProps/ctrlProp4148.xml><?xml version="1.0" encoding="utf-8"?>
<formControlPr xmlns="http://schemas.microsoft.com/office/spreadsheetml/2009/9/main" objectType="CheckBox" fmlaLink="$A$43" lockText="1" noThreeD="1"/>
</file>

<file path=xl/ctrlProps/ctrlProp4149.xml><?xml version="1.0" encoding="utf-8"?>
<formControlPr xmlns="http://schemas.microsoft.com/office/spreadsheetml/2009/9/main" objectType="CheckBox" fmlaLink="$A$44" lockText="1" noThreeD="1"/>
</file>

<file path=xl/ctrlProps/ctrlProp4150.xml><?xml version="1.0" encoding="utf-8"?>
<formControlPr xmlns="http://schemas.microsoft.com/office/spreadsheetml/2009/9/main" objectType="CheckBox" fmlaLink="$A$45" lockText="1" noThreeD="1"/>
</file>

<file path=xl/ctrlProps/ctrlProp4151.xml><?xml version="1.0" encoding="utf-8"?>
<formControlPr xmlns="http://schemas.microsoft.com/office/spreadsheetml/2009/9/main" objectType="CheckBox" fmlaLink="$A$46" lockText="1" noThreeD="1"/>
</file>

<file path=xl/ctrlProps/ctrlProp4152.xml><?xml version="1.0" encoding="utf-8"?>
<formControlPr xmlns="http://schemas.microsoft.com/office/spreadsheetml/2009/9/main" objectType="CheckBox" fmlaLink="$A$47" lockText="1" noThreeD="1"/>
</file>

<file path=xl/ctrlProps/ctrlProp4153.xml><?xml version="1.0" encoding="utf-8"?>
<formControlPr xmlns="http://schemas.microsoft.com/office/spreadsheetml/2009/9/main" objectType="CheckBox" fmlaLink="$A$48" lockText="1" noThreeD="1"/>
</file>

<file path=xl/ctrlProps/ctrlProp4154.xml><?xml version="1.0" encoding="utf-8"?>
<formControlPr xmlns="http://schemas.microsoft.com/office/spreadsheetml/2009/9/main" objectType="CheckBox" fmlaLink="$A$49" lockText="1" noThreeD="1"/>
</file>

<file path=xl/ctrlProps/ctrlProp4155.xml><?xml version="1.0" encoding="utf-8"?>
<formControlPr xmlns="http://schemas.microsoft.com/office/spreadsheetml/2009/9/main" objectType="Button" lockText="1"/>
</file>

<file path=xl/ctrlProps/ctrlProp4156.xml><?xml version="1.0" encoding="utf-8"?>
<formControlPr xmlns="http://schemas.microsoft.com/office/spreadsheetml/2009/9/main" objectType="Button" lockText="1"/>
</file>

<file path=xl/ctrlProps/ctrlProp4157.xml><?xml version="1.0" encoding="utf-8"?>
<formControlPr xmlns="http://schemas.microsoft.com/office/spreadsheetml/2009/9/main" objectType="CheckBox" fmlaLink="$A$40" lockText="1" noThreeD="1"/>
</file>

<file path=xl/ctrlProps/ctrlProp4158.xml><?xml version="1.0" encoding="utf-8"?>
<formControlPr xmlns="http://schemas.microsoft.com/office/spreadsheetml/2009/9/main" objectType="Button" lockText="1"/>
</file>

<file path=xl/ctrlProps/ctrlProp4159.xml><?xml version="1.0" encoding="utf-8"?>
<formControlPr xmlns="http://schemas.microsoft.com/office/spreadsheetml/2009/9/main" objectType="Button" lockText="1"/>
</file>

<file path=xl/ctrlProps/ctrlProp4160.xml><?xml version="1.0" encoding="utf-8"?>
<formControlPr xmlns="http://schemas.microsoft.com/office/spreadsheetml/2009/9/main" objectType="Button" lockText="1"/>
</file>

<file path=xl/ctrlProps/ctrlProp4161.xml><?xml version="1.0" encoding="utf-8"?>
<formControlPr xmlns="http://schemas.microsoft.com/office/spreadsheetml/2009/9/main" objectType="Button" lockText="1"/>
</file>

<file path=xl/ctrlProps/ctrlProp4162.xml><?xml version="1.0" encoding="utf-8"?>
<formControlPr xmlns="http://schemas.microsoft.com/office/spreadsheetml/2009/9/main" objectType="CheckBox" fmlaLink="$A$49" lockText="1" noThreeD="1"/>
</file>

<file path=xl/ctrlProps/ctrlProp4163.xml><?xml version="1.0" encoding="utf-8"?>
<formControlPr xmlns="http://schemas.microsoft.com/office/spreadsheetml/2009/9/main" objectType="CheckBox" checked="Checked" fmlaLink="$A$28" lockText="1" noThreeD="1"/>
</file>

<file path=xl/ctrlProps/ctrlProp4164.xml><?xml version="1.0" encoding="utf-8"?>
<formControlPr xmlns="http://schemas.microsoft.com/office/spreadsheetml/2009/9/main" objectType="CheckBox" checked="Checked" fmlaLink="$A$29" lockText="1" noThreeD="1"/>
</file>

<file path=xl/ctrlProps/ctrlProp4165.xml><?xml version="1.0" encoding="utf-8"?>
<formControlPr xmlns="http://schemas.microsoft.com/office/spreadsheetml/2009/9/main" objectType="CheckBox" checked="Checked" fmlaLink="$A$30" lockText="1" noThreeD="1"/>
</file>

<file path=xl/ctrlProps/ctrlProp4166.xml><?xml version="1.0" encoding="utf-8"?>
<formControlPr xmlns="http://schemas.microsoft.com/office/spreadsheetml/2009/9/main" objectType="CheckBox" checked="Checked" fmlaLink="$A$31" lockText="1" noThreeD="1"/>
</file>

<file path=xl/ctrlProps/ctrlProp4167.xml><?xml version="1.0" encoding="utf-8"?>
<formControlPr xmlns="http://schemas.microsoft.com/office/spreadsheetml/2009/9/main" objectType="CheckBox" checked="Checked" fmlaLink="$E$28" lockText="1" noThreeD="1"/>
</file>

<file path=xl/ctrlProps/ctrlProp4168.xml><?xml version="1.0" encoding="utf-8"?>
<formControlPr xmlns="http://schemas.microsoft.com/office/spreadsheetml/2009/9/main" objectType="CheckBox" checked="Checked" fmlaLink="$E$29" lockText="1" noThreeD="1"/>
</file>

<file path=xl/ctrlProps/ctrlProp4169.xml><?xml version="1.0" encoding="utf-8"?>
<formControlPr xmlns="http://schemas.microsoft.com/office/spreadsheetml/2009/9/main" objectType="CheckBox" checked="Checked" fmlaLink="$E$30" lockText="1" noThreeD="1"/>
</file>

<file path=xl/ctrlProps/ctrlProp4170.xml><?xml version="1.0" encoding="utf-8"?>
<formControlPr xmlns="http://schemas.microsoft.com/office/spreadsheetml/2009/9/main" objectType="CheckBox" checked="Checked" fmlaLink="$A$33" lockText="1" noThreeD="1"/>
</file>

<file path=xl/ctrlProps/ctrlProp4171.xml><?xml version="1.0" encoding="utf-8"?>
<formControlPr xmlns="http://schemas.microsoft.com/office/spreadsheetml/2009/9/main" objectType="CheckBox" checked="Checked" fmlaLink="$A$34" lockText="1" noThreeD="1"/>
</file>

<file path=xl/ctrlProps/ctrlProp4172.xml><?xml version="1.0" encoding="utf-8"?>
<formControlPr xmlns="http://schemas.microsoft.com/office/spreadsheetml/2009/9/main" objectType="CheckBox" checked="Checked" fmlaLink="$A$35" lockText="1" noThreeD="1"/>
</file>

<file path=xl/ctrlProps/ctrlProp4173.xml><?xml version="1.0" encoding="utf-8"?>
<formControlPr xmlns="http://schemas.microsoft.com/office/spreadsheetml/2009/9/main" objectType="CheckBox" checked="Checked" fmlaLink="$A$36" lockText="1" noThreeD="1"/>
</file>

<file path=xl/ctrlProps/ctrlProp4174.xml><?xml version="1.0" encoding="utf-8"?>
<formControlPr xmlns="http://schemas.microsoft.com/office/spreadsheetml/2009/9/main" objectType="CheckBox" fmlaLink="$A$37" lockText="1" noThreeD="1"/>
</file>

<file path=xl/ctrlProps/ctrlProp4175.xml><?xml version="1.0" encoding="utf-8"?>
<formControlPr xmlns="http://schemas.microsoft.com/office/spreadsheetml/2009/9/main" objectType="Button" lockText="1"/>
</file>

<file path=xl/ctrlProps/ctrlProp4176.xml><?xml version="1.0" encoding="utf-8"?>
<formControlPr xmlns="http://schemas.microsoft.com/office/spreadsheetml/2009/9/main" objectType="Button" lockText="1"/>
</file>

<file path=xl/ctrlProps/ctrlProp4177.xml><?xml version="1.0" encoding="utf-8"?>
<formControlPr xmlns="http://schemas.microsoft.com/office/spreadsheetml/2009/9/main" objectType="CheckBox" checked="Checked" fmlaLink="$D$33" lockText="1" noThreeD="1"/>
</file>

<file path=xl/ctrlProps/ctrlProp4178.xml><?xml version="1.0" encoding="utf-8"?>
<formControlPr xmlns="http://schemas.microsoft.com/office/spreadsheetml/2009/9/main" objectType="CheckBox" checked="Checked" lockText="1" noThreeD="1"/>
</file>

<file path=xl/ctrlProps/ctrlProp4179.xml><?xml version="1.0" encoding="utf-8"?>
<formControlPr xmlns="http://schemas.microsoft.com/office/spreadsheetml/2009/9/main" objectType="CheckBox" checked="Checked" lockText="1" noThreeD="1"/>
</file>

<file path=xl/ctrlProps/ctrlProp4180.xml><?xml version="1.0" encoding="utf-8"?>
<formControlPr xmlns="http://schemas.microsoft.com/office/spreadsheetml/2009/9/main" objectType="CheckBox" checked="Checked" lockText="1" noThreeD="1"/>
</file>

<file path=xl/ctrlProps/ctrlProp4181.xml><?xml version="1.0" encoding="utf-8"?>
<formControlPr xmlns="http://schemas.microsoft.com/office/spreadsheetml/2009/9/main" objectType="CheckBox" checked="Checked" lockText="1" noThreeD="1"/>
</file>

<file path=xl/ctrlProps/ctrlProp4182.xml><?xml version="1.0" encoding="utf-8"?>
<formControlPr xmlns="http://schemas.microsoft.com/office/spreadsheetml/2009/9/main" objectType="CheckBox" checked="Checked" lockText="1" noThreeD="1"/>
</file>

<file path=xl/ctrlProps/ctrlProp4183.xml><?xml version="1.0" encoding="utf-8"?>
<formControlPr xmlns="http://schemas.microsoft.com/office/spreadsheetml/2009/9/main" objectType="CheckBox" lockText="1" noThreeD="1"/>
</file>

<file path=xl/ctrlProps/ctrlProp4184.xml><?xml version="1.0" encoding="utf-8"?>
<formControlPr xmlns="http://schemas.microsoft.com/office/spreadsheetml/2009/9/main" objectType="CheckBox" checked="Checked" lockText="1" noThreeD="1"/>
</file>

<file path=xl/ctrlProps/ctrlProp4185.xml><?xml version="1.0" encoding="utf-8"?>
<formControlPr xmlns="http://schemas.microsoft.com/office/spreadsheetml/2009/9/main" objectType="CheckBox" fmlaLink="$A$43" lockText="1" noThreeD="1"/>
</file>

<file path=xl/ctrlProps/ctrlProp4186.xml><?xml version="1.0" encoding="utf-8"?>
<formControlPr xmlns="http://schemas.microsoft.com/office/spreadsheetml/2009/9/main" objectType="CheckBox" fmlaLink="$A$44" lockText="1" noThreeD="1"/>
</file>

<file path=xl/ctrlProps/ctrlProp4187.xml><?xml version="1.0" encoding="utf-8"?>
<formControlPr xmlns="http://schemas.microsoft.com/office/spreadsheetml/2009/9/main" objectType="CheckBox" fmlaLink="$A$45" lockText="1" noThreeD="1"/>
</file>

<file path=xl/ctrlProps/ctrlProp4188.xml><?xml version="1.0" encoding="utf-8"?>
<formControlPr xmlns="http://schemas.microsoft.com/office/spreadsheetml/2009/9/main" objectType="CheckBox" fmlaLink="$A$46" lockText="1" noThreeD="1"/>
</file>

<file path=xl/ctrlProps/ctrlProp4189.xml><?xml version="1.0" encoding="utf-8"?>
<formControlPr xmlns="http://schemas.microsoft.com/office/spreadsheetml/2009/9/main" objectType="CheckBox" fmlaLink="$A$47" lockText="1" noThreeD="1"/>
</file>

<file path=xl/ctrlProps/ctrlProp4190.xml><?xml version="1.0" encoding="utf-8"?>
<formControlPr xmlns="http://schemas.microsoft.com/office/spreadsheetml/2009/9/main" objectType="CheckBox" fmlaLink="$A$48" lockText="1" noThreeD="1"/>
</file>

<file path=xl/ctrlProps/ctrlProp4191.xml><?xml version="1.0" encoding="utf-8"?>
<formControlPr xmlns="http://schemas.microsoft.com/office/spreadsheetml/2009/9/main" objectType="CheckBox" fmlaLink="$A$49" lockText="1" noThreeD="1"/>
</file>

<file path=xl/ctrlProps/ctrlProp4192.xml><?xml version="1.0" encoding="utf-8"?>
<formControlPr xmlns="http://schemas.microsoft.com/office/spreadsheetml/2009/9/main" objectType="Button" lockText="1"/>
</file>

<file path=xl/ctrlProps/ctrlProp4193.xml><?xml version="1.0" encoding="utf-8"?>
<formControlPr xmlns="http://schemas.microsoft.com/office/spreadsheetml/2009/9/main" objectType="Button" lockText="1"/>
</file>

<file path=xl/ctrlProps/ctrlProp4194.xml><?xml version="1.0" encoding="utf-8"?>
<formControlPr xmlns="http://schemas.microsoft.com/office/spreadsheetml/2009/9/main" objectType="CheckBox" fmlaLink="$A$40" lockText="1" noThreeD="1"/>
</file>

<file path=xl/ctrlProps/ctrlProp4195.xml><?xml version="1.0" encoding="utf-8"?>
<formControlPr xmlns="http://schemas.microsoft.com/office/spreadsheetml/2009/9/main" objectType="Button" lockText="1"/>
</file>

<file path=xl/ctrlProps/ctrlProp4196.xml><?xml version="1.0" encoding="utf-8"?>
<formControlPr xmlns="http://schemas.microsoft.com/office/spreadsheetml/2009/9/main" objectType="Button" lockText="1"/>
</file>

<file path=xl/ctrlProps/ctrlProp4197.xml><?xml version="1.0" encoding="utf-8"?>
<formControlPr xmlns="http://schemas.microsoft.com/office/spreadsheetml/2009/9/main" objectType="Button" lockText="1"/>
</file>

<file path=xl/ctrlProps/ctrlProp4198.xml><?xml version="1.0" encoding="utf-8"?>
<formControlPr xmlns="http://schemas.microsoft.com/office/spreadsheetml/2009/9/main" objectType="Button" lockText="1"/>
</file>

<file path=xl/ctrlProps/ctrlProp4199.xml><?xml version="1.0" encoding="utf-8"?>
<formControlPr xmlns="http://schemas.microsoft.com/office/spreadsheetml/2009/9/main" objectType="CheckBox" fmlaLink="$A$49" lockText="1" noThreeD="1"/>
</file>

<file path=xl/ctrlProps/ctrlProp4200.xml><?xml version="1.0" encoding="utf-8"?>
<formControlPr xmlns="http://schemas.microsoft.com/office/spreadsheetml/2009/9/main" objectType="CheckBox" fmlaLink="$A$28" lockText="1" noThreeD="1"/>
</file>

<file path=xl/ctrlProps/ctrlProp4201.xml><?xml version="1.0" encoding="utf-8"?>
<formControlPr xmlns="http://schemas.microsoft.com/office/spreadsheetml/2009/9/main" objectType="CheckBox" fmlaLink="$A$29" lockText="1" noThreeD="1"/>
</file>

<file path=xl/ctrlProps/ctrlProp4202.xml><?xml version="1.0" encoding="utf-8"?>
<formControlPr xmlns="http://schemas.microsoft.com/office/spreadsheetml/2009/9/main" objectType="CheckBox" fmlaLink="$A$30" lockText="1" noThreeD="1"/>
</file>

<file path=xl/ctrlProps/ctrlProp4203.xml><?xml version="1.0" encoding="utf-8"?>
<formControlPr xmlns="http://schemas.microsoft.com/office/spreadsheetml/2009/9/main" objectType="CheckBox" fmlaLink="$A$31" lockText="1" noThreeD="1"/>
</file>

<file path=xl/ctrlProps/ctrlProp4204.xml><?xml version="1.0" encoding="utf-8"?>
<formControlPr xmlns="http://schemas.microsoft.com/office/spreadsheetml/2009/9/main" objectType="CheckBox" fmlaLink="$E$28" lockText="1" noThreeD="1"/>
</file>

<file path=xl/ctrlProps/ctrlProp4205.xml><?xml version="1.0" encoding="utf-8"?>
<formControlPr xmlns="http://schemas.microsoft.com/office/spreadsheetml/2009/9/main" objectType="CheckBox" fmlaLink="$E$29" lockText="1" noThreeD="1"/>
</file>

<file path=xl/ctrlProps/ctrlProp4206.xml><?xml version="1.0" encoding="utf-8"?>
<formControlPr xmlns="http://schemas.microsoft.com/office/spreadsheetml/2009/9/main" objectType="CheckBox" fmlaLink="$E$30" lockText="1" noThreeD="1"/>
</file>

<file path=xl/ctrlProps/ctrlProp4207.xml><?xml version="1.0" encoding="utf-8"?>
<formControlPr xmlns="http://schemas.microsoft.com/office/spreadsheetml/2009/9/main" objectType="CheckBox" fmlaLink="$A$33" lockText="1" noThreeD="1"/>
</file>

<file path=xl/ctrlProps/ctrlProp4208.xml><?xml version="1.0" encoding="utf-8"?>
<formControlPr xmlns="http://schemas.microsoft.com/office/spreadsheetml/2009/9/main" objectType="CheckBox" fmlaLink="$A$34" lockText="1" noThreeD="1"/>
</file>

<file path=xl/ctrlProps/ctrlProp4209.xml><?xml version="1.0" encoding="utf-8"?>
<formControlPr xmlns="http://schemas.microsoft.com/office/spreadsheetml/2009/9/main" objectType="CheckBox" fmlaLink="$A$35" lockText="1" noThreeD="1"/>
</file>

<file path=xl/ctrlProps/ctrlProp4210.xml><?xml version="1.0" encoding="utf-8"?>
<formControlPr xmlns="http://schemas.microsoft.com/office/spreadsheetml/2009/9/main" objectType="CheckBox" fmlaLink="$A$36" lockText="1" noThreeD="1"/>
</file>

<file path=xl/ctrlProps/ctrlProp4211.xml><?xml version="1.0" encoding="utf-8"?>
<formControlPr xmlns="http://schemas.microsoft.com/office/spreadsheetml/2009/9/main" objectType="CheckBox" fmlaLink="$A$37" lockText="1" noThreeD="1"/>
</file>

<file path=xl/ctrlProps/ctrlProp4212.xml><?xml version="1.0" encoding="utf-8"?>
<formControlPr xmlns="http://schemas.microsoft.com/office/spreadsheetml/2009/9/main" objectType="Button" lockText="1"/>
</file>

<file path=xl/ctrlProps/ctrlProp4213.xml><?xml version="1.0" encoding="utf-8"?>
<formControlPr xmlns="http://schemas.microsoft.com/office/spreadsheetml/2009/9/main" objectType="Button" lockText="1"/>
</file>

<file path=xl/ctrlProps/ctrlProp4214.xml><?xml version="1.0" encoding="utf-8"?>
<formControlPr xmlns="http://schemas.microsoft.com/office/spreadsheetml/2009/9/main" objectType="CheckBox" fmlaLink="$D$33" lockText="1" noThreeD="1"/>
</file>

<file path=xl/ctrlProps/ctrlProp4215.xml><?xml version="1.0" encoding="utf-8"?>
<formControlPr xmlns="http://schemas.microsoft.com/office/spreadsheetml/2009/9/main" objectType="CheckBox" lockText="1" noThreeD="1"/>
</file>

<file path=xl/ctrlProps/ctrlProp4216.xml><?xml version="1.0" encoding="utf-8"?>
<formControlPr xmlns="http://schemas.microsoft.com/office/spreadsheetml/2009/9/main" objectType="CheckBox" lockText="1" noThreeD="1"/>
</file>

<file path=xl/ctrlProps/ctrlProp4217.xml><?xml version="1.0" encoding="utf-8"?>
<formControlPr xmlns="http://schemas.microsoft.com/office/spreadsheetml/2009/9/main" objectType="CheckBox" lockText="1" noThreeD="1"/>
</file>

<file path=xl/ctrlProps/ctrlProp4218.xml><?xml version="1.0" encoding="utf-8"?>
<formControlPr xmlns="http://schemas.microsoft.com/office/spreadsheetml/2009/9/main" objectType="CheckBox" lockText="1" noThreeD="1"/>
</file>

<file path=xl/ctrlProps/ctrlProp4219.xml><?xml version="1.0" encoding="utf-8"?>
<formControlPr xmlns="http://schemas.microsoft.com/office/spreadsheetml/2009/9/main" objectType="CheckBox" lockText="1" noThreeD="1"/>
</file>

<file path=xl/ctrlProps/ctrlProp4220.xml><?xml version="1.0" encoding="utf-8"?>
<formControlPr xmlns="http://schemas.microsoft.com/office/spreadsheetml/2009/9/main" objectType="CheckBox" lockText="1" noThreeD="1"/>
</file>

<file path=xl/ctrlProps/ctrlProp4221.xml><?xml version="1.0" encoding="utf-8"?>
<formControlPr xmlns="http://schemas.microsoft.com/office/spreadsheetml/2009/9/main" objectType="CheckBox" lockText="1" noThreeD="1"/>
</file>

<file path=xl/ctrlProps/ctrlProp4222.xml><?xml version="1.0" encoding="utf-8"?>
<formControlPr xmlns="http://schemas.microsoft.com/office/spreadsheetml/2009/9/main" objectType="CheckBox" fmlaLink="$A$43" lockText="1" noThreeD="1"/>
</file>

<file path=xl/ctrlProps/ctrlProp4223.xml><?xml version="1.0" encoding="utf-8"?>
<formControlPr xmlns="http://schemas.microsoft.com/office/spreadsheetml/2009/9/main" objectType="CheckBox" fmlaLink="$A$44" lockText="1" noThreeD="1"/>
</file>

<file path=xl/ctrlProps/ctrlProp4224.xml><?xml version="1.0" encoding="utf-8"?>
<formControlPr xmlns="http://schemas.microsoft.com/office/spreadsheetml/2009/9/main" objectType="CheckBox" fmlaLink="$A$45" lockText="1" noThreeD="1"/>
</file>

<file path=xl/ctrlProps/ctrlProp4225.xml><?xml version="1.0" encoding="utf-8"?>
<formControlPr xmlns="http://schemas.microsoft.com/office/spreadsheetml/2009/9/main" objectType="CheckBox" fmlaLink="$A$46" lockText="1" noThreeD="1"/>
</file>

<file path=xl/ctrlProps/ctrlProp4226.xml><?xml version="1.0" encoding="utf-8"?>
<formControlPr xmlns="http://schemas.microsoft.com/office/spreadsheetml/2009/9/main" objectType="CheckBox" fmlaLink="$A$47" lockText="1" noThreeD="1"/>
</file>

<file path=xl/ctrlProps/ctrlProp4227.xml><?xml version="1.0" encoding="utf-8"?>
<formControlPr xmlns="http://schemas.microsoft.com/office/spreadsheetml/2009/9/main" objectType="CheckBox" fmlaLink="$A$48" lockText="1" noThreeD="1"/>
</file>

<file path=xl/ctrlProps/ctrlProp4228.xml><?xml version="1.0" encoding="utf-8"?>
<formControlPr xmlns="http://schemas.microsoft.com/office/spreadsheetml/2009/9/main" objectType="CheckBox" fmlaLink="$A$49" lockText="1" noThreeD="1"/>
</file>

<file path=xl/ctrlProps/ctrlProp4229.xml><?xml version="1.0" encoding="utf-8"?>
<formControlPr xmlns="http://schemas.microsoft.com/office/spreadsheetml/2009/9/main" objectType="Button" lockText="1"/>
</file>

<file path=xl/ctrlProps/ctrlProp4230.xml><?xml version="1.0" encoding="utf-8"?>
<formControlPr xmlns="http://schemas.microsoft.com/office/spreadsheetml/2009/9/main" objectType="Button" lockText="1"/>
</file>

<file path=xl/ctrlProps/ctrlProp4231.xml><?xml version="1.0" encoding="utf-8"?>
<formControlPr xmlns="http://schemas.microsoft.com/office/spreadsheetml/2009/9/main" objectType="CheckBox" fmlaLink="$A$40" lockText="1" noThreeD="1"/>
</file>

<file path=xl/ctrlProps/ctrlProp4232.xml><?xml version="1.0" encoding="utf-8"?>
<formControlPr xmlns="http://schemas.microsoft.com/office/spreadsheetml/2009/9/main" objectType="Button" lockText="1"/>
</file>

<file path=xl/ctrlProps/ctrlProp4233.xml><?xml version="1.0" encoding="utf-8"?>
<formControlPr xmlns="http://schemas.microsoft.com/office/spreadsheetml/2009/9/main" objectType="Button" lockText="1"/>
</file>

<file path=xl/ctrlProps/ctrlProp4234.xml><?xml version="1.0" encoding="utf-8"?>
<formControlPr xmlns="http://schemas.microsoft.com/office/spreadsheetml/2009/9/main" objectType="Button" lockText="1"/>
</file>

<file path=xl/ctrlProps/ctrlProp4235.xml><?xml version="1.0" encoding="utf-8"?>
<formControlPr xmlns="http://schemas.microsoft.com/office/spreadsheetml/2009/9/main" objectType="Button" lockText="1"/>
</file>

<file path=xl/ctrlProps/ctrlProp4236.xml><?xml version="1.0" encoding="utf-8"?>
<formControlPr xmlns="http://schemas.microsoft.com/office/spreadsheetml/2009/9/main" objectType="CheckBox" fmlaLink="$A$49" lockText="1" noThreeD="1"/>
</file>

<file path=xl/ctrlProps/ctrlProp4237.xml><?xml version="1.0" encoding="utf-8"?>
<formControlPr xmlns="http://schemas.microsoft.com/office/spreadsheetml/2009/9/main" objectType="CheckBox" checked="Checked" fmlaLink="$A$28" lockText="1" noThreeD="1"/>
</file>

<file path=xl/ctrlProps/ctrlProp4238.xml><?xml version="1.0" encoding="utf-8"?>
<formControlPr xmlns="http://schemas.microsoft.com/office/spreadsheetml/2009/9/main" objectType="CheckBox" checked="Checked" fmlaLink="$A$29" lockText="1" noThreeD="1"/>
</file>

<file path=xl/ctrlProps/ctrlProp4239.xml><?xml version="1.0" encoding="utf-8"?>
<formControlPr xmlns="http://schemas.microsoft.com/office/spreadsheetml/2009/9/main" objectType="CheckBox" checked="Checked" fmlaLink="$A$30" lockText="1" noThreeD="1"/>
</file>

<file path=xl/ctrlProps/ctrlProp4240.xml><?xml version="1.0" encoding="utf-8"?>
<formControlPr xmlns="http://schemas.microsoft.com/office/spreadsheetml/2009/9/main" objectType="CheckBox" fmlaLink="$A$31" lockText="1" noThreeD="1"/>
</file>

<file path=xl/ctrlProps/ctrlProp4241.xml><?xml version="1.0" encoding="utf-8"?>
<formControlPr xmlns="http://schemas.microsoft.com/office/spreadsheetml/2009/9/main" objectType="CheckBox" fmlaLink="$E$28" lockText="1" noThreeD="1"/>
</file>

<file path=xl/ctrlProps/ctrlProp4242.xml><?xml version="1.0" encoding="utf-8"?>
<formControlPr xmlns="http://schemas.microsoft.com/office/spreadsheetml/2009/9/main" objectType="CheckBox" checked="Checked" fmlaLink="$E$29" lockText="1" noThreeD="1"/>
</file>

<file path=xl/ctrlProps/ctrlProp4243.xml><?xml version="1.0" encoding="utf-8"?>
<formControlPr xmlns="http://schemas.microsoft.com/office/spreadsheetml/2009/9/main" objectType="CheckBox" checked="Checked" fmlaLink="$E$30" lockText="1" noThreeD="1"/>
</file>

<file path=xl/ctrlProps/ctrlProp4244.xml><?xml version="1.0" encoding="utf-8"?>
<formControlPr xmlns="http://schemas.microsoft.com/office/spreadsheetml/2009/9/main" objectType="CheckBox" checked="Checked" fmlaLink="$A$33" lockText="1" noThreeD="1"/>
</file>

<file path=xl/ctrlProps/ctrlProp4245.xml><?xml version="1.0" encoding="utf-8"?>
<formControlPr xmlns="http://schemas.microsoft.com/office/spreadsheetml/2009/9/main" objectType="CheckBox" checked="Checked" fmlaLink="$A$34" lockText="1" noThreeD="1"/>
</file>

<file path=xl/ctrlProps/ctrlProp4246.xml><?xml version="1.0" encoding="utf-8"?>
<formControlPr xmlns="http://schemas.microsoft.com/office/spreadsheetml/2009/9/main" objectType="CheckBox" checked="Checked" fmlaLink="$A$35" lockText="1" noThreeD="1"/>
</file>

<file path=xl/ctrlProps/ctrlProp4247.xml><?xml version="1.0" encoding="utf-8"?>
<formControlPr xmlns="http://schemas.microsoft.com/office/spreadsheetml/2009/9/main" objectType="CheckBox" checked="Checked" fmlaLink="$A$36" lockText="1" noThreeD="1"/>
</file>

<file path=xl/ctrlProps/ctrlProp4248.xml><?xml version="1.0" encoding="utf-8"?>
<formControlPr xmlns="http://schemas.microsoft.com/office/spreadsheetml/2009/9/main" objectType="CheckBox" fmlaLink="$A$37" lockText="1" noThreeD="1"/>
</file>

<file path=xl/ctrlProps/ctrlProp4249.xml><?xml version="1.0" encoding="utf-8"?>
<formControlPr xmlns="http://schemas.microsoft.com/office/spreadsheetml/2009/9/main" objectType="CheckBox" fmlaLink="#REF!" lockText="1" noThreeD="1"/>
</file>

<file path=xl/ctrlProps/ctrlProp4250.xml><?xml version="1.0" encoding="utf-8"?>
<formControlPr xmlns="http://schemas.microsoft.com/office/spreadsheetml/2009/9/main" objectType="CheckBox" fmlaLink="#REF!" lockText="1" noThreeD="1"/>
</file>

<file path=xl/ctrlProps/ctrlProp4251.xml><?xml version="1.0" encoding="utf-8"?>
<formControlPr xmlns="http://schemas.microsoft.com/office/spreadsheetml/2009/9/main" objectType="CheckBox" fmlaLink="#REF!" lockText="1" noThreeD="1"/>
</file>

<file path=xl/ctrlProps/ctrlProp4252.xml><?xml version="1.0" encoding="utf-8"?>
<formControlPr xmlns="http://schemas.microsoft.com/office/spreadsheetml/2009/9/main" objectType="CheckBox" fmlaLink="#REF!" lockText="1" noThreeD="1"/>
</file>

<file path=xl/ctrlProps/ctrlProp4253.xml><?xml version="1.0" encoding="utf-8"?>
<formControlPr xmlns="http://schemas.microsoft.com/office/spreadsheetml/2009/9/main" objectType="Button" lockText="1"/>
</file>

<file path=xl/ctrlProps/ctrlProp4254.xml><?xml version="1.0" encoding="utf-8"?>
<formControlPr xmlns="http://schemas.microsoft.com/office/spreadsheetml/2009/9/main" objectType="Button" lockText="1"/>
</file>

<file path=xl/ctrlProps/ctrlProp4255.xml><?xml version="1.0" encoding="utf-8"?>
<formControlPr xmlns="http://schemas.microsoft.com/office/spreadsheetml/2009/9/main" objectType="CheckBox" fmlaLink="#REF!" lockText="1" noThreeD="1"/>
</file>

<file path=xl/ctrlProps/ctrlProp4256.xml><?xml version="1.0" encoding="utf-8"?>
<formControlPr xmlns="http://schemas.microsoft.com/office/spreadsheetml/2009/9/main" objectType="CheckBox" fmlaLink="#REF!" lockText="1" noThreeD="1"/>
</file>

<file path=xl/ctrlProps/ctrlProp4257.xml><?xml version="1.0" encoding="utf-8"?>
<formControlPr xmlns="http://schemas.microsoft.com/office/spreadsheetml/2009/9/main" objectType="CheckBox" fmlaLink="#REF!" lockText="1" noThreeD="1"/>
</file>

<file path=xl/ctrlProps/ctrlProp4258.xml><?xml version="1.0" encoding="utf-8"?>
<formControlPr xmlns="http://schemas.microsoft.com/office/spreadsheetml/2009/9/main" objectType="CheckBox" fmlaLink="#REF!" lockText="1" noThreeD="1"/>
</file>

<file path=xl/ctrlProps/ctrlProp4259.xml><?xml version="1.0" encoding="utf-8"?>
<formControlPr xmlns="http://schemas.microsoft.com/office/spreadsheetml/2009/9/main" objectType="CheckBox" fmlaLink="#REF!" lockText="1" noThreeD="1"/>
</file>

<file path=xl/ctrlProps/ctrlProp4260.xml><?xml version="1.0" encoding="utf-8"?>
<formControlPr xmlns="http://schemas.microsoft.com/office/spreadsheetml/2009/9/main" objectType="CheckBox" fmlaLink="#REF!" lockText="1" noThreeD="1"/>
</file>

<file path=xl/ctrlProps/ctrlProp4261.xml><?xml version="1.0" encoding="utf-8"?>
<formControlPr xmlns="http://schemas.microsoft.com/office/spreadsheetml/2009/9/main" objectType="CheckBox" fmlaLink="$A$43" lockText="1" noThreeD="1"/>
</file>

<file path=xl/ctrlProps/ctrlProp4262.xml><?xml version="1.0" encoding="utf-8"?>
<formControlPr xmlns="http://schemas.microsoft.com/office/spreadsheetml/2009/9/main" objectType="CheckBox" fmlaLink="$A$44" lockText="1" noThreeD="1"/>
</file>

<file path=xl/ctrlProps/ctrlProp4263.xml><?xml version="1.0" encoding="utf-8"?>
<formControlPr xmlns="http://schemas.microsoft.com/office/spreadsheetml/2009/9/main" objectType="CheckBox" fmlaLink="$A$45" lockText="1" noThreeD="1"/>
</file>

<file path=xl/ctrlProps/ctrlProp4264.xml><?xml version="1.0" encoding="utf-8"?>
<formControlPr xmlns="http://schemas.microsoft.com/office/spreadsheetml/2009/9/main" objectType="CheckBox" fmlaLink="$A$46" lockText="1" noThreeD="1"/>
</file>

<file path=xl/ctrlProps/ctrlProp4265.xml><?xml version="1.0" encoding="utf-8"?>
<formControlPr xmlns="http://schemas.microsoft.com/office/spreadsheetml/2009/9/main" objectType="CheckBox" fmlaLink="$A$47" lockText="1" noThreeD="1"/>
</file>

<file path=xl/ctrlProps/ctrlProp4266.xml><?xml version="1.0" encoding="utf-8"?>
<formControlPr xmlns="http://schemas.microsoft.com/office/spreadsheetml/2009/9/main" objectType="CheckBox" fmlaLink="$A$48" lockText="1" noThreeD="1"/>
</file>

<file path=xl/ctrlProps/ctrlProp4267.xml><?xml version="1.0" encoding="utf-8"?>
<formControlPr xmlns="http://schemas.microsoft.com/office/spreadsheetml/2009/9/main" objectType="CheckBox" fmlaLink="$A$49" lockText="1" noThreeD="1"/>
</file>

<file path=xl/ctrlProps/ctrlProp4268.xml><?xml version="1.0" encoding="utf-8"?>
<formControlPr xmlns="http://schemas.microsoft.com/office/spreadsheetml/2009/9/main" objectType="Button" lockText="1"/>
</file>

<file path=xl/ctrlProps/ctrlProp4269.xml><?xml version="1.0" encoding="utf-8"?>
<formControlPr xmlns="http://schemas.microsoft.com/office/spreadsheetml/2009/9/main" objectType="Button" lockText="1"/>
</file>

<file path=xl/ctrlProps/ctrlProp4270.xml><?xml version="1.0" encoding="utf-8"?>
<formControlPr xmlns="http://schemas.microsoft.com/office/spreadsheetml/2009/9/main" objectType="CheckBox" fmlaLink="$A$40" lockText="1" noThreeD="1"/>
</file>

<file path=xl/ctrlProps/ctrlProp4271.xml><?xml version="1.0" encoding="utf-8"?>
<formControlPr xmlns="http://schemas.microsoft.com/office/spreadsheetml/2009/9/main" objectType="Button" lockText="1"/>
</file>

<file path=xl/ctrlProps/ctrlProp4272.xml><?xml version="1.0" encoding="utf-8"?>
<formControlPr xmlns="http://schemas.microsoft.com/office/spreadsheetml/2009/9/main" objectType="Button" lockText="1"/>
</file>

<file path=xl/ctrlProps/ctrlProp4273.xml><?xml version="1.0" encoding="utf-8"?>
<formControlPr xmlns="http://schemas.microsoft.com/office/spreadsheetml/2009/9/main" objectType="Button" lockText="1"/>
</file>

<file path=xl/ctrlProps/ctrlProp4274.xml><?xml version="1.0" encoding="utf-8"?>
<formControlPr xmlns="http://schemas.microsoft.com/office/spreadsheetml/2009/9/main" objectType="Button" lockText="1"/>
</file>

<file path=xl/ctrlProps/ctrlProp4275.xml><?xml version="1.0" encoding="utf-8"?>
<formControlPr xmlns="http://schemas.microsoft.com/office/spreadsheetml/2009/9/main" objectType="CheckBox" fmlaLink="$A$49" lockText="1" noThreeD="1"/>
</file>

<file path=xl/ctrlProps/ctrlProp4276.xml><?xml version="1.0" encoding="utf-8"?>
<formControlPr xmlns="http://schemas.microsoft.com/office/spreadsheetml/2009/9/main" objectType="CheckBox" checked="Checked" fmlaLink="$A$28" lockText="1" noThreeD="1"/>
</file>

<file path=xl/ctrlProps/ctrlProp4277.xml><?xml version="1.0" encoding="utf-8"?>
<formControlPr xmlns="http://schemas.microsoft.com/office/spreadsheetml/2009/9/main" objectType="CheckBox" checked="Checked" fmlaLink="$A$29" lockText="1" noThreeD="1"/>
</file>

<file path=xl/ctrlProps/ctrlProp4278.xml><?xml version="1.0" encoding="utf-8"?>
<formControlPr xmlns="http://schemas.microsoft.com/office/spreadsheetml/2009/9/main" objectType="CheckBox" checked="Checked" fmlaLink="$A$30" lockText="1" noThreeD="1"/>
</file>

<file path=xl/ctrlProps/ctrlProp4279.xml><?xml version="1.0" encoding="utf-8"?>
<formControlPr xmlns="http://schemas.microsoft.com/office/spreadsheetml/2009/9/main" objectType="CheckBox" fmlaLink="$A$31" lockText="1" noThreeD="1"/>
</file>

<file path=xl/ctrlProps/ctrlProp4280.xml><?xml version="1.0" encoding="utf-8"?>
<formControlPr xmlns="http://schemas.microsoft.com/office/spreadsheetml/2009/9/main" objectType="CheckBox" checked="Checked" fmlaLink="$E$28" lockText="1" noThreeD="1"/>
</file>

<file path=xl/ctrlProps/ctrlProp4281.xml><?xml version="1.0" encoding="utf-8"?>
<formControlPr xmlns="http://schemas.microsoft.com/office/spreadsheetml/2009/9/main" objectType="CheckBox" checked="Checked" fmlaLink="$E$29" lockText="1" noThreeD="1"/>
</file>

<file path=xl/ctrlProps/ctrlProp4282.xml><?xml version="1.0" encoding="utf-8"?>
<formControlPr xmlns="http://schemas.microsoft.com/office/spreadsheetml/2009/9/main" objectType="CheckBox" checked="Checked" fmlaLink="$E$30" lockText="1" noThreeD="1"/>
</file>

<file path=xl/ctrlProps/ctrlProp4283.xml><?xml version="1.0" encoding="utf-8"?>
<formControlPr xmlns="http://schemas.microsoft.com/office/spreadsheetml/2009/9/main" objectType="CheckBox" checked="Checked" fmlaLink="$A$33" lockText="1" noThreeD="1"/>
</file>

<file path=xl/ctrlProps/ctrlProp4284.xml><?xml version="1.0" encoding="utf-8"?>
<formControlPr xmlns="http://schemas.microsoft.com/office/spreadsheetml/2009/9/main" objectType="CheckBox" checked="Checked" fmlaLink="$A$34" lockText="1" noThreeD="1"/>
</file>

<file path=xl/ctrlProps/ctrlProp4285.xml><?xml version="1.0" encoding="utf-8"?>
<formControlPr xmlns="http://schemas.microsoft.com/office/spreadsheetml/2009/9/main" objectType="CheckBox" checked="Checked" fmlaLink="$A$35" lockText="1" noThreeD="1"/>
</file>

<file path=xl/ctrlProps/ctrlProp4286.xml><?xml version="1.0" encoding="utf-8"?>
<formControlPr xmlns="http://schemas.microsoft.com/office/spreadsheetml/2009/9/main" objectType="CheckBox" checked="Checked" fmlaLink="$A$36" lockText="1" noThreeD="1"/>
</file>

<file path=xl/ctrlProps/ctrlProp4287.xml><?xml version="1.0" encoding="utf-8"?>
<formControlPr xmlns="http://schemas.microsoft.com/office/spreadsheetml/2009/9/main" objectType="CheckBox" fmlaLink="$A$37" lockText="1" noThreeD="1"/>
</file>

<file path=xl/ctrlProps/ctrlProp4288.xml><?xml version="1.0" encoding="utf-8"?>
<formControlPr xmlns="http://schemas.microsoft.com/office/spreadsheetml/2009/9/main" objectType="CheckBox" fmlaLink="#REF!" lockText="1" noThreeD="1"/>
</file>

<file path=xl/ctrlProps/ctrlProp4289.xml><?xml version="1.0" encoding="utf-8"?>
<formControlPr xmlns="http://schemas.microsoft.com/office/spreadsheetml/2009/9/main" objectType="CheckBox" fmlaLink="#REF!" lockText="1" noThreeD="1"/>
</file>

<file path=xl/ctrlProps/ctrlProp4290.xml><?xml version="1.0" encoding="utf-8"?>
<formControlPr xmlns="http://schemas.microsoft.com/office/spreadsheetml/2009/9/main" objectType="CheckBox" fmlaLink="#REF!" lockText="1" noThreeD="1"/>
</file>

<file path=xl/ctrlProps/ctrlProp4291.xml><?xml version="1.0" encoding="utf-8"?>
<formControlPr xmlns="http://schemas.microsoft.com/office/spreadsheetml/2009/9/main" objectType="CheckBox" fmlaLink="#REF!" lockText="1" noThreeD="1"/>
</file>

<file path=xl/ctrlProps/ctrlProp4292.xml><?xml version="1.0" encoding="utf-8"?>
<formControlPr xmlns="http://schemas.microsoft.com/office/spreadsheetml/2009/9/main" objectType="Button" lockText="1"/>
</file>

<file path=xl/ctrlProps/ctrlProp4293.xml><?xml version="1.0" encoding="utf-8"?>
<formControlPr xmlns="http://schemas.microsoft.com/office/spreadsheetml/2009/9/main" objectType="Button" lockText="1"/>
</file>

<file path=xl/ctrlProps/ctrlProp4294.xml><?xml version="1.0" encoding="utf-8"?>
<formControlPr xmlns="http://schemas.microsoft.com/office/spreadsheetml/2009/9/main" objectType="CheckBox" fmlaLink="#REF!" lockText="1" noThreeD="1"/>
</file>

<file path=xl/ctrlProps/ctrlProp4295.xml><?xml version="1.0" encoding="utf-8"?>
<formControlPr xmlns="http://schemas.microsoft.com/office/spreadsheetml/2009/9/main" objectType="CheckBox" fmlaLink="#REF!" lockText="1" noThreeD="1"/>
</file>

<file path=xl/ctrlProps/ctrlProp4296.xml><?xml version="1.0" encoding="utf-8"?>
<formControlPr xmlns="http://schemas.microsoft.com/office/spreadsheetml/2009/9/main" objectType="CheckBox" fmlaLink="#REF!" lockText="1" noThreeD="1"/>
</file>

<file path=xl/ctrlProps/ctrlProp4297.xml><?xml version="1.0" encoding="utf-8"?>
<formControlPr xmlns="http://schemas.microsoft.com/office/spreadsheetml/2009/9/main" objectType="CheckBox" fmlaLink="#REF!" lockText="1" noThreeD="1"/>
</file>

<file path=xl/ctrlProps/ctrlProp4298.xml><?xml version="1.0" encoding="utf-8"?>
<formControlPr xmlns="http://schemas.microsoft.com/office/spreadsheetml/2009/9/main" objectType="CheckBox" fmlaLink="#REF!" lockText="1" noThreeD="1"/>
</file>

<file path=xl/ctrlProps/ctrlProp4299.xml><?xml version="1.0" encoding="utf-8"?>
<formControlPr xmlns="http://schemas.microsoft.com/office/spreadsheetml/2009/9/main" objectType="CheckBox" fmlaLink="#REF!" lockText="1" noThreeD="1"/>
</file>

<file path=xl/ctrlProps/ctrlProp4300.xml><?xml version="1.0" encoding="utf-8"?>
<formControlPr xmlns="http://schemas.microsoft.com/office/spreadsheetml/2009/9/main" objectType="CheckBox" fmlaLink="#REF!" lockText="1" noThreeD="1"/>
</file>

<file path=xl/ctrlProps/ctrlProp4301.xml><?xml version="1.0" encoding="utf-8"?>
<formControlPr xmlns="http://schemas.microsoft.com/office/spreadsheetml/2009/9/main" objectType="CheckBox" fmlaLink="$A$43" lockText="1" noThreeD="1"/>
</file>

<file path=xl/ctrlProps/ctrlProp4302.xml><?xml version="1.0" encoding="utf-8"?>
<formControlPr xmlns="http://schemas.microsoft.com/office/spreadsheetml/2009/9/main" objectType="CheckBox" fmlaLink="$A$44" lockText="1" noThreeD="1"/>
</file>

<file path=xl/ctrlProps/ctrlProp4303.xml><?xml version="1.0" encoding="utf-8"?>
<formControlPr xmlns="http://schemas.microsoft.com/office/spreadsheetml/2009/9/main" objectType="CheckBox" fmlaLink="$A$45" lockText="1" noThreeD="1"/>
</file>

<file path=xl/ctrlProps/ctrlProp4304.xml><?xml version="1.0" encoding="utf-8"?>
<formControlPr xmlns="http://schemas.microsoft.com/office/spreadsheetml/2009/9/main" objectType="CheckBox" fmlaLink="$A$46" lockText="1" noThreeD="1"/>
</file>

<file path=xl/ctrlProps/ctrlProp4305.xml><?xml version="1.0" encoding="utf-8"?>
<formControlPr xmlns="http://schemas.microsoft.com/office/spreadsheetml/2009/9/main" objectType="CheckBox" fmlaLink="$A$47" lockText="1" noThreeD="1"/>
</file>

<file path=xl/ctrlProps/ctrlProp4306.xml><?xml version="1.0" encoding="utf-8"?>
<formControlPr xmlns="http://schemas.microsoft.com/office/spreadsheetml/2009/9/main" objectType="CheckBox" fmlaLink="$A$48" lockText="1" noThreeD="1"/>
</file>

<file path=xl/ctrlProps/ctrlProp4307.xml><?xml version="1.0" encoding="utf-8"?>
<formControlPr xmlns="http://schemas.microsoft.com/office/spreadsheetml/2009/9/main" objectType="CheckBox" fmlaLink="$A$49" lockText="1" noThreeD="1"/>
</file>

<file path=xl/ctrlProps/ctrlProp4308.xml><?xml version="1.0" encoding="utf-8"?>
<formControlPr xmlns="http://schemas.microsoft.com/office/spreadsheetml/2009/9/main" objectType="Button" lockText="1"/>
</file>

<file path=xl/ctrlProps/ctrlProp4309.xml><?xml version="1.0" encoding="utf-8"?>
<formControlPr xmlns="http://schemas.microsoft.com/office/spreadsheetml/2009/9/main" objectType="Button" lockText="1"/>
</file>

<file path=xl/ctrlProps/ctrlProp4310.xml><?xml version="1.0" encoding="utf-8"?>
<formControlPr xmlns="http://schemas.microsoft.com/office/spreadsheetml/2009/9/main" objectType="CheckBox" fmlaLink="$A$40" lockText="1" noThreeD="1"/>
</file>

<file path=xl/ctrlProps/ctrlProp4311.xml><?xml version="1.0" encoding="utf-8"?>
<formControlPr xmlns="http://schemas.microsoft.com/office/spreadsheetml/2009/9/main" objectType="Button" lockText="1"/>
</file>

<file path=xl/ctrlProps/ctrlProp4312.xml><?xml version="1.0" encoding="utf-8"?>
<formControlPr xmlns="http://schemas.microsoft.com/office/spreadsheetml/2009/9/main" objectType="Button" lockText="1"/>
</file>

<file path=xl/ctrlProps/ctrlProp4313.xml><?xml version="1.0" encoding="utf-8"?>
<formControlPr xmlns="http://schemas.microsoft.com/office/spreadsheetml/2009/9/main" objectType="Button" lockText="1"/>
</file>

<file path=xl/ctrlProps/ctrlProp4314.xml><?xml version="1.0" encoding="utf-8"?>
<formControlPr xmlns="http://schemas.microsoft.com/office/spreadsheetml/2009/9/main" objectType="Button" lockText="1"/>
</file>

<file path=xl/ctrlProps/ctrlProp4315.xml><?xml version="1.0" encoding="utf-8"?>
<formControlPr xmlns="http://schemas.microsoft.com/office/spreadsheetml/2009/9/main" objectType="CheckBox" fmlaLink="$A$49" lockText="1" noThreeD="1"/>
</file>

<file path=xl/ctrlProps/ctrlProp4316.xml><?xml version="1.0" encoding="utf-8"?>
<formControlPr xmlns="http://schemas.microsoft.com/office/spreadsheetml/2009/9/main" objectType="CheckBox" checked="Checked" fmlaLink="$A$28" lockText="1" noThreeD="1"/>
</file>

<file path=xl/ctrlProps/ctrlProp4317.xml><?xml version="1.0" encoding="utf-8"?>
<formControlPr xmlns="http://schemas.microsoft.com/office/spreadsheetml/2009/9/main" objectType="CheckBox" checked="Checked" fmlaLink="$A$29" lockText="1" noThreeD="1"/>
</file>

<file path=xl/ctrlProps/ctrlProp4318.xml><?xml version="1.0" encoding="utf-8"?>
<formControlPr xmlns="http://schemas.microsoft.com/office/spreadsheetml/2009/9/main" objectType="CheckBox" checked="Checked" fmlaLink="$A$30" lockText="1" noThreeD="1"/>
</file>

<file path=xl/ctrlProps/ctrlProp4319.xml><?xml version="1.0" encoding="utf-8"?>
<formControlPr xmlns="http://schemas.microsoft.com/office/spreadsheetml/2009/9/main" objectType="CheckBox" fmlaLink="$A$31" lockText="1" noThreeD="1"/>
</file>

<file path=xl/ctrlProps/ctrlProp4320.xml><?xml version="1.0" encoding="utf-8"?>
<formControlPr xmlns="http://schemas.microsoft.com/office/spreadsheetml/2009/9/main" objectType="CheckBox" checked="Checked" fmlaLink="$E$28" lockText="1" noThreeD="1"/>
</file>

<file path=xl/ctrlProps/ctrlProp4321.xml><?xml version="1.0" encoding="utf-8"?>
<formControlPr xmlns="http://schemas.microsoft.com/office/spreadsheetml/2009/9/main" objectType="CheckBox" fmlaLink="$E$29" lockText="1" noThreeD="1"/>
</file>

<file path=xl/ctrlProps/ctrlProp4322.xml><?xml version="1.0" encoding="utf-8"?>
<formControlPr xmlns="http://schemas.microsoft.com/office/spreadsheetml/2009/9/main" objectType="CheckBox" fmlaLink="$E$30" lockText="1" noThreeD="1"/>
</file>

<file path=xl/ctrlProps/ctrlProp4323.xml><?xml version="1.0" encoding="utf-8"?>
<formControlPr xmlns="http://schemas.microsoft.com/office/spreadsheetml/2009/9/main" objectType="CheckBox" checked="Checked" fmlaLink="$A$33" lockText="1" noThreeD="1"/>
</file>

<file path=xl/ctrlProps/ctrlProp4324.xml><?xml version="1.0" encoding="utf-8"?>
<formControlPr xmlns="http://schemas.microsoft.com/office/spreadsheetml/2009/9/main" objectType="CheckBox" checked="Checked" fmlaLink="$A$34" lockText="1" noThreeD="1"/>
</file>

<file path=xl/ctrlProps/ctrlProp4325.xml><?xml version="1.0" encoding="utf-8"?>
<formControlPr xmlns="http://schemas.microsoft.com/office/spreadsheetml/2009/9/main" objectType="CheckBox" checked="Checked" fmlaLink="$A$35" lockText="1" noThreeD="1"/>
</file>

<file path=xl/ctrlProps/ctrlProp4326.xml><?xml version="1.0" encoding="utf-8"?>
<formControlPr xmlns="http://schemas.microsoft.com/office/spreadsheetml/2009/9/main" objectType="CheckBox" checked="Checked" fmlaLink="$A$36" lockText="1" noThreeD="1"/>
</file>

<file path=xl/ctrlProps/ctrlProp4327.xml><?xml version="1.0" encoding="utf-8"?>
<formControlPr xmlns="http://schemas.microsoft.com/office/spreadsheetml/2009/9/main" objectType="CheckBox" fmlaLink="$A$37" lockText="1" noThreeD="1"/>
</file>

<file path=xl/ctrlProps/ctrlProp4328.xml><?xml version="1.0" encoding="utf-8"?>
<formControlPr xmlns="http://schemas.microsoft.com/office/spreadsheetml/2009/9/main" objectType="CheckBox" fmlaLink="#REF!" lockText="1" noThreeD="1"/>
</file>

<file path=xl/ctrlProps/ctrlProp4329.xml><?xml version="1.0" encoding="utf-8"?>
<formControlPr xmlns="http://schemas.microsoft.com/office/spreadsheetml/2009/9/main" objectType="CheckBox" fmlaLink="#REF!" lockText="1" noThreeD="1"/>
</file>

<file path=xl/ctrlProps/ctrlProp4330.xml><?xml version="1.0" encoding="utf-8"?>
<formControlPr xmlns="http://schemas.microsoft.com/office/spreadsheetml/2009/9/main" objectType="CheckBox" fmlaLink="#REF!" lockText="1" noThreeD="1"/>
</file>

<file path=xl/ctrlProps/ctrlProp4331.xml><?xml version="1.0" encoding="utf-8"?>
<formControlPr xmlns="http://schemas.microsoft.com/office/spreadsheetml/2009/9/main" objectType="CheckBox" fmlaLink="#REF!" lockText="1" noThreeD="1"/>
</file>

<file path=xl/ctrlProps/ctrlProp4332.xml><?xml version="1.0" encoding="utf-8"?>
<formControlPr xmlns="http://schemas.microsoft.com/office/spreadsheetml/2009/9/main" objectType="Button" lockText="1"/>
</file>

<file path=xl/ctrlProps/ctrlProp4333.xml><?xml version="1.0" encoding="utf-8"?>
<formControlPr xmlns="http://schemas.microsoft.com/office/spreadsheetml/2009/9/main" objectType="Button" lockText="1"/>
</file>

<file path=xl/ctrlProps/ctrlProp4334.xml><?xml version="1.0" encoding="utf-8"?>
<formControlPr xmlns="http://schemas.microsoft.com/office/spreadsheetml/2009/9/main" objectType="CheckBox" fmlaLink="#REF!" lockText="1" noThreeD="1"/>
</file>

<file path=xl/ctrlProps/ctrlProp4335.xml><?xml version="1.0" encoding="utf-8"?>
<formControlPr xmlns="http://schemas.microsoft.com/office/spreadsheetml/2009/9/main" objectType="CheckBox" fmlaLink="#REF!" lockText="1" noThreeD="1"/>
</file>

<file path=xl/ctrlProps/ctrlProp4336.xml><?xml version="1.0" encoding="utf-8"?>
<formControlPr xmlns="http://schemas.microsoft.com/office/spreadsheetml/2009/9/main" objectType="CheckBox" fmlaLink="#REF!" lockText="1" noThreeD="1"/>
</file>

<file path=xl/ctrlProps/ctrlProp4337.xml><?xml version="1.0" encoding="utf-8"?>
<formControlPr xmlns="http://schemas.microsoft.com/office/spreadsheetml/2009/9/main" objectType="CheckBox" fmlaLink="#REF!" lockText="1" noThreeD="1"/>
</file>

<file path=xl/ctrlProps/ctrlProp4338.xml><?xml version="1.0" encoding="utf-8"?>
<formControlPr xmlns="http://schemas.microsoft.com/office/spreadsheetml/2009/9/main" objectType="CheckBox" fmlaLink="#REF!" lockText="1" noThreeD="1"/>
</file>

<file path=xl/ctrlProps/ctrlProp4339.xml><?xml version="1.0" encoding="utf-8"?>
<formControlPr xmlns="http://schemas.microsoft.com/office/spreadsheetml/2009/9/main" objectType="CheckBox" fmlaLink="#REF!" lockText="1" noThreeD="1"/>
</file>

<file path=xl/ctrlProps/ctrlProp4340.xml><?xml version="1.0" encoding="utf-8"?>
<formControlPr xmlns="http://schemas.microsoft.com/office/spreadsheetml/2009/9/main" objectType="CheckBox" fmlaLink="#REF!" lockText="1" noThreeD="1"/>
</file>

<file path=xl/ctrlProps/ctrlProp4341.xml><?xml version="1.0" encoding="utf-8"?>
<formControlPr xmlns="http://schemas.microsoft.com/office/spreadsheetml/2009/9/main" objectType="CheckBox" fmlaLink="#REF!" lockText="1" noThreeD="1"/>
</file>

<file path=xl/ctrlProps/ctrlProp4342.xml><?xml version="1.0" encoding="utf-8"?>
<formControlPr xmlns="http://schemas.microsoft.com/office/spreadsheetml/2009/9/main" objectType="CheckBox" fmlaLink="#REF!" lockText="1" noThreeD="1"/>
</file>

<file path=xl/ctrlProps/ctrlProp4343.xml><?xml version="1.0" encoding="utf-8"?>
<formControlPr xmlns="http://schemas.microsoft.com/office/spreadsheetml/2009/9/main" objectType="CheckBox" fmlaLink="#REF!" lockText="1" noThreeD="1"/>
</file>

<file path=xl/ctrlProps/ctrlProp4344.xml><?xml version="1.0" encoding="utf-8"?>
<formControlPr xmlns="http://schemas.microsoft.com/office/spreadsheetml/2009/9/main" objectType="CheckBox" fmlaLink="$A$43" lockText="1" noThreeD="1"/>
</file>

<file path=xl/ctrlProps/ctrlProp4345.xml><?xml version="1.0" encoding="utf-8"?>
<formControlPr xmlns="http://schemas.microsoft.com/office/spreadsheetml/2009/9/main" objectType="CheckBox" fmlaLink="$A$44" lockText="1" noThreeD="1"/>
</file>

<file path=xl/ctrlProps/ctrlProp4346.xml><?xml version="1.0" encoding="utf-8"?>
<formControlPr xmlns="http://schemas.microsoft.com/office/spreadsheetml/2009/9/main" objectType="CheckBox" fmlaLink="$A$45" lockText="1" noThreeD="1"/>
</file>

<file path=xl/ctrlProps/ctrlProp4347.xml><?xml version="1.0" encoding="utf-8"?>
<formControlPr xmlns="http://schemas.microsoft.com/office/spreadsheetml/2009/9/main" objectType="CheckBox" fmlaLink="$A$46" lockText="1" noThreeD="1"/>
</file>

<file path=xl/ctrlProps/ctrlProp4348.xml><?xml version="1.0" encoding="utf-8"?>
<formControlPr xmlns="http://schemas.microsoft.com/office/spreadsheetml/2009/9/main" objectType="CheckBox" fmlaLink="$A$47" lockText="1" noThreeD="1"/>
</file>

<file path=xl/ctrlProps/ctrlProp4349.xml><?xml version="1.0" encoding="utf-8"?>
<formControlPr xmlns="http://schemas.microsoft.com/office/spreadsheetml/2009/9/main" objectType="CheckBox" fmlaLink="$A$48" lockText="1" noThreeD="1"/>
</file>

<file path=xl/ctrlProps/ctrlProp4350.xml><?xml version="1.0" encoding="utf-8"?>
<formControlPr xmlns="http://schemas.microsoft.com/office/spreadsheetml/2009/9/main" objectType="CheckBox" fmlaLink="$A$49" lockText="1" noThreeD="1"/>
</file>

<file path=xl/ctrlProps/ctrlProp4351.xml><?xml version="1.0" encoding="utf-8"?>
<formControlPr xmlns="http://schemas.microsoft.com/office/spreadsheetml/2009/9/main" objectType="Button" lockText="1"/>
</file>

<file path=xl/ctrlProps/ctrlProp4352.xml><?xml version="1.0" encoding="utf-8"?>
<formControlPr xmlns="http://schemas.microsoft.com/office/spreadsheetml/2009/9/main" objectType="Button" lockText="1"/>
</file>

<file path=xl/ctrlProps/ctrlProp4353.xml><?xml version="1.0" encoding="utf-8"?>
<formControlPr xmlns="http://schemas.microsoft.com/office/spreadsheetml/2009/9/main" objectType="CheckBox" fmlaLink="$A$40" lockText="1" noThreeD="1"/>
</file>

<file path=xl/ctrlProps/ctrlProp4354.xml><?xml version="1.0" encoding="utf-8"?>
<formControlPr xmlns="http://schemas.microsoft.com/office/spreadsheetml/2009/9/main" objectType="Button" lockText="1"/>
</file>

<file path=xl/ctrlProps/ctrlProp4355.xml><?xml version="1.0" encoding="utf-8"?>
<formControlPr xmlns="http://schemas.microsoft.com/office/spreadsheetml/2009/9/main" objectType="Button" lockText="1"/>
</file>

<file path=xl/ctrlProps/ctrlProp4356.xml><?xml version="1.0" encoding="utf-8"?>
<formControlPr xmlns="http://schemas.microsoft.com/office/spreadsheetml/2009/9/main" objectType="Button" lockText="1"/>
</file>

<file path=xl/ctrlProps/ctrlProp4357.xml><?xml version="1.0" encoding="utf-8"?>
<formControlPr xmlns="http://schemas.microsoft.com/office/spreadsheetml/2009/9/main" objectType="Button" lockText="1"/>
</file>

<file path=xl/ctrlProps/ctrlProp4358.xml><?xml version="1.0" encoding="utf-8"?>
<formControlPr xmlns="http://schemas.microsoft.com/office/spreadsheetml/2009/9/main" objectType="CheckBox" fmlaLink="$A$49" lockText="1" noThreeD="1"/>
</file>

<file path=xl/ctrlProps/ctrlProp4359.xml><?xml version="1.0" encoding="utf-8"?>
<formControlPr xmlns="http://schemas.microsoft.com/office/spreadsheetml/2009/9/main" objectType="CheckBox" fmlaLink="$A$28" lockText="1" noThreeD="1"/>
</file>

<file path=xl/ctrlProps/ctrlProp4360.xml><?xml version="1.0" encoding="utf-8"?>
<formControlPr xmlns="http://schemas.microsoft.com/office/spreadsheetml/2009/9/main" objectType="CheckBox" fmlaLink="$A$29" lockText="1" noThreeD="1"/>
</file>

<file path=xl/ctrlProps/ctrlProp4361.xml><?xml version="1.0" encoding="utf-8"?>
<formControlPr xmlns="http://schemas.microsoft.com/office/spreadsheetml/2009/9/main" objectType="CheckBox" fmlaLink="$A$30" lockText="1" noThreeD="1"/>
</file>

<file path=xl/ctrlProps/ctrlProp4362.xml><?xml version="1.0" encoding="utf-8"?>
<formControlPr xmlns="http://schemas.microsoft.com/office/spreadsheetml/2009/9/main" objectType="CheckBox" fmlaLink="$A$31" lockText="1" noThreeD="1"/>
</file>

<file path=xl/ctrlProps/ctrlProp4363.xml><?xml version="1.0" encoding="utf-8"?>
<formControlPr xmlns="http://schemas.microsoft.com/office/spreadsheetml/2009/9/main" objectType="CheckBox" fmlaLink="$E$28" lockText="1" noThreeD="1"/>
</file>

<file path=xl/ctrlProps/ctrlProp4364.xml><?xml version="1.0" encoding="utf-8"?>
<formControlPr xmlns="http://schemas.microsoft.com/office/spreadsheetml/2009/9/main" objectType="CheckBox" fmlaLink="$E$29" lockText="1" noThreeD="1"/>
</file>

<file path=xl/ctrlProps/ctrlProp4365.xml><?xml version="1.0" encoding="utf-8"?>
<formControlPr xmlns="http://schemas.microsoft.com/office/spreadsheetml/2009/9/main" objectType="CheckBox" fmlaLink="$E$30" lockText="1" noThreeD="1"/>
</file>

<file path=xl/ctrlProps/ctrlProp4366.xml><?xml version="1.0" encoding="utf-8"?>
<formControlPr xmlns="http://schemas.microsoft.com/office/spreadsheetml/2009/9/main" objectType="CheckBox" checked="Checked" fmlaLink="$A$33" lockText="1" noThreeD="1"/>
</file>

<file path=xl/ctrlProps/ctrlProp4367.xml><?xml version="1.0" encoding="utf-8"?>
<formControlPr xmlns="http://schemas.microsoft.com/office/spreadsheetml/2009/9/main" objectType="CheckBox" checked="Checked" fmlaLink="$A$34" lockText="1" noThreeD="1"/>
</file>

<file path=xl/ctrlProps/ctrlProp4368.xml><?xml version="1.0" encoding="utf-8"?>
<formControlPr xmlns="http://schemas.microsoft.com/office/spreadsheetml/2009/9/main" objectType="CheckBox" checked="Checked" fmlaLink="$A$35" lockText="1" noThreeD="1"/>
</file>

<file path=xl/ctrlProps/ctrlProp4369.xml><?xml version="1.0" encoding="utf-8"?>
<formControlPr xmlns="http://schemas.microsoft.com/office/spreadsheetml/2009/9/main" objectType="CheckBox" fmlaLink="$A$36" lockText="1" noThreeD="1"/>
</file>

<file path=xl/ctrlProps/ctrlProp4370.xml><?xml version="1.0" encoding="utf-8"?>
<formControlPr xmlns="http://schemas.microsoft.com/office/spreadsheetml/2009/9/main" objectType="CheckBox" fmlaLink="$A$37" lockText="1" noThreeD="1"/>
</file>

<file path=xl/ctrlProps/ctrlProp4371.xml><?xml version="1.0" encoding="utf-8"?>
<formControlPr xmlns="http://schemas.microsoft.com/office/spreadsheetml/2009/9/main" objectType="CheckBox" fmlaLink="#REF!" lockText="1" noThreeD="1"/>
</file>

<file path=xl/ctrlProps/ctrlProp4372.xml><?xml version="1.0" encoding="utf-8"?>
<formControlPr xmlns="http://schemas.microsoft.com/office/spreadsheetml/2009/9/main" objectType="CheckBox" fmlaLink="#REF!" lockText="1" noThreeD="1"/>
</file>

<file path=xl/ctrlProps/ctrlProp4373.xml><?xml version="1.0" encoding="utf-8"?>
<formControlPr xmlns="http://schemas.microsoft.com/office/spreadsheetml/2009/9/main" objectType="CheckBox" fmlaLink="#REF!" lockText="1" noThreeD="1"/>
</file>

<file path=xl/ctrlProps/ctrlProp4374.xml><?xml version="1.0" encoding="utf-8"?>
<formControlPr xmlns="http://schemas.microsoft.com/office/spreadsheetml/2009/9/main" objectType="CheckBox" fmlaLink="#REF!" lockText="1" noThreeD="1"/>
</file>

<file path=xl/ctrlProps/ctrlProp4375.xml><?xml version="1.0" encoding="utf-8"?>
<formControlPr xmlns="http://schemas.microsoft.com/office/spreadsheetml/2009/9/main" objectType="Button" lockText="1"/>
</file>

<file path=xl/ctrlProps/ctrlProp4376.xml><?xml version="1.0" encoding="utf-8"?>
<formControlPr xmlns="http://schemas.microsoft.com/office/spreadsheetml/2009/9/main" objectType="Button" lockText="1"/>
</file>

<file path=xl/ctrlProps/ctrlProp4377.xml><?xml version="1.0" encoding="utf-8"?>
<formControlPr xmlns="http://schemas.microsoft.com/office/spreadsheetml/2009/9/main" objectType="CheckBox" fmlaLink="#REF!" lockText="1" noThreeD="1"/>
</file>

<file path=xl/ctrlProps/ctrlProp4378.xml><?xml version="1.0" encoding="utf-8"?>
<formControlPr xmlns="http://schemas.microsoft.com/office/spreadsheetml/2009/9/main" objectType="CheckBox" fmlaLink="#REF!" lockText="1" noThreeD="1"/>
</file>

<file path=xl/ctrlProps/ctrlProp4379.xml><?xml version="1.0" encoding="utf-8"?>
<formControlPr xmlns="http://schemas.microsoft.com/office/spreadsheetml/2009/9/main" objectType="CheckBox" fmlaLink="#REF!" lockText="1" noThreeD="1"/>
</file>

<file path=xl/ctrlProps/ctrlProp4380.xml><?xml version="1.0" encoding="utf-8"?>
<formControlPr xmlns="http://schemas.microsoft.com/office/spreadsheetml/2009/9/main" objectType="CheckBox" fmlaLink="#REF!" lockText="1" noThreeD="1"/>
</file>

<file path=xl/ctrlProps/ctrlProp4381.xml><?xml version="1.0" encoding="utf-8"?>
<formControlPr xmlns="http://schemas.microsoft.com/office/spreadsheetml/2009/9/main" objectType="CheckBox" fmlaLink="$A$43" lockText="1" noThreeD="1"/>
</file>

<file path=xl/ctrlProps/ctrlProp4382.xml><?xml version="1.0" encoding="utf-8"?>
<formControlPr xmlns="http://schemas.microsoft.com/office/spreadsheetml/2009/9/main" objectType="CheckBox" fmlaLink="$A$44" lockText="1" noThreeD="1"/>
</file>

<file path=xl/ctrlProps/ctrlProp4383.xml><?xml version="1.0" encoding="utf-8"?>
<formControlPr xmlns="http://schemas.microsoft.com/office/spreadsheetml/2009/9/main" objectType="CheckBox" fmlaLink="$A$45" lockText="1" noThreeD="1"/>
</file>

<file path=xl/ctrlProps/ctrlProp4384.xml><?xml version="1.0" encoding="utf-8"?>
<formControlPr xmlns="http://schemas.microsoft.com/office/spreadsheetml/2009/9/main" objectType="CheckBox" fmlaLink="$A$46" lockText="1" noThreeD="1"/>
</file>

<file path=xl/ctrlProps/ctrlProp4385.xml><?xml version="1.0" encoding="utf-8"?>
<formControlPr xmlns="http://schemas.microsoft.com/office/spreadsheetml/2009/9/main" objectType="CheckBox" fmlaLink="$A$47" lockText="1" noThreeD="1"/>
</file>

<file path=xl/ctrlProps/ctrlProp4386.xml><?xml version="1.0" encoding="utf-8"?>
<formControlPr xmlns="http://schemas.microsoft.com/office/spreadsheetml/2009/9/main" objectType="CheckBox" fmlaLink="$A$48" lockText="1" noThreeD="1"/>
</file>

<file path=xl/ctrlProps/ctrlProp4387.xml><?xml version="1.0" encoding="utf-8"?>
<formControlPr xmlns="http://schemas.microsoft.com/office/spreadsheetml/2009/9/main" objectType="CheckBox" fmlaLink="$A$49" lockText="1" noThreeD="1"/>
</file>

<file path=xl/ctrlProps/ctrlProp4388.xml><?xml version="1.0" encoding="utf-8"?>
<formControlPr xmlns="http://schemas.microsoft.com/office/spreadsheetml/2009/9/main" objectType="Button" lockText="1"/>
</file>

<file path=xl/ctrlProps/ctrlProp4389.xml><?xml version="1.0" encoding="utf-8"?>
<formControlPr xmlns="http://schemas.microsoft.com/office/spreadsheetml/2009/9/main" objectType="Button" lockText="1"/>
</file>

<file path=xl/ctrlProps/ctrlProp4390.xml><?xml version="1.0" encoding="utf-8"?>
<formControlPr xmlns="http://schemas.microsoft.com/office/spreadsheetml/2009/9/main" objectType="CheckBox" fmlaLink="$A$40" lockText="1" noThreeD="1"/>
</file>

<file path=xl/ctrlProps/ctrlProp4391.xml><?xml version="1.0" encoding="utf-8"?>
<formControlPr xmlns="http://schemas.microsoft.com/office/spreadsheetml/2009/9/main" objectType="Button" lockText="1"/>
</file>

<file path=xl/ctrlProps/ctrlProp4392.xml><?xml version="1.0" encoding="utf-8"?>
<formControlPr xmlns="http://schemas.microsoft.com/office/spreadsheetml/2009/9/main" objectType="Button" lockText="1"/>
</file>

<file path=xl/ctrlProps/ctrlProp4393.xml><?xml version="1.0" encoding="utf-8"?>
<formControlPr xmlns="http://schemas.microsoft.com/office/spreadsheetml/2009/9/main" objectType="Button" lockText="1"/>
</file>

<file path=xl/ctrlProps/ctrlProp4394.xml><?xml version="1.0" encoding="utf-8"?>
<formControlPr xmlns="http://schemas.microsoft.com/office/spreadsheetml/2009/9/main" objectType="Button" lockText="1"/>
</file>

<file path=xl/ctrlProps/ctrlProp4395.xml><?xml version="1.0" encoding="utf-8"?>
<formControlPr xmlns="http://schemas.microsoft.com/office/spreadsheetml/2009/9/main" objectType="CheckBox" fmlaLink="$A$49" lockText="1" noThreeD="1"/>
</file>

<file path=xl/ctrlProps/ctrlProp4396.xml><?xml version="1.0" encoding="utf-8"?>
<formControlPr xmlns="http://schemas.microsoft.com/office/spreadsheetml/2009/9/main" objectType="CheckBox" checked="Checked" fmlaLink="$A$28" lockText="1" noThreeD="1"/>
</file>

<file path=xl/ctrlProps/ctrlProp4397.xml><?xml version="1.0" encoding="utf-8"?>
<formControlPr xmlns="http://schemas.microsoft.com/office/spreadsheetml/2009/9/main" objectType="CheckBox" checked="Checked" fmlaLink="$A$29" lockText="1" noThreeD="1"/>
</file>

<file path=xl/ctrlProps/ctrlProp4398.xml><?xml version="1.0" encoding="utf-8"?>
<formControlPr xmlns="http://schemas.microsoft.com/office/spreadsheetml/2009/9/main" objectType="CheckBox" checked="Checked" fmlaLink="$A$30" lockText="1" noThreeD="1"/>
</file>

<file path=xl/ctrlProps/ctrlProp4399.xml><?xml version="1.0" encoding="utf-8"?>
<formControlPr xmlns="http://schemas.microsoft.com/office/spreadsheetml/2009/9/main" objectType="CheckBox" checked="Checked" fmlaLink="$A$31" lockText="1" noThreeD="1"/>
</file>

<file path=xl/ctrlProps/ctrlProp4400.xml><?xml version="1.0" encoding="utf-8"?>
<formControlPr xmlns="http://schemas.microsoft.com/office/spreadsheetml/2009/9/main" objectType="CheckBox" checked="Checked" fmlaLink="$E$28" lockText="1" noThreeD="1"/>
</file>

<file path=xl/ctrlProps/ctrlProp4401.xml><?xml version="1.0" encoding="utf-8"?>
<formControlPr xmlns="http://schemas.microsoft.com/office/spreadsheetml/2009/9/main" objectType="CheckBox" checked="Checked" fmlaLink="$E$29" lockText="1" noThreeD="1"/>
</file>

<file path=xl/ctrlProps/ctrlProp4402.xml><?xml version="1.0" encoding="utf-8"?>
<formControlPr xmlns="http://schemas.microsoft.com/office/spreadsheetml/2009/9/main" objectType="CheckBox" checked="Checked" fmlaLink="$E$30" lockText="1" noThreeD="1"/>
</file>

<file path=xl/ctrlProps/ctrlProp4403.xml><?xml version="1.0" encoding="utf-8"?>
<formControlPr xmlns="http://schemas.microsoft.com/office/spreadsheetml/2009/9/main" objectType="CheckBox" fmlaLink="$A$33" lockText="1" noThreeD="1"/>
</file>

<file path=xl/ctrlProps/ctrlProp4404.xml><?xml version="1.0" encoding="utf-8"?>
<formControlPr xmlns="http://schemas.microsoft.com/office/spreadsheetml/2009/9/main" objectType="CheckBox" fmlaLink="$A$34" lockText="1" noThreeD="1"/>
</file>

<file path=xl/ctrlProps/ctrlProp4405.xml><?xml version="1.0" encoding="utf-8"?>
<formControlPr xmlns="http://schemas.microsoft.com/office/spreadsheetml/2009/9/main" objectType="CheckBox" fmlaLink="$A$35" lockText="1" noThreeD="1"/>
</file>

<file path=xl/ctrlProps/ctrlProp4406.xml><?xml version="1.0" encoding="utf-8"?>
<formControlPr xmlns="http://schemas.microsoft.com/office/spreadsheetml/2009/9/main" objectType="CheckBox" fmlaLink="$A$36" lockText="1" noThreeD="1"/>
</file>

<file path=xl/ctrlProps/ctrlProp4407.xml><?xml version="1.0" encoding="utf-8"?>
<formControlPr xmlns="http://schemas.microsoft.com/office/spreadsheetml/2009/9/main" objectType="CheckBox" fmlaLink="$A$37" lockText="1" noThreeD="1"/>
</file>

<file path=xl/ctrlProps/ctrlProp4408.xml><?xml version="1.0" encoding="utf-8"?>
<formControlPr xmlns="http://schemas.microsoft.com/office/spreadsheetml/2009/9/main" objectType="CheckBox" fmlaLink="#REF!" lockText="1" noThreeD="1"/>
</file>

<file path=xl/ctrlProps/ctrlProp4409.xml><?xml version="1.0" encoding="utf-8"?>
<formControlPr xmlns="http://schemas.microsoft.com/office/spreadsheetml/2009/9/main" objectType="CheckBox" fmlaLink="#REF!" lockText="1" noThreeD="1"/>
</file>

<file path=xl/ctrlProps/ctrlProp4410.xml><?xml version="1.0" encoding="utf-8"?>
<formControlPr xmlns="http://schemas.microsoft.com/office/spreadsheetml/2009/9/main" objectType="CheckBox" fmlaLink="#REF!" lockText="1" noThreeD="1"/>
</file>

<file path=xl/ctrlProps/ctrlProp4411.xml><?xml version="1.0" encoding="utf-8"?>
<formControlPr xmlns="http://schemas.microsoft.com/office/spreadsheetml/2009/9/main" objectType="CheckBox" fmlaLink="#REF!" lockText="1" noThreeD="1"/>
</file>

<file path=xl/ctrlProps/ctrlProp4412.xml><?xml version="1.0" encoding="utf-8"?>
<formControlPr xmlns="http://schemas.microsoft.com/office/spreadsheetml/2009/9/main" objectType="Button" lockText="1"/>
</file>

<file path=xl/ctrlProps/ctrlProp4413.xml><?xml version="1.0" encoding="utf-8"?>
<formControlPr xmlns="http://schemas.microsoft.com/office/spreadsheetml/2009/9/main" objectType="Button" lockText="1"/>
</file>

<file path=xl/ctrlProps/ctrlProp4414.xml><?xml version="1.0" encoding="utf-8"?>
<formControlPr xmlns="http://schemas.microsoft.com/office/spreadsheetml/2009/9/main" objectType="CheckBox" fmlaLink="#REF!" lockText="1" noThreeD="1"/>
</file>

<file path=xl/ctrlProps/ctrlProp4415.xml><?xml version="1.0" encoding="utf-8"?>
<formControlPr xmlns="http://schemas.microsoft.com/office/spreadsheetml/2009/9/main" objectType="CheckBox" fmlaLink="#REF!" lockText="1" noThreeD="1"/>
</file>

<file path=xl/ctrlProps/ctrlProp4416.xml><?xml version="1.0" encoding="utf-8"?>
<formControlPr xmlns="http://schemas.microsoft.com/office/spreadsheetml/2009/9/main" objectType="CheckBox" fmlaLink="#REF!" lockText="1" noThreeD="1"/>
</file>

<file path=xl/ctrlProps/ctrlProp4417.xml><?xml version="1.0" encoding="utf-8"?>
<formControlPr xmlns="http://schemas.microsoft.com/office/spreadsheetml/2009/9/main" objectType="CheckBox" fmlaLink="#REF!" lockText="1" noThreeD="1"/>
</file>

<file path=xl/ctrlProps/ctrlProp4418.xml><?xml version="1.0" encoding="utf-8"?>
<formControlPr xmlns="http://schemas.microsoft.com/office/spreadsheetml/2009/9/main" objectType="CheckBox" fmlaLink="$A$43" lockText="1" noThreeD="1"/>
</file>

<file path=xl/ctrlProps/ctrlProp4419.xml><?xml version="1.0" encoding="utf-8"?>
<formControlPr xmlns="http://schemas.microsoft.com/office/spreadsheetml/2009/9/main" objectType="CheckBox" fmlaLink="$A$44" lockText="1" noThreeD="1"/>
</file>

<file path=xl/ctrlProps/ctrlProp4420.xml><?xml version="1.0" encoding="utf-8"?>
<formControlPr xmlns="http://schemas.microsoft.com/office/spreadsheetml/2009/9/main" objectType="CheckBox" fmlaLink="$A$45" lockText="1" noThreeD="1"/>
</file>

<file path=xl/ctrlProps/ctrlProp4421.xml><?xml version="1.0" encoding="utf-8"?>
<formControlPr xmlns="http://schemas.microsoft.com/office/spreadsheetml/2009/9/main" objectType="CheckBox" fmlaLink="$A$46" lockText="1" noThreeD="1"/>
</file>

<file path=xl/ctrlProps/ctrlProp4422.xml><?xml version="1.0" encoding="utf-8"?>
<formControlPr xmlns="http://schemas.microsoft.com/office/spreadsheetml/2009/9/main" objectType="CheckBox" fmlaLink="$A$47" lockText="1" noThreeD="1"/>
</file>

<file path=xl/ctrlProps/ctrlProp4423.xml><?xml version="1.0" encoding="utf-8"?>
<formControlPr xmlns="http://schemas.microsoft.com/office/spreadsheetml/2009/9/main" objectType="CheckBox" fmlaLink="$A$48" lockText="1" noThreeD="1"/>
</file>

<file path=xl/ctrlProps/ctrlProp4424.xml><?xml version="1.0" encoding="utf-8"?>
<formControlPr xmlns="http://schemas.microsoft.com/office/spreadsheetml/2009/9/main" objectType="CheckBox" fmlaLink="$A$49" lockText="1" noThreeD="1"/>
</file>

<file path=xl/ctrlProps/ctrlProp4425.xml><?xml version="1.0" encoding="utf-8"?>
<formControlPr xmlns="http://schemas.microsoft.com/office/spreadsheetml/2009/9/main" objectType="Button" lockText="1"/>
</file>

<file path=xl/ctrlProps/ctrlProp4426.xml><?xml version="1.0" encoding="utf-8"?>
<formControlPr xmlns="http://schemas.microsoft.com/office/spreadsheetml/2009/9/main" objectType="Button" lockText="1"/>
</file>

<file path=xl/ctrlProps/ctrlProp4427.xml><?xml version="1.0" encoding="utf-8"?>
<formControlPr xmlns="http://schemas.microsoft.com/office/spreadsheetml/2009/9/main" objectType="CheckBox" fmlaLink="$A$40" lockText="1" noThreeD="1"/>
</file>

<file path=xl/ctrlProps/ctrlProp4428.xml><?xml version="1.0" encoding="utf-8"?>
<formControlPr xmlns="http://schemas.microsoft.com/office/spreadsheetml/2009/9/main" objectType="Button" lockText="1"/>
</file>

<file path=xl/ctrlProps/ctrlProp4429.xml><?xml version="1.0" encoding="utf-8"?>
<formControlPr xmlns="http://schemas.microsoft.com/office/spreadsheetml/2009/9/main" objectType="Button" lockText="1"/>
</file>

<file path=xl/ctrlProps/ctrlProp4430.xml><?xml version="1.0" encoding="utf-8"?>
<formControlPr xmlns="http://schemas.microsoft.com/office/spreadsheetml/2009/9/main" objectType="Button" lockText="1"/>
</file>

<file path=xl/ctrlProps/ctrlProp4431.xml><?xml version="1.0" encoding="utf-8"?>
<formControlPr xmlns="http://schemas.microsoft.com/office/spreadsheetml/2009/9/main" objectType="Button" lockText="1"/>
</file>

<file path=xl/ctrlProps/ctrlProp4432.xml><?xml version="1.0" encoding="utf-8"?>
<formControlPr xmlns="http://schemas.microsoft.com/office/spreadsheetml/2009/9/main" objectType="CheckBox" fmlaLink="$A$49" lockText="1" noThreeD="1"/>
</file>

<file path=xl/ctrlProps/ctrlProp4433.xml><?xml version="1.0" encoding="utf-8"?>
<formControlPr xmlns="http://schemas.microsoft.com/office/spreadsheetml/2009/9/main" objectType="CheckBox" checked="Checked" fmlaLink="$A$28" lockText="1" noThreeD="1"/>
</file>

<file path=xl/ctrlProps/ctrlProp4434.xml><?xml version="1.0" encoding="utf-8"?>
<formControlPr xmlns="http://schemas.microsoft.com/office/spreadsheetml/2009/9/main" objectType="CheckBox" checked="Checked" fmlaLink="$A$29" lockText="1" noThreeD="1"/>
</file>

<file path=xl/ctrlProps/ctrlProp4435.xml><?xml version="1.0" encoding="utf-8"?>
<formControlPr xmlns="http://schemas.microsoft.com/office/spreadsheetml/2009/9/main" objectType="CheckBox" checked="Checked" fmlaLink="$A$30" lockText="1" noThreeD="1"/>
</file>

<file path=xl/ctrlProps/ctrlProp4436.xml><?xml version="1.0" encoding="utf-8"?>
<formControlPr xmlns="http://schemas.microsoft.com/office/spreadsheetml/2009/9/main" objectType="CheckBox" checked="Checked" fmlaLink="$A$31" lockText="1" noThreeD="1"/>
</file>

<file path=xl/ctrlProps/ctrlProp4437.xml><?xml version="1.0" encoding="utf-8"?>
<formControlPr xmlns="http://schemas.microsoft.com/office/spreadsheetml/2009/9/main" objectType="CheckBox" checked="Checked" fmlaLink="$E$28" lockText="1" noThreeD="1"/>
</file>

<file path=xl/ctrlProps/ctrlProp4438.xml><?xml version="1.0" encoding="utf-8"?>
<formControlPr xmlns="http://schemas.microsoft.com/office/spreadsheetml/2009/9/main" objectType="CheckBox" checked="Checked" fmlaLink="$E$29" lockText="1" noThreeD="1"/>
</file>

<file path=xl/ctrlProps/ctrlProp4439.xml><?xml version="1.0" encoding="utf-8"?>
<formControlPr xmlns="http://schemas.microsoft.com/office/spreadsheetml/2009/9/main" objectType="CheckBox" fmlaLink="$E$30" lockText="1" noThreeD="1"/>
</file>

<file path=xl/ctrlProps/ctrlProp4440.xml><?xml version="1.0" encoding="utf-8"?>
<formControlPr xmlns="http://schemas.microsoft.com/office/spreadsheetml/2009/9/main" objectType="CheckBox" checked="Checked" fmlaLink="$A$33" lockText="1" noThreeD="1"/>
</file>

<file path=xl/ctrlProps/ctrlProp4441.xml><?xml version="1.0" encoding="utf-8"?>
<formControlPr xmlns="http://schemas.microsoft.com/office/spreadsheetml/2009/9/main" objectType="CheckBox" checked="Checked" fmlaLink="$A$34" lockText="1" noThreeD="1"/>
</file>

<file path=xl/ctrlProps/ctrlProp4442.xml><?xml version="1.0" encoding="utf-8"?>
<formControlPr xmlns="http://schemas.microsoft.com/office/spreadsheetml/2009/9/main" objectType="CheckBox" checked="Checked" fmlaLink="$A$35" lockText="1" noThreeD="1"/>
</file>

<file path=xl/ctrlProps/ctrlProp4443.xml><?xml version="1.0" encoding="utf-8"?>
<formControlPr xmlns="http://schemas.microsoft.com/office/spreadsheetml/2009/9/main" objectType="CheckBox" checked="Checked" fmlaLink="$A$36" lockText="1" noThreeD="1"/>
</file>

<file path=xl/ctrlProps/ctrlProp4444.xml><?xml version="1.0" encoding="utf-8"?>
<formControlPr xmlns="http://schemas.microsoft.com/office/spreadsheetml/2009/9/main" objectType="CheckBox" fmlaLink="$A$37" lockText="1" noThreeD="1"/>
</file>

<file path=xl/ctrlProps/ctrlProp4445.xml><?xml version="1.0" encoding="utf-8"?>
<formControlPr xmlns="http://schemas.microsoft.com/office/spreadsheetml/2009/9/main" objectType="CheckBox" fmlaLink="#REF!" lockText="1" noThreeD="1"/>
</file>

<file path=xl/ctrlProps/ctrlProp4446.xml><?xml version="1.0" encoding="utf-8"?>
<formControlPr xmlns="http://schemas.microsoft.com/office/spreadsheetml/2009/9/main" objectType="CheckBox" fmlaLink="#REF!" lockText="1" noThreeD="1"/>
</file>

<file path=xl/ctrlProps/ctrlProp4447.xml><?xml version="1.0" encoding="utf-8"?>
<formControlPr xmlns="http://schemas.microsoft.com/office/spreadsheetml/2009/9/main" objectType="CheckBox" fmlaLink="#REF!" lockText="1" noThreeD="1"/>
</file>

<file path=xl/ctrlProps/ctrlProp4448.xml><?xml version="1.0" encoding="utf-8"?>
<formControlPr xmlns="http://schemas.microsoft.com/office/spreadsheetml/2009/9/main" objectType="CheckBox" fmlaLink="#REF!" lockText="1" noThreeD="1"/>
</file>

<file path=xl/ctrlProps/ctrlProp4449.xml><?xml version="1.0" encoding="utf-8"?>
<formControlPr xmlns="http://schemas.microsoft.com/office/spreadsheetml/2009/9/main" objectType="Button" lockText="1"/>
</file>

<file path=xl/ctrlProps/ctrlProp4450.xml><?xml version="1.0" encoding="utf-8"?>
<formControlPr xmlns="http://schemas.microsoft.com/office/spreadsheetml/2009/9/main" objectType="Button" lockText="1"/>
</file>

<file path=xl/ctrlProps/ctrlProp4451.xml><?xml version="1.0" encoding="utf-8"?>
<formControlPr xmlns="http://schemas.microsoft.com/office/spreadsheetml/2009/9/main" objectType="CheckBox" fmlaLink="#REF!" lockText="1" noThreeD="1"/>
</file>

<file path=xl/ctrlProps/ctrlProp4452.xml><?xml version="1.0" encoding="utf-8"?>
<formControlPr xmlns="http://schemas.microsoft.com/office/spreadsheetml/2009/9/main" objectType="CheckBox" fmlaLink="#REF!" lockText="1" noThreeD="1"/>
</file>

<file path=xl/ctrlProps/ctrlProp4453.xml><?xml version="1.0" encoding="utf-8"?>
<formControlPr xmlns="http://schemas.microsoft.com/office/spreadsheetml/2009/9/main" objectType="CheckBox" fmlaLink="#REF!" lockText="1" noThreeD="1"/>
</file>

<file path=xl/ctrlProps/ctrlProp4454.xml><?xml version="1.0" encoding="utf-8"?>
<formControlPr xmlns="http://schemas.microsoft.com/office/spreadsheetml/2009/9/main" objectType="CheckBox" fmlaLink="#REF!" lockText="1" noThreeD="1"/>
</file>

<file path=xl/ctrlProps/ctrlProp4455.xml><?xml version="1.0" encoding="utf-8"?>
<formControlPr xmlns="http://schemas.microsoft.com/office/spreadsheetml/2009/9/main" objectType="CheckBox" fmlaLink="#REF!" lockText="1" noThreeD="1"/>
</file>

<file path=xl/ctrlProps/ctrlProp4456.xml><?xml version="1.0" encoding="utf-8"?>
<formControlPr xmlns="http://schemas.microsoft.com/office/spreadsheetml/2009/9/main" objectType="CheckBox" fmlaLink="#REF!" lockText="1" noThreeD="1"/>
</file>

<file path=xl/ctrlProps/ctrlProp4457.xml><?xml version="1.0" encoding="utf-8"?>
<formControlPr xmlns="http://schemas.microsoft.com/office/spreadsheetml/2009/9/main" objectType="CheckBox" fmlaLink="$A$43" lockText="1" noThreeD="1"/>
</file>

<file path=xl/ctrlProps/ctrlProp4458.xml><?xml version="1.0" encoding="utf-8"?>
<formControlPr xmlns="http://schemas.microsoft.com/office/spreadsheetml/2009/9/main" objectType="CheckBox" fmlaLink="$A$44" lockText="1" noThreeD="1"/>
</file>

<file path=xl/ctrlProps/ctrlProp4459.xml><?xml version="1.0" encoding="utf-8"?>
<formControlPr xmlns="http://schemas.microsoft.com/office/spreadsheetml/2009/9/main" objectType="CheckBox" fmlaLink="$A$45" lockText="1" noThreeD="1"/>
</file>

<file path=xl/ctrlProps/ctrlProp4460.xml><?xml version="1.0" encoding="utf-8"?>
<formControlPr xmlns="http://schemas.microsoft.com/office/spreadsheetml/2009/9/main" objectType="CheckBox" fmlaLink="$A$46" lockText="1" noThreeD="1"/>
</file>

<file path=xl/ctrlProps/ctrlProp4461.xml><?xml version="1.0" encoding="utf-8"?>
<formControlPr xmlns="http://schemas.microsoft.com/office/spreadsheetml/2009/9/main" objectType="CheckBox" fmlaLink="$A$47" lockText="1" noThreeD="1"/>
</file>

<file path=xl/ctrlProps/ctrlProp4462.xml><?xml version="1.0" encoding="utf-8"?>
<formControlPr xmlns="http://schemas.microsoft.com/office/spreadsheetml/2009/9/main" objectType="CheckBox" fmlaLink="$A$48" lockText="1" noThreeD="1"/>
</file>

<file path=xl/ctrlProps/ctrlProp4463.xml><?xml version="1.0" encoding="utf-8"?>
<formControlPr xmlns="http://schemas.microsoft.com/office/spreadsheetml/2009/9/main" objectType="CheckBox" fmlaLink="$A$49" lockText="1" noThreeD="1"/>
</file>

<file path=xl/ctrlProps/ctrlProp4464.xml><?xml version="1.0" encoding="utf-8"?>
<formControlPr xmlns="http://schemas.microsoft.com/office/spreadsheetml/2009/9/main" objectType="Button" lockText="1"/>
</file>

<file path=xl/ctrlProps/ctrlProp4465.xml><?xml version="1.0" encoding="utf-8"?>
<formControlPr xmlns="http://schemas.microsoft.com/office/spreadsheetml/2009/9/main" objectType="Button" lockText="1"/>
</file>

<file path=xl/ctrlProps/ctrlProp4466.xml><?xml version="1.0" encoding="utf-8"?>
<formControlPr xmlns="http://schemas.microsoft.com/office/spreadsheetml/2009/9/main" objectType="CheckBox" fmlaLink="$A$40" lockText="1" noThreeD="1"/>
</file>

<file path=xl/ctrlProps/ctrlProp4467.xml><?xml version="1.0" encoding="utf-8"?>
<formControlPr xmlns="http://schemas.microsoft.com/office/spreadsheetml/2009/9/main" objectType="Button" lockText="1"/>
</file>

<file path=xl/ctrlProps/ctrlProp4468.xml><?xml version="1.0" encoding="utf-8"?>
<formControlPr xmlns="http://schemas.microsoft.com/office/spreadsheetml/2009/9/main" objectType="Button" lockText="1"/>
</file>

<file path=xl/ctrlProps/ctrlProp4469.xml><?xml version="1.0" encoding="utf-8"?>
<formControlPr xmlns="http://schemas.microsoft.com/office/spreadsheetml/2009/9/main" objectType="Button" lockText="1"/>
</file>

<file path=xl/ctrlProps/ctrlProp4470.xml><?xml version="1.0" encoding="utf-8"?>
<formControlPr xmlns="http://schemas.microsoft.com/office/spreadsheetml/2009/9/main" objectType="Button" lockText="1"/>
</file>

<file path=xl/ctrlProps/ctrlProp4471.xml><?xml version="1.0" encoding="utf-8"?>
<formControlPr xmlns="http://schemas.microsoft.com/office/spreadsheetml/2009/9/main" objectType="CheckBox" fmlaLink="$A$49" lockText="1" noThreeD="1"/>
</file>

<file path=xl/ctrlProps/ctrlProp4472.xml><?xml version="1.0" encoding="utf-8"?>
<formControlPr xmlns="http://schemas.microsoft.com/office/spreadsheetml/2009/9/main" objectType="CheckBox" checked="Checked" fmlaLink="$A$28" lockText="1" noThreeD="1"/>
</file>

<file path=xl/ctrlProps/ctrlProp4473.xml><?xml version="1.0" encoding="utf-8"?>
<formControlPr xmlns="http://schemas.microsoft.com/office/spreadsheetml/2009/9/main" objectType="CheckBox" checked="Checked" fmlaLink="$A$29" lockText="1" noThreeD="1"/>
</file>

<file path=xl/ctrlProps/ctrlProp4474.xml><?xml version="1.0" encoding="utf-8"?>
<formControlPr xmlns="http://schemas.microsoft.com/office/spreadsheetml/2009/9/main" objectType="CheckBox" checked="Checked" fmlaLink="$A$30" lockText="1" noThreeD="1"/>
</file>

<file path=xl/ctrlProps/ctrlProp4475.xml><?xml version="1.0" encoding="utf-8"?>
<formControlPr xmlns="http://schemas.microsoft.com/office/spreadsheetml/2009/9/main" objectType="CheckBox" checked="Checked" fmlaLink="$A$31" lockText="1" noThreeD="1"/>
</file>

<file path=xl/ctrlProps/ctrlProp4476.xml><?xml version="1.0" encoding="utf-8"?>
<formControlPr xmlns="http://schemas.microsoft.com/office/spreadsheetml/2009/9/main" objectType="CheckBox" checked="Checked" fmlaLink="$E$28" lockText="1" noThreeD="1"/>
</file>

<file path=xl/ctrlProps/ctrlProp4477.xml><?xml version="1.0" encoding="utf-8"?>
<formControlPr xmlns="http://schemas.microsoft.com/office/spreadsheetml/2009/9/main" objectType="CheckBox" fmlaLink="$E$29" lockText="1" noThreeD="1"/>
</file>

<file path=xl/ctrlProps/ctrlProp4478.xml><?xml version="1.0" encoding="utf-8"?>
<formControlPr xmlns="http://schemas.microsoft.com/office/spreadsheetml/2009/9/main" objectType="CheckBox" fmlaLink="$E$30" lockText="1" noThreeD="1"/>
</file>

<file path=xl/ctrlProps/ctrlProp4479.xml><?xml version="1.0" encoding="utf-8"?>
<formControlPr xmlns="http://schemas.microsoft.com/office/spreadsheetml/2009/9/main" objectType="CheckBox" checked="Checked" fmlaLink="$A$33" lockText="1" noThreeD="1"/>
</file>

<file path=xl/ctrlProps/ctrlProp4480.xml><?xml version="1.0" encoding="utf-8"?>
<formControlPr xmlns="http://schemas.microsoft.com/office/spreadsheetml/2009/9/main" objectType="CheckBox" checked="Checked" fmlaLink="$A$34" lockText="1" noThreeD="1"/>
</file>

<file path=xl/ctrlProps/ctrlProp4481.xml><?xml version="1.0" encoding="utf-8"?>
<formControlPr xmlns="http://schemas.microsoft.com/office/spreadsheetml/2009/9/main" objectType="CheckBox" checked="Checked" fmlaLink="$A$35" lockText="1" noThreeD="1"/>
</file>

<file path=xl/ctrlProps/ctrlProp4482.xml><?xml version="1.0" encoding="utf-8"?>
<formControlPr xmlns="http://schemas.microsoft.com/office/spreadsheetml/2009/9/main" objectType="CheckBox" checked="Checked" fmlaLink="$A$36" lockText="1" noThreeD="1"/>
</file>

<file path=xl/ctrlProps/ctrlProp4483.xml><?xml version="1.0" encoding="utf-8"?>
<formControlPr xmlns="http://schemas.microsoft.com/office/spreadsheetml/2009/9/main" objectType="CheckBox" fmlaLink="$A$37" lockText="1" noThreeD="1"/>
</file>

<file path=xl/ctrlProps/ctrlProp4484.xml><?xml version="1.0" encoding="utf-8"?>
<formControlPr xmlns="http://schemas.microsoft.com/office/spreadsheetml/2009/9/main" objectType="CheckBox" fmlaLink="#REF!" lockText="1" noThreeD="1"/>
</file>

<file path=xl/ctrlProps/ctrlProp4485.xml><?xml version="1.0" encoding="utf-8"?>
<formControlPr xmlns="http://schemas.microsoft.com/office/spreadsheetml/2009/9/main" objectType="CheckBox" fmlaLink="#REF!" lockText="1" noThreeD="1"/>
</file>

<file path=xl/ctrlProps/ctrlProp4486.xml><?xml version="1.0" encoding="utf-8"?>
<formControlPr xmlns="http://schemas.microsoft.com/office/spreadsheetml/2009/9/main" objectType="CheckBox" fmlaLink="#REF!" lockText="1" noThreeD="1"/>
</file>

<file path=xl/ctrlProps/ctrlProp4487.xml><?xml version="1.0" encoding="utf-8"?>
<formControlPr xmlns="http://schemas.microsoft.com/office/spreadsheetml/2009/9/main" objectType="CheckBox" fmlaLink="#REF!" lockText="1" noThreeD="1"/>
</file>

<file path=xl/ctrlProps/ctrlProp4488.xml><?xml version="1.0" encoding="utf-8"?>
<formControlPr xmlns="http://schemas.microsoft.com/office/spreadsheetml/2009/9/main" objectType="Button" lockText="1"/>
</file>

<file path=xl/ctrlProps/ctrlProp4489.xml><?xml version="1.0" encoding="utf-8"?>
<formControlPr xmlns="http://schemas.microsoft.com/office/spreadsheetml/2009/9/main" objectType="Button" lockText="1"/>
</file>

<file path=xl/ctrlProps/ctrlProp4490.xml><?xml version="1.0" encoding="utf-8"?>
<formControlPr xmlns="http://schemas.microsoft.com/office/spreadsheetml/2009/9/main" objectType="CheckBox" fmlaLink="#REF!" lockText="1" noThreeD="1"/>
</file>

<file path=xl/ctrlProps/ctrlProp4491.xml><?xml version="1.0" encoding="utf-8"?>
<formControlPr xmlns="http://schemas.microsoft.com/office/spreadsheetml/2009/9/main" objectType="CheckBox" fmlaLink="#REF!" lockText="1" noThreeD="1"/>
</file>

<file path=xl/ctrlProps/ctrlProp4492.xml><?xml version="1.0" encoding="utf-8"?>
<formControlPr xmlns="http://schemas.microsoft.com/office/spreadsheetml/2009/9/main" objectType="CheckBox" fmlaLink="#REF!" lockText="1" noThreeD="1"/>
</file>

<file path=xl/ctrlProps/ctrlProp4493.xml><?xml version="1.0" encoding="utf-8"?>
<formControlPr xmlns="http://schemas.microsoft.com/office/spreadsheetml/2009/9/main" objectType="CheckBox" fmlaLink="#REF!" lockText="1" noThreeD="1"/>
</file>

<file path=xl/ctrlProps/ctrlProp4494.xml><?xml version="1.0" encoding="utf-8"?>
<formControlPr xmlns="http://schemas.microsoft.com/office/spreadsheetml/2009/9/main" objectType="CheckBox" fmlaLink="#REF!" lockText="1" noThreeD="1"/>
</file>

<file path=xl/ctrlProps/ctrlProp4495.xml><?xml version="1.0" encoding="utf-8"?>
<formControlPr xmlns="http://schemas.microsoft.com/office/spreadsheetml/2009/9/main" objectType="CheckBox" fmlaLink="#REF!" lockText="1" noThreeD="1"/>
</file>

<file path=xl/ctrlProps/ctrlProp4496.xml><?xml version="1.0" encoding="utf-8"?>
<formControlPr xmlns="http://schemas.microsoft.com/office/spreadsheetml/2009/9/main" objectType="CheckBox" fmlaLink="#REF!" lockText="1" noThreeD="1"/>
</file>

<file path=xl/ctrlProps/ctrlProp4497.xml><?xml version="1.0" encoding="utf-8"?>
<formControlPr xmlns="http://schemas.microsoft.com/office/spreadsheetml/2009/9/main" objectType="CheckBox" fmlaLink="$A$43" lockText="1" noThreeD="1"/>
</file>

<file path=xl/ctrlProps/ctrlProp4498.xml><?xml version="1.0" encoding="utf-8"?>
<formControlPr xmlns="http://schemas.microsoft.com/office/spreadsheetml/2009/9/main" objectType="CheckBox" fmlaLink="$A$44" lockText="1" noThreeD="1"/>
</file>

<file path=xl/ctrlProps/ctrlProp4499.xml><?xml version="1.0" encoding="utf-8"?>
<formControlPr xmlns="http://schemas.microsoft.com/office/spreadsheetml/2009/9/main" objectType="CheckBox" fmlaLink="$A$45" lockText="1" noThreeD="1"/>
</file>

<file path=xl/ctrlProps/ctrlProp4500.xml><?xml version="1.0" encoding="utf-8"?>
<formControlPr xmlns="http://schemas.microsoft.com/office/spreadsheetml/2009/9/main" objectType="CheckBox" fmlaLink="$A$46" lockText="1" noThreeD="1"/>
</file>

<file path=xl/ctrlProps/ctrlProp4501.xml><?xml version="1.0" encoding="utf-8"?>
<formControlPr xmlns="http://schemas.microsoft.com/office/spreadsheetml/2009/9/main" objectType="CheckBox" fmlaLink="$A$47" lockText="1" noThreeD="1"/>
</file>

<file path=xl/ctrlProps/ctrlProp4502.xml><?xml version="1.0" encoding="utf-8"?>
<formControlPr xmlns="http://schemas.microsoft.com/office/spreadsheetml/2009/9/main" objectType="CheckBox" fmlaLink="$A$48" lockText="1" noThreeD="1"/>
</file>

<file path=xl/ctrlProps/ctrlProp4503.xml><?xml version="1.0" encoding="utf-8"?>
<formControlPr xmlns="http://schemas.microsoft.com/office/spreadsheetml/2009/9/main" objectType="CheckBox" fmlaLink="$A$49" lockText="1" noThreeD="1"/>
</file>

<file path=xl/ctrlProps/ctrlProp4504.xml><?xml version="1.0" encoding="utf-8"?>
<formControlPr xmlns="http://schemas.microsoft.com/office/spreadsheetml/2009/9/main" objectType="Button" lockText="1"/>
</file>

<file path=xl/ctrlProps/ctrlProp4505.xml><?xml version="1.0" encoding="utf-8"?>
<formControlPr xmlns="http://schemas.microsoft.com/office/spreadsheetml/2009/9/main" objectType="Button" lockText="1"/>
</file>

<file path=xl/ctrlProps/ctrlProp4506.xml><?xml version="1.0" encoding="utf-8"?>
<formControlPr xmlns="http://schemas.microsoft.com/office/spreadsheetml/2009/9/main" objectType="CheckBox" fmlaLink="$A$40" lockText="1" noThreeD="1"/>
</file>

<file path=xl/ctrlProps/ctrlProp4507.xml><?xml version="1.0" encoding="utf-8"?>
<formControlPr xmlns="http://schemas.microsoft.com/office/spreadsheetml/2009/9/main" objectType="Button" lockText="1"/>
</file>

<file path=xl/ctrlProps/ctrlProp4508.xml><?xml version="1.0" encoding="utf-8"?>
<formControlPr xmlns="http://schemas.microsoft.com/office/spreadsheetml/2009/9/main" objectType="Button" lockText="1"/>
</file>

<file path=xl/ctrlProps/ctrlProp4509.xml><?xml version="1.0" encoding="utf-8"?>
<formControlPr xmlns="http://schemas.microsoft.com/office/spreadsheetml/2009/9/main" objectType="Button" lockText="1"/>
</file>

<file path=xl/ctrlProps/ctrlProp4510.xml><?xml version="1.0" encoding="utf-8"?>
<formControlPr xmlns="http://schemas.microsoft.com/office/spreadsheetml/2009/9/main" objectType="Button" lockText="1"/>
</file>

<file path=xl/ctrlProps/ctrlProp4511.xml><?xml version="1.0" encoding="utf-8"?>
<formControlPr xmlns="http://schemas.microsoft.com/office/spreadsheetml/2009/9/main" objectType="CheckBox" fmlaLink="$A$49" lockText="1" noThreeD="1"/>
</file>

<file path=xl/ctrlProps/ctrlProp4512.xml><?xml version="1.0" encoding="utf-8"?>
<formControlPr xmlns="http://schemas.microsoft.com/office/spreadsheetml/2009/9/main" objectType="CheckBox" checked="Checked" fmlaLink="$A$28" lockText="1" noThreeD="1"/>
</file>

<file path=xl/ctrlProps/ctrlProp4513.xml><?xml version="1.0" encoding="utf-8"?>
<formControlPr xmlns="http://schemas.microsoft.com/office/spreadsheetml/2009/9/main" objectType="CheckBox" checked="Checked" fmlaLink="$A$29" lockText="1" noThreeD="1"/>
</file>

<file path=xl/ctrlProps/ctrlProp4514.xml><?xml version="1.0" encoding="utf-8"?>
<formControlPr xmlns="http://schemas.microsoft.com/office/spreadsheetml/2009/9/main" objectType="CheckBox" checked="Checked" fmlaLink="$A$30" lockText="1" noThreeD="1"/>
</file>

<file path=xl/ctrlProps/ctrlProp4515.xml><?xml version="1.0" encoding="utf-8"?>
<formControlPr xmlns="http://schemas.microsoft.com/office/spreadsheetml/2009/9/main" objectType="CheckBox" checked="Checked" fmlaLink="$A$31" lockText="1" noThreeD="1"/>
</file>

<file path=xl/ctrlProps/ctrlProp4516.xml><?xml version="1.0" encoding="utf-8"?>
<formControlPr xmlns="http://schemas.microsoft.com/office/spreadsheetml/2009/9/main" objectType="CheckBox" checked="Checked" fmlaLink="$E$28" lockText="1" noThreeD="1"/>
</file>

<file path=xl/ctrlProps/ctrlProp4517.xml><?xml version="1.0" encoding="utf-8"?>
<formControlPr xmlns="http://schemas.microsoft.com/office/spreadsheetml/2009/9/main" objectType="CheckBox" fmlaLink="$E$29" lockText="1" noThreeD="1"/>
</file>

<file path=xl/ctrlProps/ctrlProp4518.xml><?xml version="1.0" encoding="utf-8"?>
<formControlPr xmlns="http://schemas.microsoft.com/office/spreadsheetml/2009/9/main" objectType="CheckBox" checked="Checked" fmlaLink="$E$30" lockText="1" noThreeD="1"/>
</file>

<file path=xl/ctrlProps/ctrlProp4519.xml><?xml version="1.0" encoding="utf-8"?>
<formControlPr xmlns="http://schemas.microsoft.com/office/spreadsheetml/2009/9/main" objectType="CheckBox" fmlaLink="$A$33" lockText="1" noThreeD="1"/>
</file>

<file path=xl/ctrlProps/ctrlProp4520.xml><?xml version="1.0" encoding="utf-8"?>
<formControlPr xmlns="http://schemas.microsoft.com/office/spreadsheetml/2009/9/main" objectType="CheckBox" fmlaLink="$A$34" lockText="1" noThreeD="1"/>
</file>

<file path=xl/ctrlProps/ctrlProp4521.xml><?xml version="1.0" encoding="utf-8"?>
<formControlPr xmlns="http://schemas.microsoft.com/office/spreadsheetml/2009/9/main" objectType="CheckBox" fmlaLink="$A$35" lockText="1" noThreeD="1"/>
</file>

<file path=xl/ctrlProps/ctrlProp4522.xml><?xml version="1.0" encoding="utf-8"?>
<formControlPr xmlns="http://schemas.microsoft.com/office/spreadsheetml/2009/9/main" objectType="CheckBox" fmlaLink="$A$36" lockText="1" noThreeD="1"/>
</file>

<file path=xl/ctrlProps/ctrlProp4523.xml><?xml version="1.0" encoding="utf-8"?>
<formControlPr xmlns="http://schemas.microsoft.com/office/spreadsheetml/2009/9/main" objectType="CheckBox" fmlaLink="$A$37" lockText="1" noThreeD="1"/>
</file>

<file path=xl/ctrlProps/ctrlProp4524.xml><?xml version="1.0" encoding="utf-8"?>
<formControlPr xmlns="http://schemas.microsoft.com/office/spreadsheetml/2009/9/main" objectType="CheckBox" fmlaLink="#REF!" lockText="1" noThreeD="1"/>
</file>

<file path=xl/ctrlProps/ctrlProp4525.xml><?xml version="1.0" encoding="utf-8"?>
<formControlPr xmlns="http://schemas.microsoft.com/office/spreadsheetml/2009/9/main" objectType="CheckBox" fmlaLink="#REF!" lockText="1" noThreeD="1"/>
</file>

<file path=xl/ctrlProps/ctrlProp4526.xml><?xml version="1.0" encoding="utf-8"?>
<formControlPr xmlns="http://schemas.microsoft.com/office/spreadsheetml/2009/9/main" objectType="CheckBox" fmlaLink="#REF!" lockText="1" noThreeD="1"/>
</file>

<file path=xl/ctrlProps/ctrlProp4527.xml><?xml version="1.0" encoding="utf-8"?>
<formControlPr xmlns="http://schemas.microsoft.com/office/spreadsheetml/2009/9/main" objectType="CheckBox" fmlaLink="#REF!" lockText="1" noThreeD="1"/>
</file>

<file path=xl/ctrlProps/ctrlProp4528.xml><?xml version="1.0" encoding="utf-8"?>
<formControlPr xmlns="http://schemas.microsoft.com/office/spreadsheetml/2009/9/main" objectType="Button" lockText="1"/>
</file>

<file path=xl/ctrlProps/ctrlProp4529.xml><?xml version="1.0" encoding="utf-8"?>
<formControlPr xmlns="http://schemas.microsoft.com/office/spreadsheetml/2009/9/main" objectType="Button" lockText="1"/>
</file>

<file path=xl/ctrlProps/ctrlProp4530.xml><?xml version="1.0" encoding="utf-8"?>
<formControlPr xmlns="http://schemas.microsoft.com/office/spreadsheetml/2009/9/main" objectType="CheckBox" fmlaLink="#REF!" lockText="1" noThreeD="1"/>
</file>

<file path=xl/ctrlProps/ctrlProp4531.xml><?xml version="1.0" encoding="utf-8"?>
<formControlPr xmlns="http://schemas.microsoft.com/office/spreadsheetml/2009/9/main" objectType="CheckBox" fmlaLink="#REF!" lockText="1" noThreeD="1"/>
</file>

<file path=xl/ctrlProps/ctrlProp4532.xml><?xml version="1.0" encoding="utf-8"?>
<formControlPr xmlns="http://schemas.microsoft.com/office/spreadsheetml/2009/9/main" objectType="CheckBox" fmlaLink="#REF!" lockText="1" noThreeD="1"/>
</file>

<file path=xl/ctrlProps/ctrlProp4533.xml><?xml version="1.0" encoding="utf-8"?>
<formControlPr xmlns="http://schemas.microsoft.com/office/spreadsheetml/2009/9/main" objectType="CheckBox" fmlaLink="#REF!" lockText="1" noThreeD="1"/>
</file>

<file path=xl/ctrlProps/ctrlProp4534.xml><?xml version="1.0" encoding="utf-8"?>
<formControlPr xmlns="http://schemas.microsoft.com/office/spreadsheetml/2009/9/main" objectType="CheckBox" fmlaLink="$A$43" lockText="1" noThreeD="1"/>
</file>

<file path=xl/ctrlProps/ctrlProp4535.xml><?xml version="1.0" encoding="utf-8"?>
<formControlPr xmlns="http://schemas.microsoft.com/office/spreadsheetml/2009/9/main" objectType="CheckBox" fmlaLink="$A$44" lockText="1" noThreeD="1"/>
</file>

<file path=xl/ctrlProps/ctrlProp4536.xml><?xml version="1.0" encoding="utf-8"?>
<formControlPr xmlns="http://schemas.microsoft.com/office/spreadsheetml/2009/9/main" objectType="CheckBox" fmlaLink="$A$45" lockText="1" noThreeD="1"/>
</file>

<file path=xl/ctrlProps/ctrlProp4537.xml><?xml version="1.0" encoding="utf-8"?>
<formControlPr xmlns="http://schemas.microsoft.com/office/spreadsheetml/2009/9/main" objectType="CheckBox" fmlaLink="$A$46" lockText="1" noThreeD="1"/>
</file>

<file path=xl/ctrlProps/ctrlProp4538.xml><?xml version="1.0" encoding="utf-8"?>
<formControlPr xmlns="http://schemas.microsoft.com/office/spreadsheetml/2009/9/main" objectType="CheckBox" fmlaLink="$A$47" lockText="1" noThreeD="1"/>
</file>

<file path=xl/ctrlProps/ctrlProp4539.xml><?xml version="1.0" encoding="utf-8"?>
<formControlPr xmlns="http://schemas.microsoft.com/office/spreadsheetml/2009/9/main" objectType="CheckBox" fmlaLink="$A$48" lockText="1" noThreeD="1"/>
</file>

<file path=xl/ctrlProps/ctrlProp4540.xml><?xml version="1.0" encoding="utf-8"?>
<formControlPr xmlns="http://schemas.microsoft.com/office/spreadsheetml/2009/9/main" objectType="CheckBox" fmlaLink="$A$49" lockText="1" noThreeD="1"/>
</file>

<file path=xl/ctrlProps/ctrlProp4541.xml><?xml version="1.0" encoding="utf-8"?>
<formControlPr xmlns="http://schemas.microsoft.com/office/spreadsheetml/2009/9/main" objectType="Button" lockText="1"/>
</file>

<file path=xl/ctrlProps/ctrlProp4542.xml><?xml version="1.0" encoding="utf-8"?>
<formControlPr xmlns="http://schemas.microsoft.com/office/spreadsheetml/2009/9/main" objectType="Button" lockText="1"/>
</file>

<file path=xl/ctrlProps/ctrlProp4543.xml><?xml version="1.0" encoding="utf-8"?>
<formControlPr xmlns="http://schemas.microsoft.com/office/spreadsheetml/2009/9/main" objectType="CheckBox" fmlaLink="$A$40" lockText="1" noThreeD="1"/>
</file>

<file path=xl/ctrlProps/ctrlProp4544.xml><?xml version="1.0" encoding="utf-8"?>
<formControlPr xmlns="http://schemas.microsoft.com/office/spreadsheetml/2009/9/main" objectType="Button" lockText="1"/>
</file>

<file path=xl/ctrlProps/ctrlProp4545.xml><?xml version="1.0" encoding="utf-8"?>
<formControlPr xmlns="http://schemas.microsoft.com/office/spreadsheetml/2009/9/main" objectType="Button" lockText="1"/>
</file>

<file path=xl/ctrlProps/ctrlProp4546.xml><?xml version="1.0" encoding="utf-8"?>
<formControlPr xmlns="http://schemas.microsoft.com/office/spreadsheetml/2009/9/main" objectType="Button" lockText="1"/>
</file>

<file path=xl/ctrlProps/ctrlProp4547.xml><?xml version="1.0" encoding="utf-8"?>
<formControlPr xmlns="http://schemas.microsoft.com/office/spreadsheetml/2009/9/main" objectType="Button" lockText="1"/>
</file>

<file path=xl/ctrlProps/ctrlProp4548.xml><?xml version="1.0" encoding="utf-8"?>
<formControlPr xmlns="http://schemas.microsoft.com/office/spreadsheetml/2009/9/main" objectType="CheckBox" fmlaLink="$A$49" lockText="1" noThreeD="1"/>
</file>

<file path=xl/ctrlProps/ctrlProp4549.xml><?xml version="1.0" encoding="utf-8"?>
<formControlPr xmlns="http://schemas.microsoft.com/office/spreadsheetml/2009/9/main" objectType="CheckBox" checked="Checked" fmlaLink="$A$28" lockText="1" noThreeD="1"/>
</file>

<file path=xl/ctrlProps/ctrlProp4550.xml><?xml version="1.0" encoding="utf-8"?>
<formControlPr xmlns="http://schemas.microsoft.com/office/spreadsheetml/2009/9/main" objectType="CheckBox" checked="Checked" fmlaLink="$A$29" lockText="1" noThreeD="1"/>
</file>

<file path=xl/ctrlProps/ctrlProp4551.xml><?xml version="1.0" encoding="utf-8"?>
<formControlPr xmlns="http://schemas.microsoft.com/office/spreadsheetml/2009/9/main" objectType="CheckBox" checked="Checked" fmlaLink="$A$30" lockText="1" noThreeD="1"/>
</file>

<file path=xl/ctrlProps/ctrlProp4552.xml><?xml version="1.0" encoding="utf-8"?>
<formControlPr xmlns="http://schemas.microsoft.com/office/spreadsheetml/2009/9/main" objectType="CheckBox" checked="Checked" fmlaLink="$A$31" lockText="1" noThreeD="1"/>
</file>

<file path=xl/ctrlProps/ctrlProp4553.xml><?xml version="1.0" encoding="utf-8"?>
<formControlPr xmlns="http://schemas.microsoft.com/office/spreadsheetml/2009/9/main" objectType="CheckBox" checked="Checked" fmlaLink="$E$28" lockText="1" noThreeD="1"/>
</file>

<file path=xl/ctrlProps/ctrlProp4554.xml><?xml version="1.0" encoding="utf-8"?>
<formControlPr xmlns="http://schemas.microsoft.com/office/spreadsheetml/2009/9/main" objectType="CheckBox" checked="Checked" fmlaLink="$E$29" lockText="1" noThreeD="1"/>
</file>

<file path=xl/ctrlProps/ctrlProp4555.xml><?xml version="1.0" encoding="utf-8"?>
<formControlPr xmlns="http://schemas.microsoft.com/office/spreadsheetml/2009/9/main" objectType="CheckBox" fmlaLink="$E$30" lockText="1" noThreeD="1"/>
</file>

<file path=xl/ctrlProps/ctrlProp4556.xml><?xml version="1.0" encoding="utf-8"?>
<formControlPr xmlns="http://schemas.microsoft.com/office/spreadsheetml/2009/9/main" objectType="CheckBox" fmlaLink="$A$33" lockText="1" noThreeD="1"/>
</file>

<file path=xl/ctrlProps/ctrlProp4557.xml><?xml version="1.0" encoding="utf-8"?>
<formControlPr xmlns="http://schemas.microsoft.com/office/spreadsheetml/2009/9/main" objectType="CheckBox" fmlaLink="$A$34" lockText="1" noThreeD="1"/>
</file>

<file path=xl/ctrlProps/ctrlProp4558.xml><?xml version="1.0" encoding="utf-8"?>
<formControlPr xmlns="http://schemas.microsoft.com/office/spreadsheetml/2009/9/main" objectType="CheckBox" fmlaLink="$A$35" lockText="1" noThreeD="1"/>
</file>

<file path=xl/ctrlProps/ctrlProp4559.xml><?xml version="1.0" encoding="utf-8"?>
<formControlPr xmlns="http://schemas.microsoft.com/office/spreadsheetml/2009/9/main" objectType="CheckBox" fmlaLink="$A$36" lockText="1" noThreeD="1"/>
</file>

<file path=xl/ctrlProps/ctrlProp4560.xml><?xml version="1.0" encoding="utf-8"?>
<formControlPr xmlns="http://schemas.microsoft.com/office/spreadsheetml/2009/9/main" objectType="CheckBox" fmlaLink="$A$37" lockText="1" noThreeD="1"/>
</file>

<file path=xl/ctrlProps/ctrlProp4561.xml><?xml version="1.0" encoding="utf-8"?>
<formControlPr xmlns="http://schemas.microsoft.com/office/spreadsheetml/2009/9/main" objectType="CheckBox" fmlaLink="#REF!" lockText="1" noThreeD="1"/>
</file>

<file path=xl/ctrlProps/ctrlProp4562.xml><?xml version="1.0" encoding="utf-8"?>
<formControlPr xmlns="http://schemas.microsoft.com/office/spreadsheetml/2009/9/main" objectType="CheckBox" fmlaLink="#REF!" lockText="1" noThreeD="1"/>
</file>

<file path=xl/ctrlProps/ctrlProp4563.xml><?xml version="1.0" encoding="utf-8"?>
<formControlPr xmlns="http://schemas.microsoft.com/office/spreadsheetml/2009/9/main" objectType="CheckBox" fmlaLink="#REF!" lockText="1" noThreeD="1"/>
</file>

<file path=xl/ctrlProps/ctrlProp4564.xml><?xml version="1.0" encoding="utf-8"?>
<formControlPr xmlns="http://schemas.microsoft.com/office/spreadsheetml/2009/9/main" objectType="CheckBox" fmlaLink="#REF!" lockText="1" noThreeD="1"/>
</file>

<file path=xl/ctrlProps/ctrlProp4565.xml><?xml version="1.0" encoding="utf-8"?>
<formControlPr xmlns="http://schemas.microsoft.com/office/spreadsheetml/2009/9/main" objectType="Button" lockText="1"/>
</file>

<file path=xl/ctrlProps/ctrlProp4566.xml><?xml version="1.0" encoding="utf-8"?>
<formControlPr xmlns="http://schemas.microsoft.com/office/spreadsheetml/2009/9/main" objectType="Button" lockText="1"/>
</file>

<file path=xl/ctrlProps/ctrlProp4567.xml><?xml version="1.0" encoding="utf-8"?>
<formControlPr xmlns="http://schemas.microsoft.com/office/spreadsheetml/2009/9/main" objectType="CheckBox" fmlaLink="#REF!" lockText="1" noThreeD="1"/>
</file>

<file path=xl/ctrlProps/ctrlProp4568.xml><?xml version="1.0" encoding="utf-8"?>
<formControlPr xmlns="http://schemas.microsoft.com/office/spreadsheetml/2009/9/main" objectType="CheckBox" fmlaLink="#REF!" lockText="1" noThreeD="1"/>
</file>

<file path=xl/ctrlProps/ctrlProp4569.xml><?xml version="1.0" encoding="utf-8"?>
<formControlPr xmlns="http://schemas.microsoft.com/office/spreadsheetml/2009/9/main" objectType="CheckBox" fmlaLink="#REF!" lockText="1" noThreeD="1"/>
</file>

<file path=xl/ctrlProps/ctrlProp4570.xml><?xml version="1.0" encoding="utf-8"?>
<formControlPr xmlns="http://schemas.microsoft.com/office/spreadsheetml/2009/9/main" objectType="CheckBox" fmlaLink="#REF!" lockText="1" noThreeD="1"/>
</file>

<file path=xl/ctrlProps/ctrlProp4571.xml><?xml version="1.0" encoding="utf-8"?>
<formControlPr xmlns="http://schemas.microsoft.com/office/spreadsheetml/2009/9/main" objectType="CheckBox" checked="Checked" fmlaLink="$A$28" lockText="1" noThreeD="1"/>
</file>

<file path=xl/ctrlProps/ctrlProp4572.xml><?xml version="1.0" encoding="utf-8"?>
<formControlPr xmlns="http://schemas.microsoft.com/office/spreadsheetml/2009/9/main" objectType="CheckBox" checked="Checked" fmlaLink="$A$29" lockText="1" noThreeD="1"/>
</file>

<file path=xl/ctrlProps/ctrlProp4573.xml><?xml version="1.0" encoding="utf-8"?>
<formControlPr xmlns="http://schemas.microsoft.com/office/spreadsheetml/2009/9/main" objectType="CheckBox" checked="Checked" fmlaLink="$A$30" lockText="1" noThreeD="1"/>
</file>

<file path=xl/ctrlProps/ctrlProp4574.xml><?xml version="1.0" encoding="utf-8"?>
<formControlPr xmlns="http://schemas.microsoft.com/office/spreadsheetml/2009/9/main" objectType="CheckBox" checked="Checked" fmlaLink="$A$31" lockText="1" noThreeD="1"/>
</file>

<file path=xl/ctrlProps/ctrlProp4575.xml><?xml version="1.0" encoding="utf-8"?>
<formControlPr xmlns="http://schemas.microsoft.com/office/spreadsheetml/2009/9/main" objectType="CheckBox" checked="Checked" fmlaLink="$E$28" lockText="1" noThreeD="1"/>
</file>

<file path=xl/ctrlProps/ctrlProp4576.xml><?xml version="1.0" encoding="utf-8"?>
<formControlPr xmlns="http://schemas.microsoft.com/office/spreadsheetml/2009/9/main" objectType="CheckBox" checked="Checked" fmlaLink="$E$29" lockText="1" noThreeD="1"/>
</file>

<file path=xl/ctrlProps/ctrlProp4577.xml><?xml version="1.0" encoding="utf-8"?>
<formControlPr xmlns="http://schemas.microsoft.com/office/spreadsheetml/2009/9/main" objectType="CheckBox" checked="Checked" fmlaLink="$E$30" lockText="1" noThreeD="1"/>
</file>

<file path=xl/ctrlProps/ctrlProp4578.xml><?xml version="1.0" encoding="utf-8"?>
<formControlPr xmlns="http://schemas.microsoft.com/office/spreadsheetml/2009/9/main" objectType="CheckBox" fmlaLink="$A$33" lockText="1" noThreeD="1"/>
</file>

<file path=xl/ctrlProps/ctrlProp4579.xml><?xml version="1.0" encoding="utf-8"?>
<formControlPr xmlns="http://schemas.microsoft.com/office/spreadsheetml/2009/9/main" objectType="CheckBox" checked="Checked" fmlaLink="$A$34" lockText="1" noThreeD="1"/>
</file>

<file path=xl/ctrlProps/ctrlProp4580.xml><?xml version="1.0" encoding="utf-8"?>
<formControlPr xmlns="http://schemas.microsoft.com/office/spreadsheetml/2009/9/main" objectType="CheckBox" checked="Checked" fmlaLink="$A$35" lockText="1" noThreeD="1"/>
</file>

<file path=xl/ctrlProps/ctrlProp4581.xml><?xml version="1.0" encoding="utf-8"?>
<formControlPr xmlns="http://schemas.microsoft.com/office/spreadsheetml/2009/9/main" objectType="CheckBox" checked="Checked" fmlaLink="$A$36" lockText="1" noThreeD="1"/>
</file>

<file path=xl/ctrlProps/ctrlProp4582.xml><?xml version="1.0" encoding="utf-8"?>
<formControlPr xmlns="http://schemas.microsoft.com/office/spreadsheetml/2009/9/main" objectType="CheckBox" fmlaLink="$A$37" lockText="1" noThreeD="1"/>
</file>

<file path=xl/ctrlProps/ctrlProp4583.xml><?xml version="1.0" encoding="utf-8"?>
<formControlPr xmlns="http://schemas.microsoft.com/office/spreadsheetml/2009/9/main" objectType="CheckBox" fmlaLink="#REF!" lockText="1" noThreeD="1"/>
</file>

<file path=xl/ctrlProps/ctrlProp4584.xml><?xml version="1.0" encoding="utf-8"?>
<formControlPr xmlns="http://schemas.microsoft.com/office/spreadsheetml/2009/9/main" objectType="CheckBox" fmlaLink="#REF!" lockText="1" noThreeD="1"/>
</file>

<file path=xl/ctrlProps/ctrlProp4585.xml><?xml version="1.0" encoding="utf-8"?>
<formControlPr xmlns="http://schemas.microsoft.com/office/spreadsheetml/2009/9/main" objectType="CheckBox" fmlaLink="#REF!" lockText="1" noThreeD="1"/>
</file>

<file path=xl/ctrlProps/ctrlProp4586.xml><?xml version="1.0" encoding="utf-8"?>
<formControlPr xmlns="http://schemas.microsoft.com/office/spreadsheetml/2009/9/main" objectType="CheckBox" fmlaLink="#REF!" lockText="1" noThreeD="1"/>
</file>

<file path=xl/ctrlProps/ctrlProp4587.xml><?xml version="1.0" encoding="utf-8"?>
<formControlPr xmlns="http://schemas.microsoft.com/office/spreadsheetml/2009/9/main" objectType="CheckBox" fmlaLink="$A$43" lockText="1" noThreeD="1"/>
</file>

<file path=xl/ctrlProps/ctrlProp4588.xml><?xml version="1.0" encoding="utf-8"?>
<formControlPr xmlns="http://schemas.microsoft.com/office/spreadsheetml/2009/9/main" objectType="CheckBox" fmlaLink="$A$44" lockText="1" noThreeD="1"/>
</file>

<file path=xl/ctrlProps/ctrlProp4589.xml><?xml version="1.0" encoding="utf-8"?>
<formControlPr xmlns="http://schemas.microsoft.com/office/spreadsheetml/2009/9/main" objectType="CheckBox" fmlaLink="$A$45" lockText="1" noThreeD="1"/>
</file>

<file path=xl/ctrlProps/ctrlProp4590.xml><?xml version="1.0" encoding="utf-8"?>
<formControlPr xmlns="http://schemas.microsoft.com/office/spreadsheetml/2009/9/main" objectType="CheckBox" fmlaLink="$A$46" lockText="1" noThreeD="1"/>
</file>

<file path=xl/ctrlProps/ctrlProp4591.xml><?xml version="1.0" encoding="utf-8"?>
<formControlPr xmlns="http://schemas.microsoft.com/office/spreadsheetml/2009/9/main" objectType="CheckBox" fmlaLink="$A$47" lockText="1" noThreeD="1"/>
</file>

<file path=xl/ctrlProps/ctrlProp4592.xml><?xml version="1.0" encoding="utf-8"?>
<formControlPr xmlns="http://schemas.microsoft.com/office/spreadsheetml/2009/9/main" objectType="CheckBox" fmlaLink="$A$48" lockText="1" noThreeD="1"/>
</file>

<file path=xl/ctrlProps/ctrlProp4593.xml><?xml version="1.0" encoding="utf-8"?>
<formControlPr xmlns="http://schemas.microsoft.com/office/spreadsheetml/2009/9/main" objectType="CheckBox" fmlaLink="$A$49" lockText="1" noThreeD="1"/>
</file>

<file path=xl/ctrlProps/ctrlProp4594.xml><?xml version="1.0" encoding="utf-8"?>
<formControlPr xmlns="http://schemas.microsoft.com/office/spreadsheetml/2009/9/main" objectType="Button" lockText="1"/>
</file>

<file path=xl/ctrlProps/ctrlProp4595.xml><?xml version="1.0" encoding="utf-8"?>
<formControlPr xmlns="http://schemas.microsoft.com/office/spreadsheetml/2009/9/main" objectType="Button" lockText="1"/>
</file>

<file path=xl/ctrlProps/ctrlProp4596.xml><?xml version="1.0" encoding="utf-8"?>
<formControlPr xmlns="http://schemas.microsoft.com/office/spreadsheetml/2009/9/main" objectType="CheckBox" fmlaLink="$A$40" lockText="1" noThreeD="1"/>
</file>

<file path=xl/ctrlProps/ctrlProp4597.xml><?xml version="1.0" encoding="utf-8"?>
<formControlPr xmlns="http://schemas.microsoft.com/office/spreadsheetml/2009/9/main" objectType="Button" lockText="1"/>
</file>

<file path=xl/ctrlProps/ctrlProp4598.xml><?xml version="1.0" encoding="utf-8"?>
<formControlPr xmlns="http://schemas.microsoft.com/office/spreadsheetml/2009/9/main" objectType="Button" lockText="1"/>
</file>

<file path=xl/ctrlProps/ctrlProp4599.xml><?xml version="1.0" encoding="utf-8"?>
<formControlPr xmlns="http://schemas.microsoft.com/office/spreadsheetml/2009/9/main" objectType="Button" lockText="1"/>
</file>

<file path=xl/ctrlProps/ctrlProp4600.xml><?xml version="1.0" encoding="utf-8"?>
<formControlPr xmlns="http://schemas.microsoft.com/office/spreadsheetml/2009/9/main" objectType="Button" lockText="1"/>
</file>

<file path=xl/ctrlProps/ctrlProp4601.xml><?xml version="1.0" encoding="utf-8"?>
<formControlPr xmlns="http://schemas.microsoft.com/office/spreadsheetml/2009/9/main" objectType="Button" lockText="1"/>
</file>

<file path=xl/ctrlProps/ctrlProp4602.xml><?xml version="1.0" encoding="utf-8"?>
<formControlPr xmlns="http://schemas.microsoft.com/office/spreadsheetml/2009/9/main" objectType="Button" lockText="1"/>
</file>

<file path=xl/ctrlProps/ctrlProp4603.xml><?xml version="1.0" encoding="utf-8"?>
<formControlPr xmlns="http://schemas.microsoft.com/office/spreadsheetml/2009/9/main" objectType="CheckBox" fmlaLink="$A$49" lockText="1" noThreeD="1"/>
</file>

<file path=xl/ctrlProps/ctrlProp4604.xml><?xml version="1.0" encoding="utf-8"?>
<formControlPr xmlns="http://schemas.microsoft.com/office/spreadsheetml/2009/9/main" objectType="CheckBox" fmlaLink="#REF!" lockText="1" noThreeD="1"/>
</file>

<file path=xl/ctrlProps/ctrlProp4605.xml><?xml version="1.0" encoding="utf-8"?>
<formControlPr xmlns="http://schemas.microsoft.com/office/spreadsheetml/2009/9/main" objectType="CheckBox" fmlaLink="#REF!" lockText="1" noThreeD="1"/>
</file>

<file path=xl/ctrlProps/ctrlProp4606.xml><?xml version="1.0" encoding="utf-8"?>
<formControlPr xmlns="http://schemas.microsoft.com/office/spreadsheetml/2009/9/main" objectType="CheckBox" fmlaLink="#REF!" lockText="1" noThreeD="1"/>
</file>

<file path=xl/ctrlProps/ctrlProp4607.xml><?xml version="1.0" encoding="utf-8"?>
<formControlPr xmlns="http://schemas.microsoft.com/office/spreadsheetml/2009/9/main" objectType="CheckBox" fmlaLink="#REF!" lockText="1" noThreeD="1"/>
</file>

<file path=xl/ctrlProps/ctrlProp4608.xml><?xml version="1.0" encoding="utf-8"?>
<formControlPr xmlns="http://schemas.microsoft.com/office/spreadsheetml/2009/9/main" objectType="CheckBox" fmlaLink="#REF!" lockText="1" noThreeD="1"/>
</file>

<file path=xl/ctrlProps/ctrlProp4609.xml><?xml version="1.0" encoding="utf-8"?>
<formControlPr xmlns="http://schemas.microsoft.com/office/spreadsheetml/2009/9/main" objectType="CheckBox" fmlaLink="#REF!" lockText="1" noThreeD="1"/>
</file>

<file path=xl/ctrlProps/ctrlProp4610.xml><?xml version="1.0" encoding="utf-8"?>
<formControlPr xmlns="http://schemas.microsoft.com/office/spreadsheetml/2009/9/main" objectType="CheckBox" fmlaLink="#REF!" lockText="1" noThreeD="1"/>
</file>

<file path=xl/ctrlProps/ctrlProp4611.xml><?xml version="1.0" encoding="utf-8"?>
<formControlPr xmlns="http://schemas.microsoft.com/office/spreadsheetml/2009/9/main" objectType="CheckBox" fmlaLink="#REF!" lockText="1" noThreeD="1"/>
</file>

<file path=xl/ctrlProps/ctrlProp4612.xml><?xml version="1.0" encoding="utf-8"?>
<formControlPr xmlns="http://schemas.microsoft.com/office/spreadsheetml/2009/9/main" objectType="CheckBox" fmlaLink="#REF!" lockText="1" noThreeD="1"/>
</file>

<file path=xl/ctrlProps/ctrlProp4613.xml><?xml version="1.0" encoding="utf-8"?>
<formControlPr xmlns="http://schemas.microsoft.com/office/spreadsheetml/2009/9/main" objectType="CheckBox" fmlaLink="#REF!" lockText="1" noThreeD="1"/>
</file>

<file path=xl/ctrlProps/ctrlProp4614.xml><?xml version="1.0" encoding="utf-8"?>
<formControlPr xmlns="http://schemas.microsoft.com/office/spreadsheetml/2009/9/main" objectType="CheckBox" checked="Checked" fmlaLink="$A$28" lockText="1" noThreeD="1"/>
</file>

<file path=xl/ctrlProps/ctrlProp4615.xml><?xml version="1.0" encoding="utf-8"?>
<formControlPr xmlns="http://schemas.microsoft.com/office/spreadsheetml/2009/9/main" objectType="CheckBox" checked="Checked" fmlaLink="$A$29" lockText="1" noThreeD="1"/>
</file>

<file path=xl/ctrlProps/ctrlProp4616.xml><?xml version="1.0" encoding="utf-8"?>
<formControlPr xmlns="http://schemas.microsoft.com/office/spreadsheetml/2009/9/main" objectType="CheckBox" checked="Checked" fmlaLink="$A$30" lockText="1" noThreeD="1"/>
</file>

<file path=xl/ctrlProps/ctrlProp4617.xml><?xml version="1.0" encoding="utf-8"?>
<formControlPr xmlns="http://schemas.microsoft.com/office/spreadsheetml/2009/9/main" objectType="CheckBox" fmlaLink="$A$31" lockText="1" noThreeD="1"/>
</file>

<file path=xl/ctrlProps/ctrlProp4618.xml><?xml version="1.0" encoding="utf-8"?>
<formControlPr xmlns="http://schemas.microsoft.com/office/spreadsheetml/2009/9/main" objectType="CheckBox" checked="Checked" fmlaLink="$E$28" lockText="1" noThreeD="1"/>
</file>

<file path=xl/ctrlProps/ctrlProp4619.xml><?xml version="1.0" encoding="utf-8"?>
<formControlPr xmlns="http://schemas.microsoft.com/office/spreadsheetml/2009/9/main" objectType="CheckBox" checked="Checked" fmlaLink="$E$29" lockText="1" noThreeD="1"/>
</file>

<file path=xl/ctrlProps/ctrlProp4620.xml><?xml version="1.0" encoding="utf-8"?>
<formControlPr xmlns="http://schemas.microsoft.com/office/spreadsheetml/2009/9/main" objectType="CheckBox" fmlaLink="$E$30" lockText="1" noThreeD="1"/>
</file>

<file path=xl/ctrlProps/ctrlProp4621.xml><?xml version="1.0" encoding="utf-8"?>
<formControlPr xmlns="http://schemas.microsoft.com/office/spreadsheetml/2009/9/main" objectType="CheckBox" checked="Checked" fmlaLink="$A$33" lockText="1" noThreeD="1"/>
</file>

<file path=xl/ctrlProps/ctrlProp4622.xml><?xml version="1.0" encoding="utf-8"?>
<formControlPr xmlns="http://schemas.microsoft.com/office/spreadsheetml/2009/9/main" objectType="CheckBox" fmlaLink="$A$34" lockText="1" noThreeD="1"/>
</file>

<file path=xl/ctrlProps/ctrlProp4623.xml><?xml version="1.0" encoding="utf-8"?>
<formControlPr xmlns="http://schemas.microsoft.com/office/spreadsheetml/2009/9/main" objectType="CheckBox" checked="Checked" fmlaLink="$A$35" lockText="1" noThreeD="1"/>
</file>

<file path=xl/ctrlProps/ctrlProp4624.xml><?xml version="1.0" encoding="utf-8"?>
<formControlPr xmlns="http://schemas.microsoft.com/office/spreadsheetml/2009/9/main" objectType="CheckBox" checked="Checked" fmlaLink="$A$36" lockText="1" noThreeD="1"/>
</file>

<file path=xl/ctrlProps/ctrlProp4625.xml><?xml version="1.0" encoding="utf-8"?>
<formControlPr xmlns="http://schemas.microsoft.com/office/spreadsheetml/2009/9/main" objectType="CheckBox" fmlaLink="$A$37" lockText="1" noThreeD="1"/>
</file>

<file path=xl/ctrlProps/ctrlProp4626.xml><?xml version="1.0" encoding="utf-8"?>
<formControlPr xmlns="http://schemas.microsoft.com/office/spreadsheetml/2009/9/main" objectType="CheckBox" fmlaLink="#REF!" lockText="1" noThreeD="1"/>
</file>

<file path=xl/ctrlProps/ctrlProp4627.xml><?xml version="1.0" encoding="utf-8"?>
<formControlPr xmlns="http://schemas.microsoft.com/office/spreadsheetml/2009/9/main" objectType="CheckBox" fmlaLink="#REF!" lockText="1" noThreeD="1"/>
</file>

<file path=xl/ctrlProps/ctrlProp4628.xml><?xml version="1.0" encoding="utf-8"?>
<formControlPr xmlns="http://schemas.microsoft.com/office/spreadsheetml/2009/9/main" objectType="CheckBox" fmlaLink="#REF!" lockText="1" noThreeD="1"/>
</file>

<file path=xl/ctrlProps/ctrlProp4629.xml><?xml version="1.0" encoding="utf-8"?>
<formControlPr xmlns="http://schemas.microsoft.com/office/spreadsheetml/2009/9/main" objectType="CheckBox" fmlaLink="#REF!" lockText="1" noThreeD="1"/>
</file>

<file path=xl/ctrlProps/ctrlProp4630.xml><?xml version="1.0" encoding="utf-8"?>
<formControlPr xmlns="http://schemas.microsoft.com/office/spreadsheetml/2009/9/main" objectType="CheckBox" fmlaLink="$A$43" lockText="1" noThreeD="1"/>
</file>

<file path=xl/ctrlProps/ctrlProp4631.xml><?xml version="1.0" encoding="utf-8"?>
<formControlPr xmlns="http://schemas.microsoft.com/office/spreadsheetml/2009/9/main" objectType="CheckBox" fmlaLink="$A$44" lockText="1" noThreeD="1"/>
</file>

<file path=xl/ctrlProps/ctrlProp4632.xml><?xml version="1.0" encoding="utf-8"?>
<formControlPr xmlns="http://schemas.microsoft.com/office/spreadsheetml/2009/9/main" objectType="CheckBox" fmlaLink="$A$45" lockText="1" noThreeD="1"/>
</file>

<file path=xl/ctrlProps/ctrlProp4633.xml><?xml version="1.0" encoding="utf-8"?>
<formControlPr xmlns="http://schemas.microsoft.com/office/spreadsheetml/2009/9/main" objectType="CheckBox" fmlaLink="$A$46" lockText="1" noThreeD="1"/>
</file>

<file path=xl/ctrlProps/ctrlProp4634.xml><?xml version="1.0" encoding="utf-8"?>
<formControlPr xmlns="http://schemas.microsoft.com/office/spreadsheetml/2009/9/main" objectType="CheckBox" fmlaLink="$A$47" lockText="1" noThreeD="1"/>
</file>

<file path=xl/ctrlProps/ctrlProp4635.xml><?xml version="1.0" encoding="utf-8"?>
<formControlPr xmlns="http://schemas.microsoft.com/office/spreadsheetml/2009/9/main" objectType="CheckBox" fmlaLink="$A$48" lockText="1" noThreeD="1"/>
</file>

<file path=xl/ctrlProps/ctrlProp4636.xml><?xml version="1.0" encoding="utf-8"?>
<formControlPr xmlns="http://schemas.microsoft.com/office/spreadsheetml/2009/9/main" objectType="CheckBox" fmlaLink="$A$49" lockText="1" noThreeD="1"/>
</file>

<file path=xl/ctrlProps/ctrlProp4637.xml><?xml version="1.0" encoding="utf-8"?>
<formControlPr xmlns="http://schemas.microsoft.com/office/spreadsheetml/2009/9/main" objectType="Button" lockText="1"/>
</file>

<file path=xl/ctrlProps/ctrlProp4638.xml><?xml version="1.0" encoding="utf-8"?>
<formControlPr xmlns="http://schemas.microsoft.com/office/spreadsheetml/2009/9/main" objectType="Button" lockText="1"/>
</file>

<file path=xl/ctrlProps/ctrlProp4639.xml><?xml version="1.0" encoding="utf-8"?>
<formControlPr xmlns="http://schemas.microsoft.com/office/spreadsheetml/2009/9/main" objectType="CheckBox" fmlaLink="$A$40" lockText="1" noThreeD="1"/>
</file>

<file path=xl/ctrlProps/ctrlProp4640.xml><?xml version="1.0" encoding="utf-8"?>
<formControlPr xmlns="http://schemas.microsoft.com/office/spreadsheetml/2009/9/main" objectType="Button" lockText="1"/>
</file>

<file path=xl/ctrlProps/ctrlProp4641.xml><?xml version="1.0" encoding="utf-8"?>
<formControlPr xmlns="http://schemas.microsoft.com/office/spreadsheetml/2009/9/main" objectType="Button" lockText="1"/>
</file>

<file path=xl/ctrlProps/ctrlProp4642.xml><?xml version="1.0" encoding="utf-8"?>
<formControlPr xmlns="http://schemas.microsoft.com/office/spreadsheetml/2009/9/main" objectType="Button" lockText="1"/>
</file>

<file path=xl/ctrlProps/ctrlProp4643.xml><?xml version="1.0" encoding="utf-8"?>
<formControlPr xmlns="http://schemas.microsoft.com/office/spreadsheetml/2009/9/main" objectType="Button" lockText="1"/>
</file>

<file path=xl/ctrlProps/ctrlProp4644.xml><?xml version="1.0" encoding="utf-8"?>
<formControlPr xmlns="http://schemas.microsoft.com/office/spreadsheetml/2009/9/main" objectType="Button" lockText="1"/>
</file>

<file path=xl/ctrlProps/ctrlProp4645.xml><?xml version="1.0" encoding="utf-8"?>
<formControlPr xmlns="http://schemas.microsoft.com/office/spreadsheetml/2009/9/main" objectType="Button" lockText="1"/>
</file>

<file path=xl/ctrlProps/ctrlProp4646.xml><?xml version="1.0" encoding="utf-8"?>
<formControlPr xmlns="http://schemas.microsoft.com/office/spreadsheetml/2009/9/main" objectType="CheckBox" fmlaLink="$A$49" lockText="1" noThreeD="1"/>
</file>

<file path=xl/ctrlProps/ctrlProp4647.xml><?xml version="1.0" encoding="utf-8"?>
<formControlPr xmlns="http://schemas.microsoft.com/office/spreadsheetml/2009/9/main" objectType="CheckBox" fmlaLink="#REF!" lockText="1" noThreeD="1"/>
</file>

<file path=xl/ctrlProps/ctrlProp4648.xml><?xml version="1.0" encoding="utf-8"?>
<formControlPr xmlns="http://schemas.microsoft.com/office/spreadsheetml/2009/9/main" objectType="CheckBox" fmlaLink="#REF!" lockText="1" noThreeD="1"/>
</file>

<file path=xl/ctrlProps/ctrlProp4649.xml><?xml version="1.0" encoding="utf-8"?>
<formControlPr xmlns="http://schemas.microsoft.com/office/spreadsheetml/2009/9/main" objectType="CheckBox" fmlaLink="#REF!" lockText="1" noThreeD="1"/>
</file>

<file path=xl/ctrlProps/ctrlProp4650.xml><?xml version="1.0" encoding="utf-8"?>
<formControlPr xmlns="http://schemas.microsoft.com/office/spreadsheetml/2009/9/main" objectType="CheckBox" fmlaLink="#REF!" lockText="1" noThreeD="1"/>
</file>

<file path=xl/ctrlProps/ctrlProp4651.xml><?xml version="1.0" encoding="utf-8"?>
<formControlPr xmlns="http://schemas.microsoft.com/office/spreadsheetml/2009/9/main" objectType="CheckBox" fmlaLink="#REF!" lockText="1" noThreeD="1"/>
</file>

<file path=xl/ctrlProps/ctrlProp4652.xml><?xml version="1.0" encoding="utf-8"?>
<formControlPr xmlns="http://schemas.microsoft.com/office/spreadsheetml/2009/9/main" objectType="CheckBox" fmlaLink="#REF!" lockText="1" noThreeD="1"/>
</file>

<file path=xl/ctrlProps/ctrlProp4653.xml><?xml version="1.0" encoding="utf-8"?>
<formControlPr xmlns="http://schemas.microsoft.com/office/spreadsheetml/2009/9/main" objectType="CheckBox" fmlaLink="#REF!" lockText="1" noThreeD="1"/>
</file>

<file path=xl/ctrlProps/ctrlProp4654.xml><?xml version="1.0" encoding="utf-8"?>
<formControlPr xmlns="http://schemas.microsoft.com/office/spreadsheetml/2009/9/main" objectType="CheckBox" fmlaLink="#REF!" lockText="1" noThreeD="1"/>
</file>

<file path=xl/ctrlProps/ctrlProp4655.xml><?xml version="1.0" encoding="utf-8"?>
<formControlPr xmlns="http://schemas.microsoft.com/office/spreadsheetml/2009/9/main" objectType="CheckBox" fmlaLink="#REF!" lockText="1" noThreeD="1"/>
</file>

<file path=xl/ctrlProps/ctrlProp4656.xml><?xml version="1.0" encoding="utf-8"?>
<formControlPr xmlns="http://schemas.microsoft.com/office/spreadsheetml/2009/9/main" objectType="CheckBox" checked="Checked" fmlaLink="$A$28" lockText="1" noThreeD="1"/>
</file>

<file path=xl/ctrlProps/ctrlProp4657.xml><?xml version="1.0" encoding="utf-8"?>
<formControlPr xmlns="http://schemas.microsoft.com/office/spreadsheetml/2009/9/main" objectType="CheckBox" checked="Checked" fmlaLink="$A$29" lockText="1" noThreeD="1"/>
</file>

<file path=xl/ctrlProps/ctrlProp4658.xml><?xml version="1.0" encoding="utf-8"?>
<formControlPr xmlns="http://schemas.microsoft.com/office/spreadsheetml/2009/9/main" objectType="CheckBox" checked="Checked" fmlaLink="$A$30" lockText="1" noThreeD="1"/>
</file>

<file path=xl/ctrlProps/ctrlProp4659.xml><?xml version="1.0" encoding="utf-8"?>
<formControlPr xmlns="http://schemas.microsoft.com/office/spreadsheetml/2009/9/main" objectType="CheckBox" fmlaLink="$A$31" lockText="1" noThreeD="1"/>
</file>

<file path=xl/ctrlProps/ctrlProp4660.xml><?xml version="1.0" encoding="utf-8"?>
<formControlPr xmlns="http://schemas.microsoft.com/office/spreadsheetml/2009/9/main" objectType="CheckBox" fmlaLink="$E$28" lockText="1" noThreeD="1"/>
</file>

<file path=xl/ctrlProps/ctrlProp4661.xml><?xml version="1.0" encoding="utf-8"?>
<formControlPr xmlns="http://schemas.microsoft.com/office/spreadsheetml/2009/9/main" objectType="CheckBox" checked="Checked" fmlaLink="$E$29" lockText="1" noThreeD="1"/>
</file>

<file path=xl/ctrlProps/ctrlProp4662.xml><?xml version="1.0" encoding="utf-8"?>
<formControlPr xmlns="http://schemas.microsoft.com/office/spreadsheetml/2009/9/main" objectType="CheckBox" fmlaLink="$E$30" lockText="1" noThreeD="1"/>
</file>

<file path=xl/ctrlProps/ctrlProp4663.xml><?xml version="1.0" encoding="utf-8"?>
<formControlPr xmlns="http://schemas.microsoft.com/office/spreadsheetml/2009/9/main" objectType="CheckBox" checked="Checked" fmlaLink="$A$33" lockText="1" noThreeD="1"/>
</file>

<file path=xl/ctrlProps/ctrlProp4664.xml><?xml version="1.0" encoding="utf-8"?>
<formControlPr xmlns="http://schemas.microsoft.com/office/spreadsheetml/2009/9/main" objectType="CheckBox" fmlaLink="$A$34" lockText="1" noThreeD="1"/>
</file>

<file path=xl/ctrlProps/ctrlProp4665.xml><?xml version="1.0" encoding="utf-8"?>
<formControlPr xmlns="http://schemas.microsoft.com/office/spreadsheetml/2009/9/main" objectType="CheckBox" checked="Checked" fmlaLink="$A$35" lockText="1" noThreeD="1"/>
</file>

<file path=xl/ctrlProps/ctrlProp4666.xml><?xml version="1.0" encoding="utf-8"?>
<formControlPr xmlns="http://schemas.microsoft.com/office/spreadsheetml/2009/9/main" objectType="CheckBox" checked="Checked" fmlaLink="$A$36" lockText="1" noThreeD="1"/>
</file>

<file path=xl/ctrlProps/ctrlProp4667.xml><?xml version="1.0" encoding="utf-8"?>
<formControlPr xmlns="http://schemas.microsoft.com/office/spreadsheetml/2009/9/main" objectType="CheckBox" fmlaLink="$A$37" lockText="1" noThreeD="1"/>
</file>

<file path=xl/ctrlProps/ctrlProp4668.xml><?xml version="1.0" encoding="utf-8"?>
<formControlPr xmlns="http://schemas.microsoft.com/office/spreadsheetml/2009/9/main" objectType="CheckBox" fmlaLink="#REF!" lockText="1" noThreeD="1"/>
</file>

<file path=xl/ctrlProps/ctrlProp4669.xml><?xml version="1.0" encoding="utf-8"?>
<formControlPr xmlns="http://schemas.microsoft.com/office/spreadsheetml/2009/9/main" objectType="CheckBox" fmlaLink="#REF!" lockText="1" noThreeD="1"/>
</file>

<file path=xl/ctrlProps/ctrlProp4670.xml><?xml version="1.0" encoding="utf-8"?>
<formControlPr xmlns="http://schemas.microsoft.com/office/spreadsheetml/2009/9/main" objectType="CheckBox" fmlaLink="#REF!" lockText="1" noThreeD="1"/>
</file>

<file path=xl/ctrlProps/ctrlProp4671.xml><?xml version="1.0" encoding="utf-8"?>
<formControlPr xmlns="http://schemas.microsoft.com/office/spreadsheetml/2009/9/main" objectType="CheckBox" fmlaLink="#REF!" lockText="1" noThreeD="1"/>
</file>

<file path=xl/ctrlProps/ctrlProp4672.xml><?xml version="1.0" encoding="utf-8"?>
<formControlPr xmlns="http://schemas.microsoft.com/office/spreadsheetml/2009/9/main" objectType="CheckBox" fmlaLink="$A$43" lockText="1" noThreeD="1"/>
</file>

<file path=xl/ctrlProps/ctrlProp4673.xml><?xml version="1.0" encoding="utf-8"?>
<formControlPr xmlns="http://schemas.microsoft.com/office/spreadsheetml/2009/9/main" objectType="CheckBox" fmlaLink="$A$44" lockText="1" noThreeD="1"/>
</file>

<file path=xl/ctrlProps/ctrlProp4674.xml><?xml version="1.0" encoding="utf-8"?>
<formControlPr xmlns="http://schemas.microsoft.com/office/spreadsheetml/2009/9/main" objectType="CheckBox" fmlaLink="$A$45" lockText="1" noThreeD="1"/>
</file>

<file path=xl/ctrlProps/ctrlProp4675.xml><?xml version="1.0" encoding="utf-8"?>
<formControlPr xmlns="http://schemas.microsoft.com/office/spreadsheetml/2009/9/main" objectType="CheckBox" fmlaLink="$A$46" lockText="1" noThreeD="1"/>
</file>

<file path=xl/ctrlProps/ctrlProp4676.xml><?xml version="1.0" encoding="utf-8"?>
<formControlPr xmlns="http://schemas.microsoft.com/office/spreadsheetml/2009/9/main" objectType="CheckBox" fmlaLink="$A$47" lockText="1" noThreeD="1"/>
</file>

<file path=xl/ctrlProps/ctrlProp4677.xml><?xml version="1.0" encoding="utf-8"?>
<formControlPr xmlns="http://schemas.microsoft.com/office/spreadsheetml/2009/9/main" objectType="CheckBox" fmlaLink="$A$48" lockText="1" noThreeD="1"/>
</file>

<file path=xl/ctrlProps/ctrlProp4678.xml><?xml version="1.0" encoding="utf-8"?>
<formControlPr xmlns="http://schemas.microsoft.com/office/spreadsheetml/2009/9/main" objectType="CheckBox" fmlaLink="$A$49" lockText="1" noThreeD="1"/>
</file>

<file path=xl/ctrlProps/ctrlProp4679.xml><?xml version="1.0" encoding="utf-8"?>
<formControlPr xmlns="http://schemas.microsoft.com/office/spreadsheetml/2009/9/main" objectType="Button" lockText="1"/>
</file>

<file path=xl/ctrlProps/ctrlProp4680.xml><?xml version="1.0" encoding="utf-8"?>
<formControlPr xmlns="http://schemas.microsoft.com/office/spreadsheetml/2009/9/main" objectType="Button" lockText="1"/>
</file>

<file path=xl/ctrlProps/ctrlProp4681.xml><?xml version="1.0" encoding="utf-8"?>
<formControlPr xmlns="http://schemas.microsoft.com/office/spreadsheetml/2009/9/main" objectType="CheckBox" fmlaLink="$A$40" lockText="1" noThreeD="1"/>
</file>

<file path=xl/ctrlProps/ctrlProp4682.xml><?xml version="1.0" encoding="utf-8"?>
<formControlPr xmlns="http://schemas.microsoft.com/office/spreadsheetml/2009/9/main" objectType="Button" lockText="1"/>
</file>

<file path=xl/ctrlProps/ctrlProp4683.xml><?xml version="1.0" encoding="utf-8"?>
<formControlPr xmlns="http://schemas.microsoft.com/office/spreadsheetml/2009/9/main" objectType="Button" lockText="1"/>
</file>

<file path=xl/ctrlProps/ctrlProp4684.xml><?xml version="1.0" encoding="utf-8"?>
<formControlPr xmlns="http://schemas.microsoft.com/office/spreadsheetml/2009/9/main" objectType="Button" lockText="1"/>
</file>

<file path=xl/ctrlProps/ctrlProp4685.xml><?xml version="1.0" encoding="utf-8"?>
<formControlPr xmlns="http://schemas.microsoft.com/office/spreadsheetml/2009/9/main" objectType="Button" lockText="1"/>
</file>

<file path=xl/ctrlProps/ctrlProp4686.xml><?xml version="1.0" encoding="utf-8"?>
<formControlPr xmlns="http://schemas.microsoft.com/office/spreadsheetml/2009/9/main" objectType="Button" lockText="1"/>
</file>

<file path=xl/ctrlProps/ctrlProp4687.xml><?xml version="1.0" encoding="utf-8"?>
<formControlPr xmlns="http://schemas.microsoft.com/office/spreadsheetml/2009/9/main" objectType="Button" lockText="1"/>
</file>

<file path=xl/ctrlProps/ctrlProp4688.xml><?xml version="1.0" encoding="utf-8"?>
<formControlPr xmlns="http://schemas.microsoft.com/office/spreadsheetml/2009/9/main" objectType="CheckBox" fmlaLink="$A$49" lockText="1" noThreeD="1"/>
</file>

<file path=xl/ctrlProps/ctrlProp4689.xml><?xml version="1.0" encoding="utf-8"?>
<formControlPr xmlns="http://schemas.microsoft.com/office/spreadsheetml/2009/9/main" objectType="CheckBox" fmlaLink="#REF!" lockText="1" noThreeD="1"/>
</file>

<file path=xl/ctrlProps/ctrlProp4690.xml><?xml version="1.0" encoding="utf-8"?>
<formControlPr xmlns="http://schemas.microsoft.com/office/spreadsheetml/2009/9/main" objectType="CheckBox" fmlaLink="#REF!" lockText="1" noThreeD="1"/>
</file>

<file path=xl/ctrlProps/ctrlProp4691.xml><?xml version="1.0" encoding="utf-8"?>
<formControlPr xmlns="http://schemas.microsoft.com/office/spreadsheetml/2009/9/main" objectType="CheckBox" fmlaLink="#REF!" lockText="1" noThreeD="1"/>
</file>

<file path=xl/ctrlProps/ctrlProp4692.xml><?xml version="1.0" encoding="utf-8"?>
<formControlPr xmlns="http://schemas.microsoft.com/office/spreadsheetml/2009/9/main" objectType="CheckBox" fmlaLink="#REF!" lockText="1" noThreeD="1"/>
</file>

<file path=xl/ctrlProps/ctrlProp4693.xml><?xml version="1.0" encoding="utf-8"?>
<formControlPr xmlns="http://schemas.microsoft.com/office/spreadsheetml/2009/9/main" objectType="CheckBox" fmlaLink="#REF!" lockText="1" noThreeD="1"/>
</file>

<file path=xl/ctrlProps/ctrlProp4694.xml><?xml version="1.0" encoding="utf-8"?>
<formControlPr xmlns="http://schemas.microsoft.com/office/spreadsheetml/2009/9/main" objectType="CheckBox" fmlaLink="#REF!" lockText="1" noThreeD="1"/>
</file>

<file path=xl/ctrlProps/ctrlProp4695.xml><?xml version="1.0" encoding="utf-8"?>
<formControlPr xmlns="http://schemas.microsoft.com/office/spreadsheetml/2009/9/main" objectType="CheckBox" fmlaLink="#REF!" lockText="1" noThreeD="1"/>
</file>

<file path=xl/ctrlProps/ctrlProp4696.xml><?xml version="1.0" encoding="utf-8"?>
<formControlPr xmlns="http://schemas.microsoft.com/office/spreadsheetml/2009/9/main" objectType="CheckBox" fmlaLink="#REF!" lockText="1" noThreeD="1"/>
</file>

<file path=xl/ctrlProps/ctrlProp4697.xml><?xml version="1.0" encoding="utf-8"?>
<formControlPr xmlns="http://schemas.microsoft.com/office/spreadsheetml/2009/9/main" objectType="CheckBox" checked="Checked" fmlaLink="$A$28" lockText="1" noThreeD="1"/>
</file>

<file path=xl/ctrlProps/ctrlProp4698.xml><?xml version="1.0" encoding="utf-8"?>
<formControlPr xmlns="http://schemas.microsoft.com/office/spreadsheetml/2009/9/main" objectType="CheckBox" checked="Checked" fmlaLink="$A$29" lockText="1" noThreeD="1"/>
</file>

<file path=xl/ctrlProps/ctrlProp4699.xml><?xml version="1.0" encoding="utf-8"?>
<formControlPr xmlns="http://schemas.microsoft.com/office/spreadsheetml/2009/9/main" objectType="CheckBox" checked="Checked" fmlaLink="$A$30" lockText="1" noThreeD="1"/>
</file>

<file path=xl/ctrlProps/ctrlProp4700.xml><?xml version="1.0" encoding="utf-8"?>
<formControlPr xmlns="http://schemas.microsoft.com/office/spreadsheetml/2009/9/main" objectType="CheckBox" checked="Checked" fmlaLink="$A$31" lockText="1" noThreeD="1"/>
</file>

<file path=xl/ctrlProps/ctrlProp4701.xml><?xml version="1.0" encoding="utf-8"?>
<formControlPr xmlns="http://schemas.microsoft.com/office/spreadsheetml/2009/9/main" objectType="CheckBox" fmlaLink="$E$28" lockText="1" noThreeD="1"/>
</file>

<file path=xl/ctrlProps/ctrlProp4702.xml><?xml version="1.0" encoding="utf-8"?>
<formControlPr xmlns="http://schemas.microsoft.com/office/spreadsheetml/2009/9/main" objectType="CheckBox" checked="Checked" fmlaLink="$E$29" lockText="1" noThreeD="1"/>
</file>

<file path=xl/ctrlProps/ctrlProp4703.xml><?xml version="1.0" encoding="utf-8"?>
<formControlPr xmlns="http://schemas.microsoft.com/office/spreadsheetml/2009/9/main" objectType="CheckBox" fmlaLink="$E$30" lockText="1" noThreeD="1"/>
</file>

<file path=xl/ctrlProps/ctrlProp4704.xml><?xml version="1.0" encoding="utf-8"?>
<formControlPr xmlns="http://schemas.microsoft.com/office/spreadsheetml/2009/9/main" objectType="CheckBox" checked="Checked" fmlaLink="$A$33" lockText="1" noThreeD="1"/>
</file>

<file path=xl/ctrlProps/ctrlProp4705.xml><?xml version="1.0" encoding="utf-8"?>
<formControlPr xmlns="http://schemas.microsoft.com/office/spreadsheetml/2009/9/main" objectType="CheckBox" fmlaLink="$A$34" lockText="1" noThreeD="1"/>
</file>

<file path=xl/ctrlProps/ctrlProp4706.xml><?xml version="1.0" encoding="utf-8"?>
<formControlPr xmlns="http://schemas.microsoft.com/office/spreadsheetml/2009/9/main" objectType="CheckBox" checked="Checked" fmlaLink="$A$35" lockText="1" noThreeD="1"/>
</file>

<file path=xl/ctrlProps/ctrlProp4707.xml><?xml version="1.0" encoding="utf-8"?>
<formControlPr xmlns="http://schemas.microsoft.com/office/spreadsheetml/2009/9/main" objectType="CheckBox" checked="Checked" fmlaLink="$A$36" lockText="1" noThreeD="1"/>
</file>

<file path=xl/ctrlProps/ctrlProp4708.xml><?xml version="1.0" encoding="utf-8"?>
<formControlPr xmlns="http://schemas.microsoft.com/office/spreadsheetml/2009/9/main" objectType="CheckBox" fmlaLink="$A$37" lockText="1" noThreeD="1"/>
</file>

<file path=xl/ctrlProps/ctrlProp4709.xml><?xml version="1.0" encoding="utf-8"?>
<formControlPr xmlns="http://schemas.microsoft.com/office/spreadsheetml/2009/9/main" objectType="CheckBox" fmlaLink="#REF!" lockText="1" noThreeD="1"/>
</file>

<file path=xl/ctrlProps/ctrlProp4710.xml><?xml version="1.0" encoding="utf-8"?>
<formControlPr xmlns="http://schemas.microsoft.com/office/spreadsheetml/2009/9/main" objectType="CheckBox" fmlaLink="#REF!" lockText="1" noThreeD="1"/>
</file>

<file path=xl/ctrlProps/ctrlProp4711.xml><?xml version="1.0" encoding="utf-8"?>
<formControlPr xmlns="http://schemas.microsoft.com/office/spreadsheetml/2009/9/main" objectType="CheckBox" fmlaLink="#REF!" lockText="1" noThreeD="1"/>
</file>

<file path=xl/ctrlProps/ctrlProp4712.xml><?xml version="1.0" encoding="utf-8"?>
<formControlPr xmlns="http://schemas.microsoft.com/office/spreadsheetml/2009/9/main" objectType="CheckBox" fmlaLink="#REF!" lockText="1" noThreeD="1"/>
</file>

<file path=xl/ctrlProps/ctrlProp4713.xml><?xml version="1.0" encoding="utf-8"?>
<formControlPr xmlns="http://schemas.microsoft.com/office/spreadsheetml/2009/9/main" objectType="CheckBox" fmlaLink="$A$43" lockText="1" noThreeD="1"/>
</file>

<file path=xl/ctrlProps/ctrlProp4714.xml><?xml version="1.0" encoding="utf-8"?>
<formControlPr xmlns="http://schemas.microsoft.com/office/spreadsheetml/2009/9/main" objectType="CheckBox" fmlaLink="$A$44" lockText="1" noThreeD="1"/>
</file>

<file path=xl/ctrlProps/ctrlProp4715.xml><?xml version="1.0" encoding="utf-8"?>
<formControlPr xmlns="http://schemas.microsoft.com/office/spreadsheetml/2009/9/main" objectType="CheckBox" fmlaLink="$A$45" lockText="1" noThreeD="1"/>
</file>

<file path=xl/ctrlProps/ctrlProp4716.xml><?xml version="1.0" encoding="utf-8"?>
<formControlPr xmlns="http://schemas.microsoft.com/office/spreadsheetml/2009/9/main" objectType="CheckBox" fmlaLink="$A$46" lockText="1" noThreeD="1"/>
</file>

<file path=xl/ctrlProps/ctrlProp4717.xml><?xml version="1.0" encoding="utf-8"?>
<formControlPr xmlns="http://schemas.microsoft.com/office/spreadsheetml/2009/9/main" objectType="CheckBox" fmlaLink="$A$47" lockText="1" noThreeD="1"/>
</file>

<file path=xl/ctrlProps/ctrlProp4718.xml><?xml version="1.0" encoding="utf-8"?>
<formControlPr xmlns="http://schemas.microsoft.com/office/spreadsheetml/2009/9/main" objectType="CheckBox" fmlaLink="$A$48" lockText="1" noThreeD="1"/>
</file>

<file path=xl/ctrlProps/ctrlProp4719.xml><?xml version="1.0" encoding="utf-8"?>
<formControlPr xmlns="http://schemas.microsoft.com/office/spreadsheetml/2009/9/main" objectType="CheckBox" fmlaLink="$A$49" lockText="1" noThreeD="1"/>
</file>

<file path=xl/ctrlProps/ctrlProp4720.xml><?xml version="1.0" encoding="utf-8"?>
<formControlPr xmlns="http://schemas.microsoft.com/office/spreadsheetml/2009/9/main" objectType="Button" lockText="1"/>
</file>

<file path=xl/ctrlProps/ctrlProp4721.xml><?xml version="1.0" encoding="utf-8"?>
<formControlPr xmlns="http://schemas.microsoft.com/office/spreadsheetml/2009/9/main" objectType="Button" lockText="1"/>
</file>

<file path=xl/ctrlProps/ctrlProp4722.xml><?xml version="1.0" encoding="utf-8"?>
<formControlPr xmlns="http://schemas.microsoft.com/office/spreadsheetml/2009/9/main" objectType="CheckBox" fmlaLink="$A$40" lockText="1" noThreeD="1"/>
</file>

<file path=xl/ctrlProps/ctrlProp4723.xml><?xml version="1.0" encoding="utf-8"?>
<formControlPr xmlns="http://schemas.microsoft.com/office/spreadsheetml/2009/9/main" objectType="Button" lockText="1"/>
</file>

<file path=xl/ctrlProps/ctrlProp4724.xml><?xml version="1.0" encoding="utf-8"?>
<formControlPr xmlns="http://schemas.microsoft.com/office/spreadsheetml/2009/9/main" objectType="Button" lockText="1"/>
</file>

<file path=xl/ctrlProps/ctrlProp4725.xml><?xml version="1.0" encoding="utf-8"?>
<formControlPr xmlns="http://schemas.microsoft.com/office/spreadsheetml/2009/9/main" objectType="Button" lockText="1"/>
</file>

<file path=xl/ctrlProps/ctrlProp4726.xml><?xml version="1.0" encoding="utf-8"?>
<formControlPr xmlns="http://schemas.microsoft.com/office/spreadsheetml/2009/9/main" objectType="Button" lockText="1"/>
</file>

<file path=xl/ctrlProps/ctrlProp4727.xml><?xml version="1.0" encoding="utf-8"?>
<formControlPr xmlns="http://schemas.microsoft.com/office/spreadsheetml/2009/9/main" objectType="Button" lockText="1"/>
</file>

<file path=xl/ctrlProps/ctrlProp4728.xml><?xml version="1.0" encoding="utf-8"?>
<formControlPr xmlns="http://schemas.microsoft.com/office/spreadsheetml/2009/9/main" objectType="Button" lockText="1"/>
</file>

<file path=xl/ctrlProps/ctrlProp4729.xml><?xml version="1.0" encoding="utf-8"?>
<formControlPr xmlns="http://schemas.microsoft.com/office/spreadsheetml/2009/9/main" objectType="CheckBox" fmlaLink="$A$49" lockText="1" noThreeD="1"/>
</file>

<file path=xl/ctrlProps/ctrlProp4730.xml><?xml version="1.0" encoding="utf-8"?>
<formControlPr xmlns="http://schemas.microsoft.com/office/spreadsheetml/2009/9/main" objectType="CheckBox" fmlaLink="#REF!" lockText="1" noThreeD="1"/>
</file>

<file path=xl/ctrlProps/ctrlProp4731.xml><?xml version="1.0" encoding="utf-8"?>
<formControlPr xmlns="http://schemas.microsoft.com/office/spreadsheetml/2009/9/main" objectType="CheckBox" fmlaLink="#REF!" lockText="1" noThreeD="1"/>
</file>

<file path=xl/ctrlProps/ctrlProp4732.xml><?xml version="1.0" encoding="utf-8"?>
<formControlPr xmlns="http://schemas.microsoft.com/office/spreadsheetml/2009/9/main" objectType="CheckBox" fmlaLink="#REF!" lockText="1" noThreeD="1"/>
</file>

<file path=xl/ctrlProps/ctrlProp4733.xml><?xml version="1.0" encoding="utf-8"?>
<formControlPr xmlns="http://schemas.microsoft.com/office/spreadsheetml/2009/9/main" objectType="CheckBox" fmlaLink="#REF!" lockText="1" noThreeD="1"/>
</file>

<file path=xl/ctrlProps/ctrlProp4734.xml><?xml version="1.0" encoding="utf-8"?>
<formControlPr xmlns="http://schemas.microsoft.com/office/spreadsheetml/2009/9/main" objectType="CheckBox" fmlaLink="#REF!" lockText="1" noThreeD="1"/>
</file>

<file path=xl/ctrlProps/ctrlProp4735.xml><?xml version="1.0" encoding="utf-8"?>
<formControlPr xmlns="http://schemas.microsoft.com/office/spreadsheetml/2009/9/main" objectType="CheckBox" fmlaLink="#REF!" lockText="1" noThreeD="1"/>
</file>

<file path=xl/ctrlProps/ctrlProp4736.xml><?xml version="1.0" encoding="utf-8"?>
<formControlPr xmlns="http://schemas.microsoft.com/office/spreadsheetml/2009/9/main" objectType="CheckBox" fmlaLink="#REF!" lockText="1" noThreeD="1"/>
</file>

<file path=xl/ctrlProps/ctrlProp4737.xml><?xml version="1.0" encoding="utf-8"?>
<formControlPr xmlns="http://schemas.microsoft.com/office/spreadsheetml/2009/9/main" objectType="CheckBox" checked="Checked" fmlaLink="$A$28" lockText="1" noThreeD="1"/>
</file>

<file path=xl/ctrlProps/ctrlProp4738.xml><?xml version="1.0" encoding="utf-8"?>
<formControlPr xmlns="http://schemas.microsoft.com/office/spreadsheetml/2009/9/main" objectType="CheckBox" checked="Checked" fmlaLink="$A$29" lockText="1" noThreeD="1"/>
</file>

<file path=xl/ctrlProps/ctrlProp4739.xml><?xml version="1.0" encoding="utf-8"?>
<formControlPr xmlns="http://schemas.microsoft.com/office/spreadsheetml/2009/9/main" objectType="CheckBox" checked="Checked" fmlaLink="$A$30" lockText="1" noThreeD="1"/>
</file>

<file path=xl/ctrlProps/ctrlProp4740.xml><?xml version="1.0" encoding="utf-8"?>
<formControlPr xmlns="http://schemas.microsoft.com/office/spreadsheetml/2009/9/main" objectType="CheckBox" fmlaLink="$A$31" lockText="1" noThreeD="1"/>
</file>

<file path=xl/ctrlProps/ctrlProp4741.xml><?xml version="1.0" encoding="utf-8"?>
<formControlPr xmlns="http://schemas.microsoft.com/office/spreadsheetml/2009/9/main" objectType="CheckBox" checked="Checked" fmlaLink="$E$28" lockText="1" noThreeD="1"/>
</file>

<file path=xl/ctrlProps/ctrlProp4742.xml><?xml version="1.0" encoding="utf-8"?>
<formControlPr xmlns="http://schemas.microsoft.com/office/spreadsheetml/2009/9/main" objectType="CheckBox" checked="Checked" fmlaLink="$E$29" lockText="1" noThreeD="1"/>
</file>

<file path=xl/ctrlProps/ctrlProp4743.xml><?xml version="1.0" encoding="utf-8"?>
<formControlPr xmlns="http://schemas.microsoft.com/office/spreadsheetml/2009/9/main" objectType="CheckBox" fmlaLink="$E$30" lockText="1" noThreeD="1"/>
</file>

<file path=xl/ctrlProps/ctrlProp4744.xml><?xml version="1.0" encoding="utf-8"?>
<formControlPr xmlns="http://schemas.microsoft.com/office/spreadsheetml/2009/9/main" objectType="CheckBox" fmlaLink="$A$33" lockText="1" noThreeD="1"/>
</file>

<file path=xl/ctrlProps/ctrlProp4745.xml><?xml version="1.0" encoding="utf-8"?>
<formControlPr xmlns="http://schemas.microsoft.com/office/spreadsheetml/2009/9/main" objectType="CheckBox" fmlaLink="$A$34" lockText="1" noThreeD="1"/>
</file>

<file path=xl/ctrlProps/ctrlProp4746.xml><?xml version="1.0" encoding="utf-8"?>
<formControlPr xmlns="http://schemas.microsoft.com/office/spreadsheetml/2009/9/main" objectType="CheckBox" fmlaLink="$A$35" lockText="1" noThreeD="1"/>
</file>

<file path=xl/ctrlProps/ctrlProp4747.xml><?xml version="1.0" encoding="utf-8"?>
<formControlPr xmlns="http://schemas.microsoft.com/office/spreadsheetml/2009/9/main" objectType="CheckBox" fmlaLink="$A$36" lockText="1" noThreeD="1"/>
</file>

<file path=xl/ctrlProps/ctrlProp4748.xml><?xml version="1.0" encoding="utf-8"?>
<formControlPr xmlns="http://schemas.microsoft.com/office/spreadsheetml/2009/9/main" objectType="CheckBox" fmlaLink="$A$37" lockText="1" noThreeD="1"/>
</file>

<file path=xl/ctrlProps/ctrlProp4749.xml><?xml version="1.0" encoding="utf-8"?>
<formControlPr xmlns="http://schemas.microsoft.com/office/spreadsheetml/2009/9/main" objectType="CheckBox" fmlaLink="$E$33" lockText="1" noThreeD="1"/>
</file>

<file path=xl/ctrlProps/ctrlProp4750.xml><?xml version="1.0" encoding="utf-8"?>
<formControlPr xmlns="http://schemas.microsoft.com/office/spreadsheetml/2009/9/main" objectType="CheckBox" fmlaLink="$E$34" lockText="1" noThreeD="1"/>
</file>

<file path=xl/ctrlProps/ctrlProp4751.xml><?xml version="1.0" encoding="utf-8"?>
<formControlPr xmlns="http://schemas.microsoft.com/office/spreadsheetml/2009/9/main" objectType="CheckBox" fmlaLink="$E$35" lockText="1" noThreeD="1"/>
</file>

<file path=xl/ctrlProps/ctrlProp4752.xml><?xml version="1.0" encoding="utf-8"?>
<formControlPr xmlns="http://schemas.microsoft.com/office/spreadsheetml/2009/9/main" objectType="CheckBox" fmlaLink="$E$36" lockText="1" noThreeD="1"/>
</file>

<file path=xl/ctrlProps/ctrlProp4753.xml><?xml version="1.0" encoding="utf-8"?>
<formControlPr xmlns="http://schemas.microsoft.com/office/spreadsheetml/2009/9/main" objectType="CheckBox" fmlaLink="$A$43" lockText="1" noThreeD="1"/>
</file>

<file path=xl/ctrlProps/ctrlProp4754.xml><?xml version="1.0" encoding="utf-8"?>
<formControlPr xmlns="http://schemas.microsoft.com/office/spreadsheetml/2009/9/main" objectType="CheckBox" fmlaLink="$A$44" lockText="1" noThreeD="1"/>
</file>

<file path=xl/ctrlProps/ctrlProp4755.xml><?xml version="1.0" encoding="utf-8"?>
<formControlPr xmlns="http://schemas.microsoft.com/office/spreadsheetml/2009/9/main" objectType="CheckBox" fmlaLink="$A$45" lockText="1" noThreeD="1"/>
</file>

<file path=xl/ctrlProps/ctrlProp4756.xml><?xml version="1.0" encoding="utf-8"?>
<formControlPr xmlns="http://schemas.microsoft.com/office/spreadsheetml/2009/9/main" objectType="CheckBox" fmlaLink="$A$46" lockText="1" noThreeD="1"/>
</file>

<file path=xl/ctrlProps/ctrlProp4757.xml><?xml version="1.0" encoding="utf-8"?>
<formControlPr xmlns="http://schemas.microsoft.com/office/spreadsheetml/2009/9/main" objectType="CheckBox" fmlaLink="$A$47" lockText="1" noThreeD="1"/>
</file>

<file path=xl/ctrlProps/ctrlProp4758.xml><?xml version="1.0" encoding="utf-8"?>
<formControlPr xmlns="http://schemas.microsoft.com/office/spreadsheetml/2009/9/main" objectType="CheckBox" fmlaLink="$A$48" lockText="1" noThreeD="1"/>
</file>

<file path=xl/ctrlProps/ctrlProp4759.xml><?xml version="1.0" encoding="utf-8"?>
<formControlPr xmlns="http://schemas.microsoft.com/office/spreadsheetml/2009/9/main" objectType="CheckBox" fmlaLink="$A$49" lockText="1" noThreeD="1"/>
</file>

<file path=xl/ctrlProps/ctrlProp4760.xml><?xml version="1.0" encoding="utf-8"?>
<formControlPr xmlns="http://schemas.microsoft.com/office/spreadsheetml/2009/9/main" objectType="Button" lockText="1"/>
</file>

<file path=xl/ctrlProps/ctrlProp4761.xml><?xml version="1.0" encoding="utf-8"?>
<formControlPr xmlns="http://schemas.microsoft.com/office/spreadsheetml/2009/9/main" objectType="Button" lockText="1"/>
</file>

<file path=xl/ctrlProps/ctrlProp4762.xml><?xml version="1.0" encoding="utf-8"?>
<formControlPr xmlns="http://schemas.microsoft.com/office/spreadsheetml/2009/9/main" objectType="CheckBox" fmlaLink="$A$40" lockText="1" noThreeD="1"/>
</file>

<file path=xl/ctrlProps/ctrlProp4763.xml><?xml version="1.0" encoding="utf-8"?>
<formControlPr xmlns="http://schemas.microsoft.com/office/spreadsheetml/2009/9/main" objectType="Button" lockText="1"/>
</file>

<file path=xl/ctrlProps/ctrlProp4764.xml><?xml version="1.0" encoding="utf-8"?>
<formControlPr xmlns="http://schemas.microsoft.com/office/spreadsheetml/2009/9/main" objectType="Button" lockText="1"/>
</file>

<file path=xl/ctrlProps/ctrlProp4765.xml><?xml version="1.0" encoding="utf-8"?>
<formControlPr xmlns="http://schemas.microsoft.com/office/spreadsheetml/2009/9/main" objectType="Button" lockText="1"/>
</file>

<file path=xl/ctrlProps/ctrlProp4766.xml><?xml version="1.0" encoding="utf-8"?>
<formControlPr xmlns="http://schemas.microsoft.com/office/spreadsheetml/2009/9/main" objectType="Button" lockText="1"/>
</file>

<file path=xl/ctrlProps/ctrlProp4767.xml><?xml version="1.0" encoding="utf-8"?>
<formControlPr xmlns="http://schemas.microsoft.com/office/spreadsheetml/2009/9/main" objectType="Button" lockText="1"/>
</file>

<file path=xl/ctrlProps/ctrlProp4768.xml><?xml version="1.0" encoding="utf-8"?>
<formControlPr xmlns="http://schemas.microsoft.com/office/spreadsheetml/2009/9/main" objectType="Button" lockText="1"/>
</file>

<file path=xl/ctrlProps/ctrlProp4769.xml><?xml version="1.0" encoding="utf-8"?>
<formControlPr xmlns="http://schemas.microsoft.com/office/spreadsheetml/2009/9/main" objectType="CheckBox" fmlaLink="$A$49" lockText="1" noThreeD="1"/>
</file>

<file path=xl/ctrlProps/ctrlProp4770.xml><?xml version="1.0" encoding="utf-8"?>
<formControlPr xmlns="http://schemas.microsoft.com/office/spreadsheetml/2009/9/main" objectType="CheckBox" checked="Checked" fmlaLink="$A$28" lockText="1" noThreeD="1"/>
</file>

<file path=xl/ctrlProps/ctrlProp4771.xml><?xml version="1.0" encoding="utf-8"?>
<formControlPr xmlns="http://schemas.microsoft.com/office/spreadsheetml/2009/9/main" objectType="CheckBox" checked="Checked" fmlaLink="$A$29" lockText="1" noThreeD="1"/>
</file>

<file path=xl/ctrlProps/ctrlProp4772.xml><?xml version="1.0" encoding="utf-8"?>
<formControlPr xmlns="http://schemas.microsoft.com/office/spreadsheetml/2009/9/main" objectType="CheckBox" checked="Checked" fmlaLink="$A$30" lockText="1" noThreeD="1"/>
</file>

<file path=xl/ctrlProps/ctrlProp4773.xml><?xml version="1.0" encoding="utf-8"?>
<formControlPr xmlns="http://schemas.microsoft.com/office/spreadsheetml/2009/9/main" objectType="CheckBox" checked="Checked" fmlaLink="$A$31" lockText="1" noThreeD="1"/>
</file>

<file path=xl/ctrlProps/ctrlProp4774.xml><?xml version="1.0" encoding="utf-8"?>
<formControlPr xmlns="http://schemas.microsoft.com/office/spreadsheetml/2009/9/main" objectType="CheckBox" fmlaLink="$E$28" lockText="1" noThreeD="1"/>
</file>

<file path=xl/ctrlProps/ctrlProp4775.xml><?xml version="1.0" encoding="utf-8"?>
<formControlPr xmlns="http://schemas.microsoft.com/office/spreadsheetml/2009/9/main" objectType="CheckBox" checked="Checked" fmlaLink="$E$29" lockText="1" noThreeD="1"/>
</file>

<file path=xl/ctrlProps/ctrlProp4776.xml><?xml version="1.0" encoding="utf-8"?>
<formControlPr xmlns="http://schemas.microsoft.com/office/spreadsheetml/2009/9/main" objectType="CheckBox" checked="Checked" fmlaLink="$E$30" lockText="1" noThreeD="1"/>
</file>

<file path=xl/ctrlProps/ctrlProp4777.xml><?xml version="1.0" encoding="utf-8"?>
<formControlPr xmlns="http://schemas.microsoft.com/office/spreadsheetml/2009/9/main" objectType="CheckBox" fmlaLink="$A$33" lockText="1" noThreeD="1"/>
</file>

<file path=xl/ctrlProps/ctrlProp4778.xml><?xml version="1.0" encoding="utf-8"?>
<formControlPr xmlns="http://schemas.microsoft.com/office/spreadsheetml/2009/9/main" objectType="CheckBox" fmlaLink="$A$34" lockText="1" noThreeD="1"/>
</file>

<file path=xl/ctrlProps/ctrlProp4779.xml><?xml version="1.0" encoding="utf-8"?>
<formControlPr xmlns="http://schemas.microsoft.com/office/spreadsheetml/2009/9/main" objectType="CheckBox" fmlaLink="$A$35" lockText="1" noThreeD="1"/>
</file>

<file path=xl/ctrlProps/ctrlProp4780.xml><?xml version="1.0" encoding="utf-8"?>
<formControlPr xmlns="http://schemas.microsoft.com/office/spreadsheetml/2009/9/main" objectType="CheckBox" fmlaLink="$A$36" lockText="1" noThreeD="1"/>
</file>

<file path=xl/ctrlProps/ctrlProp4781.xml><?xml version="1.0" encoding="utf-8"?>
<formControlPr xmlns="http://schemas.microsoft.com/office/spreadsheetml/2009/9/main" objectType="CheckBox" fmlaLink="$A$37" lockText="1" noThreeD="1"/>
</file>

<file path=xl/ctrlProps/ctrlProp4782.xml><?xml version="1.0" encoding="utf-8"?>
<formControlPr xmlns="http://schemas.microsoft.com/office/spreadsheetml/2009/9/main" objectType="CheckBox" fmlaLink="$E$33" lockText="1" noThreeD="1"/>
</file>

<file path=xl/ctrlProps/ctrlProp4783.xml><?xml version="1.0" encoding="utf-8"?>
<formControlPr xmlns="http://schemas.microsoft.com/office/spreadsheetml/2009/9/main" objectType="CheckBox" fmlaLink="$E$34" lockText="1" noThreeD="1"/>
</file>

<file path=xl/ctrlProps/ctrlProp4784.xml><?xml version="1.0" encoding="utf-8"?>
<formControlPr xmlns="http://schemas.microsoft.com/office/spreadsheetml/2009/9/main" objectType="CheckBox" fmlaLink="$E$35" lockText="1" noThreeD="1"/>
</file>

<file path=xl/ctrlProps/ctrlProp4785.xml><?xml version="1.0" encoding="utf-8"?>
<formControlPr xmlns="http://schemas.microsoft.com/office/spreadsheetml/2009/9/main" objectType="CheckBox" fmlaLink="$E$36" lockText="1" noThreeD="1"/>
</file>

<file path=xl/ctrlProps/ctrlProp4786.xml><?xml version="1.0" encoding="utf-8"?>
<formControlPr xmlns="http://schemas.microsoft.com/office/spreadsheetml/2009/9/main" objectType="CheckBox" fmlaLink="$A$43" lockText="1" noThreeD="1"/>
</file>

<file path=xl/ctrlProps/ctrlProp4787.xml><?xml version="1.0" encoding="utf-8"?>
<formControlPr xmlns="http://schemas.microsoft.com/office/spreadsheetml/2009/9/main" objectType="CheckBox" fmlaLink="$A$44" lockText="1" noThreeD="1"/>
</file>

<file path=xl/ctrlProps/ctrlProp4788.xml><?xml version="1.0" encoding="utf-8"?>
<formControlPr xmlns="http://schemas.microsoft.com/office/spreadsheetml/2009/9/main" objectType="CheckBox" fmlaLink="$A$45" lockText="1" noThreeD="1"/>
</file>

<file path=xl/ctrlProps/ctrlProp4789.xml><?xml version="1.0" encoding="utf-8"?>
<formControlPr xmlns="http://schemas.microsoft.com/office/spreadsheetml/2009/9/main" objectType="CheckBox" fmlaLink="$A$46" lockText="1" noThreeD="1"/>
</file>

<file path=xl/ctrlProps/ctrlProp4790.xml><?xml version="1.0" encoding="utf-8"?>
<formControlPr xmlns="http://schemas.microsoft.com/office/spreadsheetml/2009/9/main" objectType="CheckBox" fmlaLink="$A$47" lockText="1" noThreeD="1"/>
</file>

<file path=xl/ctrlProps/ctrlProp4791.xml><?xml version="1.0" encoding="utf-8"?>
<formControlPr xmlns="http://schemas.microsoft.com/office/spreadsheetml/2009/9/main" objectType="CheckBox" fmlaLink="$A$48" lockText="1" noThreeD="1"/>
</file>

<file path=xl/ctrlProps/ctrlProp4792.xml><?xml version="1.0" encoding="utf-8"?>
<formControlPr xmlns="http://schemas.microsoft.com/office/spreadsheetml/2009/9/main" objectType="CheckBox" fmlaLink="$A$49" lockText="1" noThreeD="1"/>
</file>

<file path=xl/ctrlProps/ctrlProp4793.xml><?xml version="1.0" encoding="utf-8"?>
<formControlPr xmlns="http://schemas.microsoft.com/office/spreadsheetml/2009/9/main" objectType="Button" lockText="1"/>
</file>

<file path=xl/ctrlProps/ctrlProp4794.xml><?xml version="1.0" encoding="utf-8"?>
<formControlPr xmlns="http://schemas.microsoft.com/office/spreadsheetml/2009/9/main" objectType="Button" lockText="1"/>
</file>

<file path=xl/ctrlProps/ctrlProp4795.xml><?xml version="1.0" encoding="utf-8"?>
<formControlPr xmlns="http://schemas.microsoft.com/office/spreadsheetml/2009/9/main" objectType="CheckBox" fmlaLink="$A$40" lockText="1" noThreeD="1"/>
</file>

<file path=xl/ctrlProps/ctrlProp4796.xml><?xml version="1.0" encoding="utf-8"?>
<formControlPr xmlns="http://schemas.microsoft.com/office/spreadsheetml/2009/9/main" objectType="Button" lockText="1"/>
</file>

<file path=xl/ctrlProps/ctrlProp4797.xml><?xml version="1.0" encoding="utf-8"?>
<formControlPr xmlns="http://schemas.microsoft.com/office/spreadsheetml/2009/9/main" objectType="Button" lockText="1"/>
</file>

<file path=xl/ctrlProps/ctrlProp4798.xml><?xml version="1.0" encoding="utf-8"?>
<formControlPr xmlns="http://schemas.microsoft.com/office/spreadsheetml/2009/9/main" objectType="Button" lockText="1"/>
</file>

<file path=xl/ctrlProps/ctrlProp4799.xml><?xml version="1.0" encoding="utf-8"?>
<formControlPr xmlns="http://schemas.microsoft.com/office/spreadsheetml/2009/9/main" objectType="Button" lockText="1"/>
</file>

<file path=xl/ctrlProps/ctrlProp4800.xml><?xml version="1.0" encoding="utf-8"?>
<formControlPr xmlns="http://schemas.microsoft.com/office/spreadsheetml/2009/9/main" objectType="Button" lockText="1"/>
</file>

<file path=xl/ctrlProps/ctrlProp4801.xml><?xml version="1.0" encoding="utf-8"?>
<formControlPr xmlns="http://schemas.microsoft.com/office/spreadsheetml/2009/9/main" objectType="Button" lockText="1"/>
</file>

<file path=xl/ctrlProps/ctrlProp4802.xml><?xml version="1.0" encoding="utf-8"?>
<formControlPr xmlns="http://schemas.microsoft.com/office/spreadsheetml/2009/9/main" objectType="CheckBox" fmlaLink="$A$49" lockText="1" noThreeD="1"/>
</file>

<file path=xl/ctrlProps/ctrlProp4803.xml><?xml version="1.0" encoding="utf-8"?>
<formControlPr xmlns="http://schemas.microsoft.com/office/spreadsheetml/2009/9/main" objectType="CheckBox" checked="Checked" fmlaLink="$A$28" lockText="1" noThreeD="1"/>
</file>

<file path=xl/ctrlProps/ctrlProp4804.xml><?xml version="1.0" encoding="utf-8"?>
<formControlPr xmlns="http://schemas.microsoft.com/office/spreadsheetml/2009/9/main" objectType="CheckBox" checked="Checked" fmlaLink="$A$29" lockText="1" noThreeD="1"/>
</file>

<file path=xl/ctrlProps/ctrlProp4805.xml><?xml version="1.0" encoding="utf-8"?>
<formControlPr xmlns="http://schemas.microsoft.com/office/spreadsheetml/2009/9/main" objectType="CheckBox" checked="Checked" fmlaLink="$A$30" lockText="1" noThreeD="1"/>
</file>

<file path=xl/ctrlProps/ctrlProp4806.xml><?xml version="1.0" encoding="utf-8"?>
<formControlPr xmlns="http://schemas.microsoft.com/office/spreadsheetml/2009/9/main" objectType="CheckBox" checked="Checked" fmlaLink="$A$31" lockText="1" noThreeD="1"/>
</file>

<file path=xl/ctrlProps/ctrlProp4807.xml><?xml version="1.0" encoding="utf-8"?>
<formControlPr xmlns="http://schemas.microsoft.com/office/spreadsheetml/2009/9/main" objectType="CheckBox" checked="Checked" fmlaLink="$E$28" lockText="1" noThreeD="1"/>
</file>

<file path=xl/ctrlProps/ctrlProp4808.xml><?xml version="1.0" encoding="utf-8"?>
<formControlPr xmlns="http://schemas.microsoft.com/office/spreadsheetml/2009/9/main" objectType="CheckBox" checked="Checked" fmlaLink="$E$29" lockText="1" noThreeD="1"/>
</file>

<file path=xl/ctrlProps/ctrlProp4809.xml><?xml version="1.0" encoding="utf-8"?>
<formControlPr xmlns="http://schemas.microsoft.com/office/spreadsheetml/2009/9/main" objectType="CheckBox" checked="Checked" fmlaLink="$E$30" lockText="1" noThreeD="1"/>
</file>

<file path=xl/ctrlProps/ctrlProp4810.xml><?xml version="1.0" encoding="utf-8"?>
<formControlPr xmlns="http://schemas.microsoft.com/office/spreadsheetml/2009/9/main" objectType="CheckBox" fmlaLink="$A$33" lockText="1" noThreeD="1"/>
</file>

<file path=xl/ctrlProps/ctrlProp4811.xml><?xml version="1.0" encoding="utf-8"?>
<formControlPr xmlns="http://schemas.microsoft.com/office/spreadsheetml/2009/9/main" objectType="CheckBox" fmlaLink="$A$34" lockText="1" noThreeD="1"/>
</file>

<file path=xl/ctrlProps/ctrlProp4812.xml><?xml version="1.0" encoding="utf-8"?>
<formControlPr xmlns="http://schemas.microsoft.com/office/spreadsheetml/2009/9/main" objectType="CheckBox" fmlaLink="$A$35" lockText="1" noThreeD="1"/>
</file>

<file path=xl/ctrlProps/ctrlProp4813.xml><?xml version="1.0" encoding="utf-8"?>
<formControlPr xmlns="http://schemas.microsoft.com/office/spreadsheetml/2009/9/main" objectType="CheckBox" fmlaLink="$A$36" lockText="1" noThreeD="1"/>
</file>

<file path=xl/ctrlProps/ctrlProp4814.xml><?xml version="1.0" encoding="utf-8"?>
<formControlPr xmlns="http://schemas.microsoft.com/office/spreadsheetml/2009/9/main" objectType="CheckBox" fmlaLink="$A$37" lockText="1" noThreeD="1"/>
</file>

<file path=xl/ctrlProps/ctrlProp4815.xml><?xml version="1.0" encoding="utf-8"?>
<formControlPr xmlns="http://schemas.microsoft.com/office/spreadsheetml/2009/9/main" objectType="CheckBox" fmlaLink="$E$33" lockText="1" noThreeD="1"/>
</file>

<file path=xl/ctrlProps/ctrlProp4816.xml><?xml version="1.0" encoding="utf-8"?>
<formControlPr xmlns="http://schemas.microsoft.com/office/spreadsheetml/2009/9/main" objectType="CheckBox" fmlaLink="$E$34" lockText="1" noThreeD="1"/>
</file>

<file path=xl/ctrlProps/ctrlProp4817.xml><?xml version="1.0" encoding="utf-8"?>
<formControlPr xmlns="http://schemas.microsoft.com/office/spreadsheetml/2009/9/main" objectType="CheckBox" fmlaLink="$E$35" lockText="1" noThreeD="1"/>
</file>

<file path=xl/ctrlProps/ctrlProp4818.xml><?xml version="1.0" encoding="utf-8"?>
<formControlPr xmlns="http://schemas.microsoft.com/office/spreadsheetml/2009/9/main" objectType="CheckBox" fmlaLink="$E$36" lockText="1" noThreeD="1"/>
</file>

<file path=xl/ctrlProps/ctrlProp4819.xml><?xml version="1.0" encoding="utf-8"?>
<formControlPr xmlns="http://schemas.microsoft.com/office/spreadsheetml/2009/9/main" objectType="CheckBox" fmlaLink="$A$43" lockText="1" noThreeD="1"/>
</file>

<file path=xl/ctrlProps/ctrlProp4820.xml><?xml version="1.0" encoding="utf-8"?>
<formControlPr xmlns="http://schemas.microsoft.com/office/spreadsheetml/2009/9/main" objectType="CheckBox" fmlaLink="$A$44" lockText="1" noThreeD="1"/>
</file>

<file path=xl/ctrlProps/ctrlProp4821.xml><?xml version="1.0" encoding="utf-8"?>
<formControlPr xmlns="http://schemas.microsoft.com/office/spreadsheetml/2009/9/main" objectType="CheckBox" fmlaLink="$A$45" lockText="1" noThreeD="1"/>
</file>

<file path=xl/ctrlProps/ctrlProp4822.xml><?xml version="1.0" encoding="utf-8"?>
<formControlPr xmlns="http://schemas.microsoft.com/office/spreadsheetml/2009/9/main" objectType="CheckBox" fmlaLink="$A$46" lockText="1" noThreeD="1"/>
</file>

<file path=xl/ctrlProps/ctrlProp4823.xml><?xml version="1.0" encoding="utf-8"?>
<formControlPr xmlns="http://schemas.microsoft.com/office/spreadsheetml/2009/9/main" objectType="CheckBox" fmlaLink="$A$47" lockText="1" noThreeD="1"/>
</file>

<file path=xl/ctrlProps/ctrlProp4824.xml><?xml version="1.0" encoding="utf-8"?>
<formControlPr xmlns="http://schemas.microsoft.com/office/spreadsheetml/2009/9/main" objectType="CheckBox" fmlaLink="$A$48" lockText="1" noThreeD="1"/>
</file>

<file path=xl/ctrlProps/ctrlProp4825.xml><?xml version="1.0" encoding="utf-8"?>
<formControlPr xmlns="http://schemas.microsoft.com/office/spreadsheetml/2009/9/main" objectType="CheckBox" fmlaLink="$A$49" lockText="1" noThreeD="1"/>
</file>

<file path=xl/ctrlProps/ctrlProp4826.xml><?xml version="1.0" encoding="utf-8"?>
<formControlPr xmlns="http://schemas.microsoft.com/office/spreadsheetml/2009/9/main" objectType="Button" lockText="1"/>
</file>

<file path=xl/ctrlProps/ctrlProp4827.xml><?xml version="1.0" encoding="utf-8"?>
<formControlPr xmlns="http://schemas.microsoft.com/office/spreadsheetml/2009/9/main" objectType="Button" lockText="1"/>
</file>

<file path=xl/ctrlProps/ctrlProp4828.xml><?xml version="1.0" encoding="utf-8"?>
<formControlPr xmlns="http://schemas.microsoft.com/office/spreadsheetml/2009/9/main" objectType="CheckBox" fmlaLink="$A$40" lockText="1" noThreeD="1"/>
</file>

<file path=xl/ctrlProps/ctrlProp4829.xml><?xml version="1.0" encoding="utf-8"?>
<formControlPr xmlns="http://schemas.microsoft.com/office/spreadsheetml/2009/9/main" objectType="Button" lockText="1"/>
</file>

<file path=xl/ctrlProps/ctrlProp4830.xml><?xml version="1.0" encoding="utf-8"?>
<formControlPr xmlns="http://schemas.microsoft.com/office/spreadsheetml/2009/9/main" objectType="Button" lockText="1"/>
</file>

<file path=xl/ctrlProps/ctrlProp4831.xml><?xml version="1.0" encoding="utf-8"?>
<formControlPr xmlns="http://schemas.microsoft.com/office/spreadsheetml/2009/9/main" objectType="Button" lockText="1"/>
</file>

<file path=xl/ctrlProps/ctrlProp4832.xml><?xml version="1.0" encoding="utf-8"?>
<formControlPr xmlns="http://schemas.microsoft.com/office/spreadsheetml/2009/9/main" objectType="Button" lockText="1"/>
</file>

<file path=xl/ctrlProps/ctrlProp4833.xml><?xml version="1.0" encoding="utf-8"?>
<formControlPr xmlns="http://schemas.microsoft.com/office/spreadsheetml/2009/9/main" objectType="Button" lockText="1"/>
</file>

<file path=xl/ctrlProps/ctrlProp4834.xml><?xml version="1.0" encoding="utf-8"?>
<formControlPr xmlns="http://schemas.microsoft.com/office/spreadsheetml/2009/9/main" objectType="Button" lockText="1"/>
</file>

<file path=xl/ctrlProps/ctrlProp4835.xml><?xml version="1.0" encoding="utf-8"?>
<formControlPr xmlns="http://schemas.microsoft.com/office/spreadsheetml/2009/9/main" objectType="CheckBox" fmlaLink="$A$49" lockText="1" noThreeD="1"/>
</file>

<file path=xl/ctrlProps/ctrlProp4836.xml><?xml version="1.0" encoding="utf-8"?>
<formControlPr xmlns="http://schemas.microsoft.com/office/spreadsheetml/2009/9/main" objectType="CheckBox" checked="Checked" fmlaLink="$A$28" lockText="1" noThreeD="1"/>
</file>

<file path=xl/ctrlProps/ctrlProp4837.xml><?xml version="1.0" encoding="utf-8"?>
<formControlPr xmlns="http://schemas.microsoft.com/office/spreadsheetml/2009/9/main" objectType="CheckBox" checked="Checked" fmlaLink="$A$29" lockText="1" noThreeD="1"/>
</file>

<file path=xl/ctrlProps/ctrlProp4838.xml><?xml version="1.0" encoding="utf-8"?>
<formControlPr xmlns="http://schemas.microsoft.com/office/spreadsheetml/2009/9/main" objectType="CheckBox" checked="Checked" fmlaLink="$A$30" lockText="1" noThreeD="1"/>
</file>

<file path=xl/ctrlProps/ctrlProp4839.xml><?xml version="1.0" encoding="utf-8"?>
<formControlPr xmlns="http://schemas.microsoft.com/office/spreadsheetml/2009/9/main" objectType="CheckBox" fmlaLink="$A$31" lockText="1" noThreeD="1"/>
</file>

<file path=xl/ctrlProps/ctrlProp4840.xml><?xml version="1.0" encoding="utf-8"?>
<formControlPr xmlns="http://schemas.microsoft.com/office/spreadsheetml/2009/9/main" objectType="CheckBox" checked="Checked" fmlaLink="$E$28" lockText="1" noThreeD="1"/>
</file>

<file path=xl/ctrlProps/ctrlProp4841.xml><?xml version="1.0" encoding="utf-8"?>
<formControlPr xmlns="http://schemas.microsoft.com/office/spreadsheetml/2009/9/main" objectType="CheckBox" fmlaLink="$E$29" lockText="1" noThreeD="1"/>
</file>

<file path=xl/ctrlProps/ctrlProp4842.xml><?xml version="1.0" encoding="utf-8"?>
<formControlPr xmlns="http://schemas.microsoft.com/office/spreadsheetml/2009/9/main" objectType="CheckBox" checked="Checked" fmlaLink="$E$30" lockText="1" noThreeD="1"/>
</file>

<file path=xl/ctrlProps/ctrlProp4843.xml><?xml version="1.0" encoding="utf-8"?>
<formControlPr xmlns="http://schemas.microsoft.com/office/spreadsheetml/2009/9/main" objectType="CheckBox" checked="Checked" fmlaLink="$A$33" lockText="1" noThreeD="1"/>
</file>

<file path=xl/ctrlProps/ctrlProp4844.xml><?xml version="1.0" encoding="utf-8"?>
<formControlPr xmlns="http://schemas.microsoft.com/office/spreadsheetml/2009/9/main" objectType="CheckBox" checked="Checked" fmlaLink="$A$34" lockText="1" noThreeD="1"/>
</file>

<file path=xl/ctrlProps/ctrlProp4845.xml><?xml version="1.0" encoding="utf-8"?>
<formControlPr xmlns="http://schemas.microsoft.com/office/spreadsheetml/2009/9/main" objectType="CheckBox" checked="Checked" fmlaLink="$A$35" lockText="1" noThreeD="1"/>
</file>

<file path=xl/ctrlProps/ctrlProp4846.xml><?xml version="1.0" encoding="utf-8"?>
<formControlPr xmlns="http://schemas.microsoft.com/office/spreadsheetml/2009/9/main" objectType="CheckBox" checked="Checked" fmlaLink="$A$36" lockText="1" noThreeD="1"/>
</file>

<file path=xl/ctrlProps/ctrlProp4847.xml><?xml version="1.0" encoding="utf-8"?>
<formControlPr xmlns="http://schemas.microsoft.com/office/spreadsheetml/2009/9/main" objectType="CheckBox" fmlaLink="$A$37" lockText="1" noThreeD="1"/>
</file>

<file path=xl/ctrlProps/ctrlProp4848.xml><?xml version="1.0" encoding="utf-8"?>
<formControlPr xmlns="http://schemas.microsoft.com/office/spreadsheetml/2009/9/main" objectType="CheckBox" checked="Checked" fmlaLink="$E$33" lockText="1" noThreeD="1"/>
</file>

<file path=xl/ctrlProps/ctrlProp4849.xml><?xml version="1.0" encoding="utf-8"?>
<formControlPr xmlns="http://schemas.microsoft.com/office/spreadsheetml/2009/9/main" objectType="CheckBox" checked="Checked" fmlaLink="$E$34" lockText="1" noThreeD="1"/>
</file>

<file path=xl/ctrlProps/ctrlProp4850.xml><?xml version="1.0" encoding="utf-8"?>
<formControlPr xmlns="http://schemas.microsoft.com/office/spreadsheetml/2009/9/main" objectType="CheckBox" checked="Checked" fmlaLink="$E$35" lockText="1" noThreeD="1"/>
</file>

<file path=xl/ctrlProps/ctrlProp4851.xml><?xml version="1.0" encoding="utf-8"?>
<formControlPr xmlns="http://schemas.microsoft.com/office/spreadsheetml/2009/9/main" objectType="CheckBox" checked="Checked" fmlaLink="$E$36" lockText="1" noThreeD="1"/>
</file>

<file path=xl/ctrlProps/ctrlProp4852.xml><?xml version="1.0" encoding="utf-8"?>
<formControlPr xmlns="http://schemas.microsoft.com/office/spreadsheetml/2009/9/main" objectType="CheckBox" fmlaLink="$A$43" lockText="1" noThreeD="1"/>
</file>

<file path=xl/ctrlProps/ctrlProp4853.xml><?xml version="1.0" encoding="utf-8"?>
<formControlPr xmlns="http://schemas.microsoft.com/office/spreadsheetml/2009/9/main" objectType="CheckBox" fmlaLink="$A$44" lockText="1" noThreeD="1"/>
</file>

<file path=xl/ctrlProps/ctrlProp4854.xml><?xml version="1.0" encoding="utf-8"?>
<formControlPr xmlns="http://schemas.microsoft.com/office/spreadsheetml/2009/9/main" objectType="CheckBox" fmlaLink="$A$45" lockText="1" noThreeD="1"/>
</file>

<file path=xl/ctrlProps/ctrlProp4855.xml><?xml version="1.0" encoding="utf-8"?>
<formControlPr xmlns="http://schemas.microsoft.com/office/spreadsheetml/2009/9/main" objectType="CheckBox" fmlaLink="$A$46" lockText="1" noThreeD="1"/>
</file>

<file path=xl/ctrlProps/ctrlProp4856.xml><?xml version="1.0" encoding="utf-8"?>
<formControlPr xmlns="http://schemas.microsoft.com/office/spreadsheetml/2009/9/main" objectType="CheckBox" fmlaLink="$A$47" lockText="1" noThreeD="1"/>
</file>

<file path=xl/ctrlProps/ctrlProp4857.xml><?xml version="1.0" encoding="utf-8"?>
<formControlPr xmlns="http://schemas.microsoft.com/office/spreadsheetml/2009/9/main" objectType="CheckBox" fmlaLink="$A$48" lockText="1" noThreeD="1"/>
</file>

<file path=xl/ctrlProps/ctrlProp4858.xml><?xml version="1.0" encoding="utf-8"?>
<formControlPr xmlns="http://schemas.microsoft.com/office/spreadsheetml/2009/9/main" objectType="CheckBox" fmlaLink="$A$49" lockText="1" noThreeD="1"/>
</file>

<file path=xl/ctrlProps/ctrlProp4859.xml><?xml version="1.0" encoding="utf-8"?>
<formControlPr xmlns="http://schemas.microsoft.com/office/spreadsheetml/2009/9/main" objectType="Button" lockText="1"/>
</file>

<file path=xl/ctrlProps/ctrlProp4860.xml><?xml version="1.0" encoding="utf-8"?>
<formControlPr xmlns="http://schemas.microsoft.com/office/spreadsheetml/2009/9/main" objectType="Button" lockText="1"/>
</file>

<file path=xl/ctrlProps/ctrlProp4861.xml><?xml version="1.0" encoding="utf-8"?>
<formControlPr xmlns="http://schemas.microsoft.com/office/spreadsheetml/2009/9/main" objectType="CheckBox" fmlaLink="$A$40" lockText="1" noThreeD="1"/>
</file>

<file path=xl/ctrlProps/ctrlProp4862.xml><?xml version="1.0" encoding="utf-8"?>
<formControlPr xmlns="http://schemas.microsoft.com/office/spreadsheetml/2009/9/main" objectType="Button" lockText="1"/>
</file>

<file path=xl/ctrlProps/ctrlProp4863.xml><?xml version="1.0" encoding="utf-8"?>
<formControlPr xmlns="http://schemas.microsoft.com/office/spreadsheetml/2009/9/main" objectType="Button" lockText="1"/>
</file>

<file path=xl/ctrlProps/ctrlProp4864.xml><?xml version="1.0" encoding="utf-8"?>
<formControlPr xmlns="http://schemas.microsoft.com/office/spreadsheetml/2009/9/main" objectType="Button" lockText="1"/>
</file>

<file path=xl/ctrlProps/ctrlProp4865.xml><?xml version="1.0" encoding="utf-8"?>
<formControlPr xmlns="http://schemas.microsoft.com/office/spreadsheetml/2009/9/main" objectType="Button" lockText="1"/>
</file>

<file path=xl/ctrlProps/ctrlProp4866.xml><?xml version="1.0" encoding="utf-8"?>
<formControlPr xmlns="http://schemas.microsoft.com/office/spreadsheetml/2009/9/main" objectType="Button" lockText="1"/>
</file>

<file path=xl/ctrlProps/ctrlProp4867.xml><?xml version="1.0" encoding="utf-8"?>
<formControlPr xmlns="http://schemas.microsoft.com/office/spreadsheetml/2009/9/main" objectType="Button" lockText="1"/>
</file>

<file path=xl/ctrlProps/ctrlProp4868.xml><?xml version="1.0" encoding="utf-8"?>
<formControlPr xmlns="http://schemas.microsoft.com/office/spreadsheetml/2009/9/main" objectType="CheckBox" fmlaLink="$A$49" lockText="1" noThreeD="1"/>
</file>

<file path=xl/ctrlProps/ctrlProp4869.xml><?xml version="1.0" encoding="utf-8"?>
<formControlPr xmlns="http://schemas.microsoft.com/office/spreadsheetml/2009/9/main" objectType="CheckBox" checked="Checked" fmlaLink="$A$28" lockText="1" noThreeD="1"/>
</file>

<file path=xl/ctrlProps/ctrlProp4870.xml><?xml version="1.0" encoding="utf-8"?>
<formControlPr xmlns="http://schemas.microsoft.com/office/spreadsheetml/2009/9/main" objectType="CheckBox" checked="Checked" fmlaLink="$A$29" lockText="1" noThreeD="1"/>
</file>

<file path=xl/ctrlProps/ctrlProp4871.xml><?xml version="1.0" encoding="utf-8"?>
<formControlPr xmlns="http://schemas.microsoft.com/office/spreadsheetml/2009/9/main" objectType="CheckBox" checked="Checked" fmlaLink="$A$30" lockText="1" noThreeD="1"/>
</file>

<file path=xl/ctrlProps/ctrlProp4872.xml><?xml version="1.0" encoding="utf-8"?>
<formControlPr xmlns="http://schemas.microsoft.com/office/spreadsheetml/2009/9/main" objectType="CheckBox" checked="Checked" fmlaLink="$A$31" lockText="1" noThreeD="1"/>
</file>

<file path=xl/ctrlProps/ctrlProp4873.xml><?xml version="1.0" encoding="utf-8"?>
<formControlPr xmlns="http://schemas.microsoft.com/office/spreadsheetml/2009/9/main" objectType="CheckBox" checked="Checked" fmlaLink="$E$28" lockText="1" noThreeD="1"/>
</file>

<file path=xl/ctrlProps/ctrlProp4874.xml><?xml version="1.0" encoding="utf-8"?>
<formControlPr xmlns="http://schemas.microsoft.com/office/spreadsheetml/2009/9/main" objectType="CheckBox" checked="Checked" fmlaLink="$E$29" lockText="1" noThreeD="1"/>
</file>

<file path=xl/ctrlProps/ctrlProp4875.xml><?xml version="1.0" encoding="utf-8"?>
<formControlPr xmlns="http://schemas.microsoft.com/office/spreadsheetml/2009/9/main" objectType="CheckBox" checked="Checked" fmlaLink="$E$30" lockText="1" noThreeD="1"/>
</file>

<file path=xl/ctrlProps/ctrlProp4876.xml><?xml version="1.0" encoding="utf-8"?>
<formControlPr xmlns="http://schemas.microsoft.com/office/spreadsheetml/2009/9/main" objectType="CheckBox" checked="Checked" fmlaLink="$A$33" lockText="1" noThreeD="1"/>
</file>

<file path=xl/ctrlProps/ctrlProp4877.xml><?xml version="1.0" encoding="utf-8"?>
<formControlPr xmlns="http://schemas.microsoft.com/office/spreadsheetml/2009/9/main" objectType="CheckBox" checked="Checked" fmlaLink="$A$34" lockText="1" noThreeD="1"/>
</file>

<file path=xl/ctrlProps/ctrlProp4878.xml><?xml version="1.0" encoding="utf-8"?>
<formControlPr xmlns="http://schemas.microsoft.com/office/spreadsheetml/2009/9/main" objectType="CheckBox" checked="Checked" fmlaLink="$A$35" lockText="1" noThreeD="1"/>
</file>

<file path=xl/ctrlProps/ctrlProp4879.xml><?xml version="1.0" encoding="utf-8"?>
<formControlPr xmlns="http://schemas.microsoft.com/office/spreadsheetml/2009/9/main" objectType="CheckBox" checked="Checked" fmlaLink="$A$36" lockText="1" noThreeD="1"/>
</file>

<file path=xl/ctrlProps/ctrlProp4880.xml><?xml version="1.0" encoding="utf-8"?>
<formControlPr xmlns="http://schemas.microsoft.com/office/spreadsheetml/2009/9/main" objectType="CheckBox" fmlaLink="$A$37" lockText="1" noThreeD="1"/>
</file>

<file path=xl/ctrlProps/ctrlProp4881.xml><?xml version="1.0" encoding="utf-8"?>
<formControlPr xmlns="http://schemas.microsoft.com/office/spreadsheetml/2009/9/main" objectType="CheckBox" checked="Checked" fmlaLink="$E$33" lockText="1" noThreeD="1"/>
</file>

<file path=xl/ctrlProps/ctrlProp4882.xml><?xml version="1.0" encoding="utf-8"?>
<formControlPr xmlns="http://schemas.microsoft.com/office/spreadsheetml/2009/9/main" objectType="CheckBox" checked="Checked" fmlaLink="$E$34" lockText="1" noThreeD="1"/>
</file>

<file path=xl/ctrlProps/ctrlProp4883.xml><?xml version="1.0" encoding="utf-8"?>
<formControlPr xmlns="http://schemas.microsoft.com/office/spreadsheetml/2009/9/main" objectType="CheckBox" checked="Checked" fmlaLink="$E$35" lockText="1" noThreeD="1"/>
</file>

<file path=xl/ctrlProps/ctrlProp4884.xml><?xml version="1.0" encoding="utf-8"?>
<formControlPr xmlns="http://schemas.microsoft.com/office/spreadsheetml/2009/9/main" objectType="CheckBox" checked="Checked" fmlaLink="$E$36" lockText="1" noThreeD="1"/>
</file>

<file path=xl/ctrlProps/ctrlProp4885.xml><?xml version="1.0" encoding="utf-8"?>
<formControlPr xmlns="http://schemas.microsoft.com/office/spreadsheetml/2009/9/main" objectType="CheckBox" fmlaLink="$A$43" lockText="1" noThreeD="1"/>
</file>

<file path=xl/ctrlProps/ctrlProp4886.xml><?xml version="1.0" encoding="utf-8"?>
<formControlPr xmlns="http://schemas.microsoft.com/office/spreadsheetml/2009/9/main" objectType="CheckBox" fmlaLink="$A$44" lockText="1" noThreeD="1"/>
</file>

<file path=xl/ctrlProps/ctrlProp4887.xml><?xml version="1.0" encoding="utf-8"?>
<formControlPr xmlns="http://schemas.microsoft.com/office/spreadsheetml/2009/9/main" objectType="CheckBox" fmlaLink="$A$45" lockText="1" noThreeD="1"/>
</file>

<file path=xl/ctrlProps/ctrlProp4888.xml><?xml version="1.0" encoding="utf-8"?>
<formControlPr xmlns="http://schemas.microsoft.com/office/spreadsheetml/2009/9/main" objectType="CheckBox" fmlaLink="$A$46" lockText="1" noThreeD="1"/>
</file>

<file path=xl/ctrlProps/ctrlProp4889.xml><?xml version="1.0" encoding="utf-8"?>
<formControlPr xmlns="http://schemas.microsoft.com/office/spreadsheetml/2009/9/main" objectType="CheckBox" fmlaLink="$A$47" lockText="1" noThreeD="1"/>
</file>

<file path=xl/ctrlProps/ctrlProp4890.xml><?xml version="1.0" encoding="utf-8"?>
<formControlPr xmlns="http://schemas.microsoft.com/office/spreadsheetml/2009/9/main" objectType="CheckBox" fmlaLink="$A$48" lockText="1" noThreeD="1"/>
</file>

<file path=xl/ctrlProps/ctrlProp4891.xml><?xml version="1.0" encoding="utf-8"?>
<formControlPr xmlns="http://schemas.microsoft.com/office/spreadsheetml/2009/9/main" objectType="CheckBox" fmlaLink="$A$49" lockText="1" noThreeD="1"/>
</file>

<file path=xl/ctrlProps/ctrlProp4892.xml><?xml version="1.0" encoding="utf-8"?>
<formControlPr xmlns="http://schemas.microsoft.com/office/spreadsheetml/2009/9/main" objectType="Button" lockText="1"/>
</file>

<file path=xl/ctrlProps/ctrlProp4893.xml><?xml version="1.0" encoding="utf-8"?>
<formControlPr xmlns="http://schemas.microsoft.com/office/spreadsheetml/2009/9/main" objectType="Button" lockText="1"/>
</file>

<file path=xl/ctrlProps/ctrlProp4894.xml><?xml version="1.0" encoding="utf-8"?>
<formControlPr xmlns="http://schemas.microsoft.com/office/spreadsheetml/2009/9/main" objectType="CheckBox" fmlaLink="$A$40" lockText="1" noThreeD="1"/>
</file>

<file path=xl/ctrlProps/ctrlProp4895.xml><?xml version="1.0" encoding="utf-8"?>
<formControlPr xmlns="http://schemas.microsoft.com/office/spreadsheetml/2009/9/main" objectType="Button" lockText="1"/>
</file>

<file path=xl/ctrlProps/ctrlProp4896.xml><?xml version="1.0" encoding="utf-8"?>
<formControlPr xmlns="http://schemas.microsoft.com/office/spreadsheetml/2009/9/main" objectType="Button" lockText="1"/>
</file>

<file path=xl/ctrlProps/ctrlProp4897.xml><?xml version="1.0" encoding="utf-8"?>
<formControlPr xmlns="http://schemas.microsoft.com/office/spreadsheetml/2009/9/main" objectType="Button" lockText="1"/>
</file>

<file path=xl/ctrlProps/ctrlProp4898.xml><?xml version="1.0" encoding="utf-8"?>
<formControlPr xmlns="http://schemas.microsoft.com/office/spreadsheetml/2009/9/main" objectType="Button" lockText="1"/>
</file>

<file path=xl/ctrlProps/ctrlProp4899.xml><?xml version="1.0" encoding="utf-8"?>
<formControlPr xmlns="http://schemas.microsoft.com/office/spreadsheetml/2009/9/main" objectType="Button" lockText="1"/>
</file>

<file path=xl/ctrlProps/ctrlProp4900.xml><?xml version="1.0" encoding="utf-8"?>
<formControlPr xmlns="http://schemas.microsoft.com/office/spreadsheetml/2009/9/main" objectType="Button" lockText="1"/>
</file>

<file path=xl/ctrlProps/ctrlProp4901.xml><?xml version="1.0" encoding="utf-8"?>
<formControlPr xmlns="http://schemas.microsoft.com/office/spreadsheetml/2009/9/main" objectType="CheckBox" fmlaLink="$A$49" lockText="1" noThreeD="1"/>
</file>

<file path=xl/ctrlProps/ctrlProp4902.xml><?xml version="1.0" encoding="utf-8"?>
<formControlPr xmlns="http://schemas.microsoft.com/office/spreadsheetml/2009/9/main" objectType="CheckBox" checked="Checked" fmlaLink="$A$29" lockText="1" noThreeD="1"/>
</file>

<file path=xl/ctrlProps/ctrlProp4903.xml><?xml version="1.0" encoding="utf-8"?>
<formControlPr xmlns="http://schemas.microsoft.com/office/spreadsheetml/2009/9/main" objectType="CheckBox" checked="Checked" fmlaLink="$A$30" lockText="1" noThreeD="1"/>
</file>

<file path=xl/ctrlProps/ctrlProp4904.xml><?xml version="1.0" encoding="utf-8"?>
<formControlPr xmlns="http://schemas.microsoft.com/office/spreadsheetml/2009/9/main" objectType="CheckBox" checked="Checked" fmlaLink="$A$31" lockText="1" noThreeD="1"/>
</file>

<file path=xl/ctrlProps/ctrlProp4905.xml><?xml version="1.0" encoding="utf-8"?>
<formControlPr xmlns="http://schemas.microsoft.com/office/spreadsheetml/2009/9/main" objectType="CheckBox" checked="Checked" fmlaLink="$A$32" lockText="1" noThreeD="1"/>
</file>

<file path=xl/ctrlProps/ctrlProp4906.xml><?xml version="1.0" encoding="utf-8"?>
<formControlPr xmlns="http://schemas.microsoft.com/office/spreadsheetml/2009/9/main" objectType="CheckBox" checked="Checked" fmlaLink="$E$29" lockText="1" noThreeD="1"/>
</file>

<file path=xl/ctrlProps/ctrlProp4907.xml><?xml version="1.0" encoding="utf-8"?>
<formControlPr xmlns="http://schemas.microsoft.com/office/spreadsheetml/2009/9/main" objectType="CheckBox" checked="Checked" fmlaLink="$E$30" lockText="1" noThreeD="1"/>
</file>

<file path=xl/ctrlProps/ctrlProp4908.xml><?xml version="1.0" encoding="utf-8"?>
<formControlPr xmlns="http://schemas.microsoft.com/office/spreadsheetml/2009/9/main" objectType="CheckBox" fmlaLink="$E$31" lockText="1" noThreeD="1"/>
</file>

<file path=xl/ctrlProps/ctrlProp4909.xml><?xml version="1.0" encoding="utf-8"?>
<formControlPr xmlns="http://schemas.microsoft.com/office/spreadsheetml/2009/9/main" objectType="CheckBox" checked="Checked" fmlaLink="$A$34" lockText="1" noThreeD="1"/>
</file>

<file path=xl/ctrlProps/ctrlProp4910.xml><?xml version="1.0" encoding="utf-8"?>
<formControlPr xmlns="http://schemas.microsoft.com/office/spreadsheetml/2009/9/main" objectType="CheckBox" checked="Checked" fmlaLink="$A$35" lockText="1" noThreeD="1"/>
</file>

<file path=xl/ctrlProps/ctrlProp4911.xml><?xml version="1.0" encoding="utf-8"?>
<formControlPr xmlns="http://schemas.microsoft.com/office/spreadsheetml/2009/9/main" objectType="CheckBox" checked="Checked" fmlaLink="$A$36" lockText="1" noThreeD="1"/>
</file>

<file path=xl/ctrlProps/ctrlProp4912.xml><?xml version="1.0" encoding="utf-8"?>
<formControlPr xmlns="http://schemas.microsoft.com/office/spreadsheetml/2009/9/main" objectType="CheckBox" checked="Checked" fmlaLink="$A$37" lockText="1" noThreeD="1"/>
</file>

<file path=xl/ctrlProps/ctrlProp4913.xml><?xml version="1.0" encoding="utf-8"?>
<formControlPr xmlns="http://schemas.microsoft.com/office/spreadsheetml/2009/9/main" objectType="CheckBox" fmlaLink="$A$38" lockText="1" noThreeD="1"/>
</file>

<file path=xl/ctrlProps/ctrlProp4914.xml><?xml version="1.0" encoding="utf-8"?>
<formControlPr xmlns="http://schemas.microsoft.com/office/spreadsheetml/2009/9/main" objectType="CheckBox" checked="Checked" fmlaLink="$E$34" lockText="1" noThreeD="1"/>
</file>

<file path=xl/ctrlProps/ctrlProp4915.xml><?xml version="1.0" encoding="utf-8"?>
<formControlPr xmlns="http://schemas.microsoft.com/office/spreadsheetml/2009/9/main" objectType="CheckBox" checked="Checked" fmlaLink="$E$35" lockText="1" noThreeD="1"/>
</file>

<file path=xl/ctrlProps/ctrlProp4916.xml><?xml version="1.0" encoding="utf-8"?>
<formControlPr xmlns="http://schemas.microsoft.com/office/spreadsheetml/2009/9/main" objectType="CheckBox" checked="Checked" fmlaLink="$E$36" lockText="1" noThreeD="1"/>
</file>

<file path=xl/ctrlProps/ctrlProp4917.xml><?xml version="1.0" encoding="utf-8"?>
<formControlPr xmlns="http://schemas.microsoft.com/office/spreadsheetml/2009/9/main" objectType="CheckBox" checked="Checked" fmlaLink="$E$37" lockText="1" noThreeD="1"/>
</file>

<file path=xl/ctrlProps/ctrlProp4918.xml><?xml version="1.0" encoding="utf-8"?>
<formControlPr xmlns="http://schemas.microsoft.com/office/spreadsheetml/2009/9/main" objectType="CheckBox" fmlaLink="$A$44" lockText="1" noThreeD="1"/>
</file>

<file path=xl/ctrlProps/ctrlProp4919.xml><?xml version="1.0" encoding="utf-8"?>
<formControlPr xmlns="http://schemas.microsoft.com/office/spreadsheetml/2009/9/main" objectType="CheckBox" fmlaLink="$A$45" lockText="1" noThreeD="1"/>
</file>

<file path=xl/ctrlProps/ctrlProp4920.xml><?xml version="1.0" encoding="utf-8"?>
<formControlPr xmlns="http://schemas.microsoft.com/office/spreadsheetml/2009/9/main" objectType="CheckBox" fmlaLink="$A$46" lockText="1" noThreeD="1"/>
</file>

<file path=xl/ctrlProps/ctrlProp4921.xml><?xml version="1.0" encoding="utf-8"?>
<formControlPr xmlns="http://schemas.microsoft.com/office/spreadsheetml/2009/9/main" objectType="CheckBox" fmlaLink="$A$47" lockText="1" noThreeD="1"/>
</file>

<file path=xl/ctrlProps/ctrlProp4922.xml><?xml version="1.0" encoding="utf-8"?>
<formControlPr xmlns="http://schemas.microsoft.com/office/spreadsheetml/2009/9/main" objectType="CheckBox" fmlaLink="$A$48" lockText="1" noThreeD="1"/>
</file>

<file path=xl/ctrlProps/ctrlProp4923.xml><?xml version="1.0" encoding="utf-8"?>
<formControlPr xmlns="http://schemas.microsoft.com/office/spreadsheetml/2009/9/main" objectType="CheckBox" fmlaLink="$A$49" lockText="1" noThreeD="1"/>
</file>

<file path=xl/ctrlProps/ctrlProp4924.xml><?xml version="1.0" encoding="utf-8"?>
<formControlPr xmlns="http://schemas.microsoft.com/office/spreadsheetml/2009/9/main" objectType="CheckBox" fmlaLink="$A$50" lockText="1" noThreeD="1"/>
</file>

<file path=xl/ctrlProps/ctrlProp4925.xml><?xml version="1.0" encoding="utf-8"?>
<formControlPr xmlns="http://schemas.microsoft.com/office/spreadsheetml/2009/9/main" objectType="Button" lockText="1"/>
</file>

<file path=xl/ctrlProps/ctrlProp4926.xml><?xml version="1.0" encoding="utf-8"?>
<formControlPr xmlns="http://schemas.microsoft.com/office/spreadsheetml/2009/9/main" objectType="Button" lockText="1"/>
</file>

<file path=xl/ctrlProps/ctrlProp4927.xml><?xml version="1.0" encoding="utf-8"?>
<formControlPr xmlns="http://schemas.microsoft.com/office/spreadsheetml/2009/9/main" objectType="CheckBox" fmlaLink="$A$41" lockText="1" noThreeD="1"/>
</file>

<file path=xl/ctrlProps/ctrlProp4928.xml><?xml version="1.0" encoding="utf-8"?>
<formControlPr xmlns="http://schemas.microsoft.com/office/spreadsheetml/2009/9/main" objectType="Button" lockText="1"/>
</file>

<file path=xl/ctrlProps/ctrlProp4929.xml><?xml version="1.0" encoding="utf-8"?>
<formControlPr xmlns="http://schemas.microsoft.com/office/spreadsheetml/2009/9/main" objectType="Button" lockText="1"/>
</file>

<file path=xl/ctrlProps/ctrlProp4930.xml><?xml version="1.0" encoding="utf-8"?>
<formControlPr xmlns="http://schemas.microsoft.com/office/spreadsheetml/2009/9/main" objectType="Button" lockText="1"/>
</file>

<file path=xl/ctrlProps/ctrlProp4931.xml><?xml version="1.0" encoding="utf-8"?>
<formControlPr xmlns="http://schemas.microsoft.com/office/spreadsheetml/2009/9/main" objectType="Button" lockText="1"/>
</file>

<file path=xl/ctrlProps/ctrlProp4932.xml><?xml version="1.0" encoding="utf-8"?>
<formControlPr xmlns="http://schemas.microsoft.com/office/spreadsheetml/2009/9/main" objectType="Button" lockText="1"/>
</file>

<file path=xl/ctrlProps/ctrlProp4933.xml><?xml version="1.0" encoding="utf-8"?>
<formControlPr xmlns="http://schemas.microsoft.com/office/spreadsheetml/2009/9/main" objectType="Button" lockText="1"/>
</file>

<file path=xl/ctrlProps/ctrlProp4934.xml><?xml version="1.0" encoding="utf-8"?>
<formControlPr xmlns="http://schemas.microsoft.com/office/spreadsheetml/2009/9/main" objectType="CheckBox" fmlaLink="$A$29" lockText="1" noThreeD="1"/>
</file>

<file path=xl/ctrlProps/ctrlProp4935.xml><?xml version="1.0" encoding="utf-8"?>
<formControlPr xmlns="http://schemas.microsoft.com/office/spreadsheetml/2009/9/main" objectType="CheckBox" fmlaLink="$A$30" lockText="1" noThreeD="1"/>
</file>

<file path=xl/ctrlProps/ctrlProp4936.xml><?xml version="1.0" encoding="utf-8"?>
<formControlPr xmlns="http://schemas.microsoft.com/office/spreadsheetml/2009/9/main" objectType="CheckBox" fmlaLink="$A$31" lockText="1" noThreeD="1"/>
</file>

<file path=xl/ctrlProps/ctrlProp4937.xml><?xml version="1.0" encoding="utf-8"?>
<formControlPr xmlns="http://schemas.microsoft.com/office/spreadsheetml/2009/9/main" objectType="CheckBox" fmlaLink="$A$32" lockText="1" noThreeD="1"/>
</file>

<file path=xl/ctrlProps/ctrlProp4938.xml><?xml version="1.0" encoding="utf-8"?>
<formControlPr xmlns="http://schemas.microsoft.com/office/spreadsheetml/2009/9/main" objectType="CheckBox" fmlaLink="$E$29" lockText="1" noThreeD="1"/>
</file>

<file path=xl/ctrlProps/ctrlProp4939.xml><?xml version="1.0" encoding="utf-8"?>
<formControlPr xmlns="http://schemas.microsoft.com/office/spreadsheetml/2009/9/main" objectType="CheckBox" fmlaLink="$E$30" lockText="1" noThreeD="1"/>
</file>

<file path=xl/ctrlProps/ctrlProp4940.xml><?xml version="1.0" encoding="utf-8"?>
<formControlPr xmlns="http://schemas.microsoft.com/office/spreadsheetml/2009/9/main" objectType="CheckBox" fmlaLink="$E$31" lockText="1" noThreeD="1"/>
</file>

<file path=xl/ctrlProps/ctrlProp4941.xml><?xml version="1.0" encoding="utf-8"?>
<formControlPr xmlns="http://schemas.microsoft.com/office/spreadsheetml/2009/9/main" objectType="CheckBox" fmlaLink="$A$34" lockText="1" noThreeD="1"/>
</file>

<file path=xl/ctrlProps/ctrlProp4942.xml><?xml version="1.0" encoding="utf-8"?>
<formControlPr xmlns="http://schemas.microsoft.com/office/spreadsheetml/2009/9/main" objectType="CheckBox" fmlaLink="$A$35" lockText="1" noThreeD="1"/>
</file>

<file path=xl/ctrlProps/ctrlProp4943.xml><?xml version="1.0" encoding="utf-8"?>
<formControlPr xmlns="http://schemas.microsoft.com/office/spreadsheetml/2009/9/main" objectType="CheckBox" fmlaLink="$A$36" lockText="1" noThreeD="1"/>
</file>

<file path=xl/ctrlProps/ctrlProp4944.xml><?xml version="1.0" encoding="utf-8"?>
<formControlPr xmlns="http://schemas.microsoft.com/office/spreadsheetml/2009/9/main" objectType="CheckBox" fmlaLink="$A$37" lockText="1" noThreeD="1"/>
</file>

<file path=xl/ctrlProps/ctrlProp4945.xml><?xml version="1.0" encoding="utf-8"?>
<formControlPr xmlns="http://schemas.microsoft.com/office/spreadsheetml/2009/9/main" objectType="CheckBox" fmlaLink="$A$38" lockText="1" noThreeD="1"/>
</file>

<file path=xl/ctrlProps/ctrlProp4946.xml><?xml version="1.0" encoding="utf-8"?>
<formControlPr xmlns="http://schemas.microsoft.com/office/spreadsheetml/2009/9/main" objectType="CheckBox" fmlaLink="$E$34" lockText="1" noThreeD="1"/>
</file>

<file path=xl/ctrlProps/ctrlProp4947.xml><?xml version="1.0" encoding="utf-8"?>
<formControlPr xmlns="http://schemas.microsoft.com/office/spreadsheetml/2009/9/main" objectType="CheckBox" fmlaLink="$E$35" lockText="1" noThreeD="1"/>
</file>

<file path=xl/ctrlProps/ctrlProp4948.xml><?xml version="1.0" encoding="utf-8"?>
<formControlPr xmlns="http://schemas.microsoft.com/office/spreadsheetml/2009/9/main" objectType="CheckBox" fmlaLink="$E$36" lockText="1" noThreeD="1"/>
</file>

<file path=xl/ctrlProps/ctrlProp4949.xml><?xml version="1.0" encoding="utf-8"?>
<formControlPr xmlns="http://schemas.microsoft.com/office/spreadsheetml/2009/9/main" objectType="CheckBox" fmlaLink="$E$37" lockText="1" noThreeD="1"/>
</file>

<file path=xl/ctrlProps/ctrlProp4950.xml><?xml version="1.0" encoding="utf-8"?>
<formControlPr xmlns="http://schemas.microsoft.com/office/spreadsheetml/2009/9/main" objectType="CheckBox" fmlaLink="$A$44" lockText="1" noThreeD="1"/>
</file>

<file path=xl/ctrlProps/ctrlProp4951.xml><?xml version="1.0" encoding="utf-8"?>
<formControlPr xmlns="http://schemas.microsoft.com/office/spreadsheetml/2009/9/main" objectType="CheckBox" fmlaLink="$A$45" lockText="1" noThreeD="1"/>
</file>

<file path=xl/ctrlProps/ctrlProp4952.xml><?xml version="1.0" encoding="utf-8"?>
<formControlPr xmlns="http://schemas.microsoft.com/office/spreadsheetml/2009/9/main" objectType="CheckBox" fmlaLink="$A$46" lockText="1" noThreeD="1"/>
</file>

<file path=xl/ctrlProps/ctrlProp4953.xml><?xml version="1.0" encoding="utf-8"?>
<formControlPr xmlns="http://schemas.microsoft.com/office/spreadsheetml/2009/9/main" objectType="CheckBox" fmlaLink="$A$47" lockText="1" noThreeD="1"/>
</file>

<file path=xl/ctrlProps/ctrlProp4954.xml><?xml version="1.0" encoding="utf-8"?>
<formControlPr xmlns="http://schemas.microsoft.com/office/spreadsheetml/2009/9/main" objectType="CheckBox" fmlaLink="$A$48" lockText="1" noThreeD="1"/>
</file>

<file path=xl/ctrlProps/ctrlProp4955.xml><?xml version="1.0" encoding="utf-8"?>
<formControlPr xmlns="http://schemas.microsoft.com/office/spreadsheetml/2009/9/main" objectType="CheckBox" fmlaLink="$A$49" lockText="1" noThreeD="1"/>
</file>

<file path=xl/ctrlProps/ctrlProp4956.xml><?xml version="1.0" encoding="utf-8"?>
<formControlPr xmlns="http://schemas.microsoft.com/office/spreadsheetml/2009/9/main" objectType="CheckBox" fmlaLink="$A$50" lockText="1" noThreeD="1"/>
</file>

<file path=xl/ctrlProps/ctrlProp4957.xml><?xml version="1.0" encoding="utf-8"?>
<formControlPr xmlns="http://schemas.microsoft.com/office/spreadsheetml/2009/9/main" objectType="Button" lockText="1"/>
</file>

<file path=xl/ctrlProps/ctrlProp4958.xml><?xml version="1.0" encoding="utf-8"?>
<formControlPr xmlns="http://schemas.microsoft.com/office/spreadsheetml/2009/9/main" objectType="Button" lockText="1"/>
</file>

<file path=xl/ctrlProps/ctrlProp4959.xml><?xml version="1.0" encoding="utf-8"?>
<formControlPr xmlns="http://schemas.microsoft.com/office/spreadsheetml/2009/9/main" objectType="CheckBox" fmlaLink="$A$41" lockText="1" noThreeD="1"/>
</file>

<file path=xl/ctrlProps/ctrlProp4960.xml><?xml version="1.0" encoding="utf-8"?>
<formControlPr xmlns="http://schemas.microsoft.com/office/spreadsheetml/2009/9/main" objectType="Button" lockText="1"/>
</file>

<file path=xl/ctrlProps/ctrlProp4961.xml><?xml version="1.0" encoding="utf-8"?>
<formControlPr xmlns="http://schemas.microsoft.com/office/spreadsheetml/2009/9/main" objectType="Button" lockText="1"/>
</file>

<file path=xl/ctrlProps/ctrlProp4962.xml><?xml version="1.0" encoding="utf-8"?>
<formControlPr xmlns="http://schemas.microsoft.com/office/spreadsheetml/2009/9/main" objectType="Button" lockText="1"/>
</file>

<file path=xl/ctrlProps/ctrlProp4963.xml><?xml version="1.0" encoding="utf-8"?>
<formControlPr xmlns="http://schemas.microsoft.com/office/spreadsheetml/2009/9/main" objectType="Button" lockText="1"/>
</file>

<file path=xl/ctrlProps/ctrlProp4964.xml><?xml version="1.0" encoding="utf-8"?>
<formControlPr xmlns="http://schemas.microsoft.com/office/spreadsheetml/2009/9/main" objectType="Button" lockText="1"/>
</file>

<file path=xl/ctrlProps/ctrlProp4965.xml><?xml version="1.0" encoding="utf-8"?>
<formControlPr xmlns="http://schemas.microsoft.com/office/spreadsheetml/2009/9/main" objectType="Button" lockText="1"/>
</file>

<file path=xl/ctrlProps/ctrlProp4966.xml><?xml version="1.0" encoding="utf-8"?>
<formControlPr xmlns="http://schemas.microsoft.com/office/spreadsheetml/2009/9/main" objectType="CheckBox" checked="Checked" fmlaLink="$A$29" lockText="1" noThreeD="1"/>
</file>

<file path=xl/ctrlProps/ctrlProp4967.xml><?xml version="1.0" encoding="utf-8"?>
<formControlPr xmlns="http://schemas.microsoft.com/office/spreadsheetml/2009/9/main" objectType="CheckBox" checked="Checked" fmlaLink="$A$30" lockText="1" noThreeD="1"/>
</file>

<file path=xl/ctrlProps/ctrlProp4968.xml><?xml version="1.0" encoding="utf-8"?>
<formControlPr xmlns="http://schemas.microsoft.com/office/spreadsheetml/2009/9/main" objectType="CheckBox" checked="Checked" fmlaLink="$A$31" lockText="1" noThreeD="1"/>
</file>

<file path=xl/ctrlProps/ctrlProp4969.xml><?xml version="1.0" encoding="utf-8"?>
<formControlPr xmlns="http://schemas.microsoft.com/office/spreadsheetml/2009/9/main" objectType="CheckBox" checked="Checked" fmlaLink="$A$32" lockText="1" noThreeD="1"/>
</file>

<file path=xl/ctrlProps/ctrlProp4970.xml><?xml version="1.0" encoding="utf-8"?>
<formControlPr xmlns="http://schemas.microsoft.com/office/spreadsheetml/2009/9/main" objectType="CheckBox" checked="Checked" fmlaLink="$E$29" lockText="1" noThreeD="1"/>
</file>

<file path=xl/ctrlProps/ctrlProp4971.xml><?xml version="1.0" encoding="utf-8"?>
<formControlPr xmlns="http://schemas.microsoft.com/office/spreadsheetml/2009/9/main" objectType="CheckBox" checked="Checked" fmlaLink="$E$30" lockText="1" noThreeD="1"/>
</file>

<file path=xl/ctrlProps/ctrlProp4972.xml><?xml version="1.0" encoding="utf-8"?>
<formControlPr xmlns="http://schemas.microsoft.com/office/spreadsheetml/2009/9/main" objectType="CheckBox" checked="Checked" fmlaLink="$E$31" lockText="1" noThreeD="1"/>
</file>

<file path=xl/ctrlProps/ctrlProp4973.xml><?xml version="1.0" encoding="utf-8"?>
<formControlPr xmlns="http://schemas.microsoft.com/office/spreadsheetml/2009/9/main" objectType="CheckBox" checked="Checked" fmlaLink="$A$34" lockText="1" noThreeD="1"/>
</file>

<file path=xl/ctrlProps/ctrlProp4974.xml><?xml version="1.0" encoding="utf-8"?>
<formControlPr xmlns="http://schemas.microsoft.com/office/spreadsheetml/2009/9/main" objectType="CheckBox" checked="Checked" fmlaLink="$A$35" lockText="1" noThreeD="1"/>
</file>

<file path=xl/ctrlProps/ctrlProp4975.xml><?xml version="1.0" encoding="utf-8"?>
<formControlPr xmlns="http://schemas.microsoft.com/office/spreadsheetml/2009/9/main" objectType="CheckBox" checked="Checked" fmlaLink="$A$36" lockText="1" noThreeD="1"/>
</file>

<file path=xl/ctrlProps/ctrlProp4976.xml><?xml version="1.0" encoding="utf-8"?>
<formControlPr xmlns="http://schemas.microsoft.com/office/spreadsheetml/2009/9/main" objectType="CheckBox" checked="Checked" fmlaLink="$A$37" lockText="1" noThreeD="1"/>
</file>

<file path=xl/ctrlProps/ctrlProp4977.xml><?xml version="1.0" encoding="utf-8"?>
<formControlPr xmlns="http://schemas.microsoft.com/office/spreadsheetml/2009/9/main" objectType="CheckBox" fmlaLink="$A$38" lockText="1" noThreeD="1"/>
</file>

<file path=xl/ctrlProps/ctrlProp4978.xml><?xml version="1.0" encoding="utf-8"?>
<formControlPr xmlns="http://schemas.microsoft.com/office/spreadsheetml/2009/9/main" objectType="CheckBox" checked="Checked" fmlaLink="$E$34" lockText="1" noThreeD="1"/>
</file>

<file path=xl/ctrlProps/ctrlProp4979.xml><?xml version="1.0" encoding="utf-8"?>
<formControlPr xmlns="http://schemas.microsoft.com/office/spreadsheetml/2009/9/main" objectType="CheckBox" checked="Checked" fmlaLink="$E$35" lockText="1" noThreeD="1"/>
</file>

<file path=xl/ctrlProps/ctrlProp4980.xml><?xml version="1.0" encoding="utf-8"?>
<formControlPr xmlns="http://schemas.microsoft.com/office/spreadsheetml/2009/9/main" objectType="CheckBox" checked="Checked" fmlaLink="$E$36" lockText="1" noThreeD="1"/>
</file>

<file path=xl/ctrlProps/ctrlProp4981.xml><?xml version="1.0" encoding="utf-8"?>
<formControlPr xmlns="http://schemas.microsoft.com/office/spreadsheetml/2009/9/main" objectType="CheckBox" checked="Checked" fmlaLink="$E$37" lockText="1" noThreeD="1"/>
</file>

<file path=xl/ctrlProps/ctrlProp4982.xml><?xml version="1.0" encoding="utf-8"?>
<formControlPr xmlns="http://schemas.microsoft.com/office/spreadsheetml/2009/9/main" objectType="CheckBox" fmlaLink="$A$44" lockText="1" noThreeD="1"/>
</file>

<file path=xl/ctrlProps/ctrlProp4983.xml><?xml version="1.0" encoding="utf-8"?>
<formControlPr xmlns="http://schemas.microsoft.com/office/spreadsheetml/2009/9/main" objectType="CheckBox" fmlaLink="$A$45" lockText="1" noThreeD="1"/>
</file>

<file path=xl/ctrlProps/ctrlProp4984.xml><?xml version="1.0" encoding="utf-8"?>
<formControlPr xmlns="http://schemas.microsoft.com/office/spreadsheetml/2009/9/main" objectType="CheckBox" fmlaLink="$A$46" lockText="1" noThreeD="1"/>
</file>

<file path=xl/ctrlProps/ctrlProp4985.xml><?xml version="1.0" encoding="utf-8"?>
<formControlPr xmlns="http://schemas.microsoft.com/office/spreadsheetml/2009/9/main" objectType="CheckBox" fmlaLink="$A$47" lockText="1" noThreeD="1"/>
</file>

<file path=xl/ctrlProps/ctrlProp4986.xml><?xml version="1.0" encoding="utf-8"?>
<formControlPr xmlns="http://schemas.microsoft.com/office/spreadsheetml/2009/9/main" objectType="CheckBox" fmlaLink="$A$48" lockText="1" noThreeD="1"/>
</file>

<file path=xl/ctrlProps/ctrlProp4987.xml><?xml version="1.0" encoding="utf-8"?>
<formControlPr xmlns="http://schemas.microsoft.com/office/spreadsheetml/2009/9/main" objectType="CheckBox" fmlaLink="$A$49" lockText="1" noThreeD="1"/>
</file>

<file path=xl/ctrlProps/ctrlProp4988.xml><?xml version="1.0" encoding="utf-8"?>
<formControlPr xmlns="http://schemas.microsoft.com/office/spreadsheetml/2009/9/main" objectType="CheckBox" fmlaLink="$A$50" lockText="1" noThreeD="1"/>
</file>

<file path=xl/ctrlProps/ctrlProp4989.xml><?xml version="1.0" encoding="utf-8"?>
<formControlPr xmlns="http://schemas.microsoft.com/office/spreadsheetml/2009/9/main" objectType="Button" lockText="1"/>
</file>

<file path=xl/ctrlProps/ctrlProp4990.xml><?xml version="1.0" encoding="utf-8"?>
<formControlPr xmlns="http://schemas.microsoft.com/office/spreadsheetml/2009/9/main" objectType="Button" lockText="1"/>
</file>

<file path=xl/ctrlProps/ctrlProp4991.xml><?xml version="1.0" encoding="utf-8"?>
<formControlPr xmlns="http://schemas.microsoft.com/office/spreadsheetml/2009/9/main" objectType="CheckBox" fmlaLink="$A$41" lockText="1" noThreeD="1"/>
</file>

<file path=xl/ctrlProps/ctrlProp4992.xml><?xml version="1.0" encoding="utf-8"?>
<formControlPr xmlns="http://schemas.microsoft.com/office/spreadsheetml/2009/9/main" objectType="Button" lockText="1"/>
</file>

<file path=xl/ctrlProps/ctrlProp4993.xml><?xml version="1.0" encoding="utf-8"?>
<formControlPr xmlns="http://schemas.microsoft.com/office/spreadsheetml/2009/9/main" objectType="Button" lockText="1"/>
</file>

<file path=xl/ctrlProps/ctrlProp4994.xml><?xml version="1.0" encoding="utf-8"?>
<formControlPr xmlns="http://schemas.microsoft.com/office/spreadsheetml/2009/9/main" objectType="Button" lockText="1"/>
</file>

<file path=xl/ctrlProps/ctrlProp4995.xml><?xml version="1.0" encoding="utf-8"?>
<formControlPr xmlns="http://schemas.microsoft.com/office/spreadsheetml/2009/9/main" objectType="Button" lockText="1"/>
</file>

<file path=xl/ctrlProps/ctrlProp4996.xml><?xml version="1.0" encoding="utf-8"?>
<formControlPr xmlns="http://schemas.microsoft.com/office/spreadsheetml/2009/9/main" objectType="Button" lockText="1"/>
</file>

<file path=xl/ctrlProps/ctrlProp4997.xml><?xml version="1.0" encoding="utf-8"?>
<formControlPr xmlns="http://schemas.microsoft.com/office/spreadsheetml/2009/9/main" objectType="Button" lockText="1"/>
</file>

<file path=xl/ctrlProps/ctrlProp4998.xml><?xml version="1.0" encoding="utf-8"?>
<formControlPr xmlns="http://schemas.microsoft.com/office/spreadsheetml/2009/9/main" objectType="CheckBox" checked="Checked" fmlaLink="$A$29" lockText="1" noThreeD="1"/>
</file>

<file path=xl/ctrlProps/ctrlProp4999.xml><?xml version="1.0" encoding="utf-8"?>
<formControlPr xmlns="http://schemas.microsoft.com/office/spreadsheetml/2009/9/main" objectType="CheckBox" checked="Checked" fmlaLink="$A$30" lockText="1" noThreeD="1"/>
</file>

<file path=xl/ctrlProps/ctrlProp5000.xml><?xml version="1.0" encoding="utf-8"?>
<formControlPr xmlns="http://schemas.microsoft.com/office/spreadsheetml/2009/9/main" objectType="CheckBox" checked="Checked" fmlaLink="$A$31" lockText="1" noThreeD="1"/>
</file>

<file path=xl/ctrlProps/ctrlProp5001.xml><?xml version="1.0" encoding="utf-8"?>
<formControlPr xmlns="http://schemas.microsoft.com/office/spreadsheetml/2009/9/main" objectType="CheckBox" fmlaLink="$A$32" lockText="1" noThreeD="1"/>
</file>

<file path=xl/ctrlProps/ctrlProp5002.xml><?xml version="1.0" encoding="utf-8"?>
<formControlPr xmlns="http://schemas.microsoft.com/office/spreadsheetml/2009/9/main" objectType="CheckBox" fmlaLink="$E$29" lockText="1" noThreeD="1"/>
</file>

<file path=xl/ctrlProps/ctrlProp5003.xml><?xml version="1.0" encoding="utf-8"?>
<formControlPr xmlns="http://schemas.microsoft.com/office/spreadsheetml/2009/9/main" objectType="CheckBox" checked="Checked" fmlaLink="$E$30" lockText="1" noThreeD="1"/>
</file>

<file path=xl/ctrlProps/ctrlProp5004.xml><?xml version="1.0" encoding="utf-8"?>
<formControlPr xmlns="http://schemas.microsoft.com/office/spreadsheetml/2009/9/main" objectType="CheckBox" checked="Checked" fmlaLink="$E$31" lockText="1" noThreeD="1"/>
</file>

<file path=xl/ctrlProps/ctrlProp5005.xml><?xml version="1.0" encoding="utf-8"?>
<formControlPr xmlns="http://schemas.microsoft.com/office/spreadsheetml/2009/9/main" objectType="CheckBox" checked="Checked" fmlaLink="$A$34" lockText="1" noThreeD="1"/>
</file>

<file path=xl/ctrlProps/ctrlProp5006.xml><?xml version="1.0" encoding="utf-8"?>
<formControlPr xmlns="http://schemas.microsoft.com/office/spreadsheetml/2009/9/main" objectType="CheckBox" checked="Checked" fmlaLink="$A$35" lockText="1" noThreeD="1"/>
</file>

<file path=xl/ctrlProps/ctrlProp5007.xml><?xml version="1.0" encoding="utf-8"?>
<formControlPr xmlns="http://schemas.microsoft.com/office/spreadsheetml/2009/9/main" objectType="CheckBox" checked="Checked" fmlaLink="$A$36" lockText="1" noThreeD="1"/>
</file>

<file path=xl/ctrlProps/ctrlProp5008.xml><?xml version="1.0" encoding="utf-8"?>
<formControlPr xmlns="http://schemas.microsoft.com/office/spreadsheetml/2009/9/main" objectType="CheckBox" checked="Checked" fmlaLink="$A$37" lockText="1" noThreeD="1"/>
</file>

<file path=xl/ctrlProps/ctrlProp5009.xml><?xml version="1.0" encoding="utf-8"?>
<formControlPr xmlns="http://schemas.microsoft.com/office/spreadsheetml/2009/9/main" objectType="CheckBox" fmlaLink="$A$38" lockText="1" noThreeD="1"/>
</file>

<file path=xl/ctrlProps/ctrlProp5010.xml><?xml version="1.0" encoding="utf-8"?>
<formControlPr xmlns="http://schemas.microsoft.com/office/spreadsheetml/2009/9/main" objectType="CheckBox" checked="Checked" fmlaLink="$E$34" lockText="1" noThreeD="1"/>
</file>

<file path=xl/ctrlProps/ctrlProp5011.xml><?xml version="1.0" encoding="utf-8"?>
<formControlPr xmlns="http://schemas.microsoft.com/office/spreadsheetml/2009/9/main" objectType="CheckBox" checked="Checked" fmlaLink="$E$35" lockText="1" noThreeD="1"/>
</file>

<file path=xl/ctrlProps/ctrlProp5012.xml><?xml version="1.0" encoding="utf-8"?>
<formControlPr xmlns="http://schemas.microsoft.com/office/spreadsheetml/2009/9/main" objectType="CheckBox" checked="Checked" fmlaLink="$E$36" lockText="1" noThreeD="1"/>
</file>

<file path=xl/ctrlProps/ctrlProp5013.xml><?xml version="1.0" encoding="utf-8"?>
<formControlPr xmlns="http://schemas.microsoft.com/office/spreadsheetml/2009/9/main" objectType="CheckBox" checked="Checked" fmlaLink="$E$37" lockText="1" noThreeD="1"/>
</file>

<file path=xl/ctrlProps/ctrlProp5014.xml><?xml version="1.0" encoding="utf-8"?>
<formControlPr xmlns="http://schemas.microsoft.com/office/spreadsheetml/2009/9/main" objectType="CheckBox" fmlaLink="$A$44" lockText="1" noThreeD="1"/>
</file>

<file path=xl/ctrlProps/ctrlProp5015.xml><?xml version="1.0" encoding="utf-8"?>
<formControlPr xmlns="http://schemas.microsoft.com/office/spreadsheetml/2009/9/main" objectType="CheckBox" fmlaLink="$A$45" lockText="1" noThreeD="1"/>
</file>

<file path=xl/ctrlProps/ctrlProp5016.xml><?xml version="1.0" encoding="utf-8"?>
<formControlPr xmlns="http://schemas.microsoft.com/office/spreadsheetml/2009/9/main" objectType="CheckBox" fmlaLink="$A$46" lockText="1" noThreeD="1"/>
</file>

<file path=xl/ctrlProps/ctrlProp5017.xml><?xml version="1.0" encoding="utf-8"?>
<formControlPr xmlns="http://schemas.microsoft.com/office/spreadsheetml/2009/9/main" objectType="CheckBox" fmlaLink="$A$47" lockText="1" noThreeD="1"/>
</file>

<file path=xl/ctrlProps/ctrlProp5018.xml><?xml version="1.0" encoding="utf-8"?>
<formControlPr xmlns="http://schemas.microsoft.com/office/spreadsheetml/2009/9/main" objectType="CheckBox" fmlaLink="$A$48" lockText="1" noThreeD="1"/>
</file>

<file path=xl/ctrlProps/ctrlProp5019.xml><?xml version="1.0" encoding="utf-8"?>
<formControlPr xmlns="http://schemas.microsoft.com/office/spreadsheetml/2009/9/main" objectType="CheckBox" fmlaLink="$A$49" lockText="1" noThreeD="1"/>
</file>

<file path=xl/ctrlProps/ctrlProp5020.xml><?xml version="1.0" encoding="utf-8"?>
<formControlPr xmlns="http://schemas.microsoft.com/office/spreadsheetml/2009/9/main" objectType="CheckBox" fmlaLink="$A$50" lockText="1" noThreeD="1"/>
</file>

<file path=xl/ctrlProps/ctrlProp5021.xml><?xml version="1.0" encoding="utf-8"?>
<formControlPr xmlns="http://schemas.microsoft.com/office/spreadsheetml/2009/9/main" objectType="Button" lockText="1"/>
</file>

<file path=xl/ctrlProps/ctrlProp5022.xml><?xml version="1.0" encoding="utf-8"?>
<formControlPr xmlns="http://schemas.microsoft.com/office/spreadsheetml/2009/9/main" objectType="Button" lockText="1"/>
</file>

<file path=xl/ctrlProps/ctrlProp5023.xml><?xml version="1.0" encoding="utf-8"?>
<formControlPr xmlns="http://schemas.microsoft.com/office/spreadsheetml/2009/9/main" objectType="CheckBox" fmlaLink="$A$41" lockText="1" noThreeD="1"/>
</file>

<file path=xl/ctrlProps/ctrlProp5024.xml><?xml version="1.0" encoding="utf-8"?>
<formControlPr xmlns="http://schemas.microsoft.com/office/spreadsheetml/2009/9/main" objectType="Button" lockText="1"/>
</file>

<file path=xl/ctrlProps/ctrlProp5025.xml><?xml version="1.0" encoding="utf-8"?>
<formControlPr xmlns="http://schemas.microsoft.com/office/spreadsheetml/2009/9/main" objectType="Button" lockText="1"/>
</file>

<file path=xl/ctrlProps/ctrlProp5026.xml><?xml version="1.0" encoding="utf-8"?>
<formControlPr xmlns="http://schemas.microsoft.com/office/spreadsheetml/2009/9/main" objectType="Button" lockText="1"/>
</file>

<file path=xl/ctrlProps/ctrlProp5027.xml><?xml version="1.0" encoding="utf-8"?>
<formControlPr xmlns="http://schemas.microsoft.com/office/spreadsheetml/2009/9/main" objectType="Button" lockText="1"/>
</file>

<file path=xl/ctrlProps/ctrlProp5028.xml><?xml version="1.0" encoding="utf-8"?>
<formControlPr xmlns="http://schemas.microsoft.com/office/spreadsheetml/2009/9/main" objectType="Button" lockText="1"/>
</file>

<file path=xl/ctrlProps/ctrlProp502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png"/></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_rels/drawing49.xml.rels><?xml version="1.0" encoding="UTF-8" standalone="yes"?>
<Relationships xmlns="http://schemas.openxmlformats.org/package/2006/relationships"><Relationship Id="rId1" Type="http://schemas.openxmlformats.org/officeDocument/2006/relationships/image" Target="../media/image1.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2.xml.rels><?xml version="1.0" encoding="UTF-8" standalone="yes"?>
<Relationships xmlns="http://schemas.openxmlformats.org/package/2006/relationships"><Relationship Id="rId1" Type="http://schemas.openxmlformats.org/officeDocument/2006/relationships/image" Target="../media/image1.png"/></Relationships>
</file>

<file path=xl/drawings/_rels/drawing53.xml.rels><?xml version="1.0" encoding="UTF-8" standalone="yes"?>
<Relationships xmlns="http://schemas.openxmlformats.org/package/2006/relationships"><Relationship Id="rId1" Type="http://schemas.openxmlformats.org/officeDocument/2006/relationships/image" Target="../media/image2.png"/></Relationships>
</file>

<file path=xl/drawings/_rels/drawing5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5.xml.rels><?xml version="1.0" encoding="UTF-8" standalone="yes"?>
<Relationships xmlns="http://schemas.openxmlformats.org/package/2006/relationships"><Relationship Id="rId1" Type="http://schemas.openxmlformats.org/officeDocument/2006/relationships/image" Target="../media/image2.png"/></Relationships>
</file>

<file path=xl/drawings/_rels/drawing56.xml.rels><?xml version="1.0" encoding="UTF-8" standalone="yes"?>
<Relationships xmlns="http://schemas.openxmlformats.org/package/2006/relationships"><Relationship Id="rId1" Type="http://schemas.openxmlformats.org/officeDocument/2006/relationships/image" Target="../media/image2.png"/></Relationships>
</file>

<file path=xl/drawings/_rels/drawing57.xml.rels><?xml version="1.0" encoding="UTF-8" standalone="yes"?>
<Relationships xmlns="http://schemas.openxmlformats.org/package/2006/relationships"><Relationship Id="rId1" Type="http://schemas.openxmlformats.org/officeDocument/2006/relationships/image" Target="../media/image2.png"/></Relationships>
</file>

<file path=xl/drawings/_rels/drawing58.xml.rels><?xml version="1.0" encoding="UTF-8" standalone="yes"?>
<Relationships xmlns="http://schemas.openxmlformats.org/package/2006/relationships"><Relationship Id="rId1" Type="http://schemas.openxmlformats.org/officeDocument/2006/relationships/image" Target="../media/image2.png"/></Relationships>
</file>

<file path=xl/drawings/_rels/drawing59.xml.rels><?xml version="1.0" encoding="UTF-8" standalone="yes"?>
<Relationships xmlns="http://schemas.openxmlformats.org/package/2006/relationships"><Relationship Id="rId1" Type="http://schemas.openxmlformats.org/officeDocument/2006/relationships/image" Target="../media/image2.png"/></Relationships>
</file>

<file path=xl/drawings/_rels/drawing60.xml.rels><?xml version="1.0" encoding="UTF-8" standalone="yes"?>
<Relationships xmlns="http://schemas.openxmlformats.org/package/2006/relationships"><Relationship Id="rId1" Type="http://schemas.openxmlformats.org/officeDocument/2006/relationships/image" Target="../media/image2.png"/></Relationships>
</file>

<file path=xl/drawings/_rels/drawing61.xml.rels><?xml version="1.0" encoding="UTF-8" standalone="yes"?>
<Relationships xmlns="http://schemas.openxmlformats.org/package/2006/relationships"><Relationship Id="rId1" Type="http://schemas.openxmlformats.org/officeDocument/2006/relationships/image" Target="../media/image2.png"/></Relationships>
</file>

<file path=xl/drawings/_rels/drawing62.xml.rels><?xml version="1.0" encoding="UTF-8" standalone="yes"?>
<Relationships xmlns="http://schemas.openxmlformats.org/package/2006/relationships"><Relationship Id="rId1" Type="http://schemas.openxmlformats.org/officeDocument/2006/relationships/image" Target="../media/image2.png"/></Relationships>
</file>

<file path=xl/drawings/_rels/drawing63.xml.rels><?xml version="1.0" encoding="UTF-8" standalone="yes"?>
<Relationships xmlns="http://schemas.openxmlformats.org/package/2006/relationships"><Relationship Id="rId1" Type="http://schemas.openxmlformats.org/officeDocument/2006/relationships/image" Target="../media/image2.png"/></Relationships>
</file>

<file path=xl/drawings/_rels/drawing6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6.xml.rels><?xml version="1.0" encoding="UTF-8" standalone="yes"?>
<Relationships xmlns="http://schemas.openxmlformats.org/package/2006/relationships"><Relationship Id="rId1" Type="http://schemas.openxmlformats.org/officeDocument/2006/relationships/image" Target="../media/image2.png"/></Relationships>
</file>

<file path=xl/drawings/_rels/drawing67.xml.rels><?xml version="1.0" encoding="UTF-8" standalone="yes"?>
<Relationships xmlns="http://schemas.openxmlformats.org/package/2006/relationships"><Relationship Id="rId1" Type="http://schemas.openxmlformats.org/officeDocument/2006/relationships/image" Target="../media/image2.png"/></Relationships>
</file>

<file path=xl/drawings/_rels/drawing68.xml.rels><?xml version="1.0" encoding="UTF-8" standalone="yes"?>
<Relationships xmlns="http://schemas.openxmlformats.org/package/2006/relationships"><Relationship Id="rId1" Type="http://schemas.openxmlformats.org/officeDocument/2006/relationships/image" Target="../media/image2.png"/></Relationships>
</file>

<file path=xl/drawings/_rels/drawing69.xml.rels><?xml version="1.0" encoding="UTF-8" standalone="yes"?>
<Relationships xmlns="http://schemas.openxmlformats.org/package/2006/relationships"><Relationship Id="rId1" Type="http://schemas.openxmlformats.org/officeDocument/2006/relationships/image" Target="../media/image2.png"/></Relationships>
</file>

<file path=xl/drawings/_rels/drawing70.xml.rels><?xml version="1.0" encoding="UTF-8" standalone="yes"?>
<Relationships xmlns="http://schemas.openxmlformats.org/package/2006/relationships"><Relationship Id="rId1" Type="http://schemas.openxmlformats.org/officeDocument/2006/relationships/image" Target="../media/image2.png"/></Relationships>
</file>

<file path=xl/drawings/_rels/drawing71.xml.rels><?xml version="1.0" encoding="UTF-8" standalone="yes"?>
<Relationships xmlns="http://schemas.openxmlformats.org/package/2006/relationships"><Relationship Id="rId1" Type="http://schemas.openxmlformats.org/officeDocument/2006/relationships/image" Target="../media/image2.png"/></Relationships>
</file>

<file path=xl/drawings/_rels/drawing72.xml.rels><?xml version="1.0" encoding="UTF-8" standalone="yes"?>
<Relationships xmlns="http://schemas.openxmlformats.org/package/2006/relationships"><Relationship Id="rId1" Type="http://schemas.openxmlformats.org/officeDocument/2006/relationships/image" Target="../media/image2.png"/></Relationships>
</file>

<file path=xl/drawings/_rels/drawing73.xml.rels><?xml version="1.0" encoding="UTF-8" standalone="yes"?>
<Relationships xmlns="http://schemas.openxmlformats.org/package/2006/relationships"><Relationship Id="rId1" Type="http://schemas.openxmlformats.org/officeDocument/2006/relationships/image" Target="../media/image2.png"/></Relationships>
</file>

<file path=xl/drawings/_rels/drawing74.xml.rels><?xml version="1.0" encoding="UTF-8" standalone="yes"?>
<Relationships xmlns="http://schemas.openxmlformats.org/package/2006/relationships"><Relationship Id="rId1" Type="http://schemas.openxmlformats.org/officeDocument/2006/relationships/image" Target="../media/image2.png"/></Relationships>
</file>

<file path=xl/drawings/_rels/drawing75.xml.rels><?xml version="1.0" encoding="UTF-8" standalone="yes"?>
<Relationships xmlns="http://schemas.openxmlformats.org/package/2006/relationships"><Relationship Id="rId1" Type="http://schemas.openxmlformats.org/officeDocument/2006/relationships/image" Target="../media/image2.png"/></Relationships>
</file>

<file path=xl/drawings/_rels/drawing7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7.xml.rels><?xml version="1.0" encoding="UTF-8" standalone="yes"?>
<Relationships xmlns="http://schemas.openxmlformats.org/package/2006/relationships"><Relationship Id="rId1" Type="http://schemas.openxmlformats.org/officeDocument/2006/relationships/image" Target="../media/image2.png"/></Relationships>
</file>

<file path=xl/drawings/_rels/drawing78.xml.rels><?xml version="1.0" encoding="UTF-8" standalone="yes"?>
<Relationships xmlns="http://schemas.openxmlformats.org/package/2006/relationships"><Relationship Id="rId1" Type="http://schemas.openxmlformats.org/officeDocument/2006/relationships/image" Target="../media/image2.png"/></Relationships>
</file>

<file path=xl/drawings/_rels/drawing79.xml.rels><?xml version="1.0" encoding="UTF-8" standalone="yes"?>
<Relationships xmlns="http://schemas.openxmlformats.org/package/2006/relationships"><Relationship Id="rId1" Type="http://schemas.openxmlformats.org/officeDocument/2006/relationships/image" Target="../media/image2.png"/></Relationships>
</file>

<file path=xl/drawings/_rels/drawing80.xml.rels><?xml version="1.0" encoding="UTF-8" standalone="yes"?>
<Relationships xmlns="http://schemas.openxmlformats.org/package/2006/relationships"><Relationship Id="rId1" Type="http://schemas.openxmlformats.org/officeDocument/2006/relationships/image" Target="../media/image2.png"/></Relationships>
</file>

<file path=xl/drawings/_rels/drawing81.xml.rels><?xml version="1.0" encoding="UTF-8" standalone="yes"?>
<Relationships xmlns="http://schemas.openxmlformats.org/package/2006/relationships"><Relationship Id="rId1" Type="http://schemas.openxmlformats.org/officeDocument/2006/relationships/image" Target="../media/image2.png"/></Relationships>
</file>

<file path=xl/drawings/_rels/drawing82.xml.rels><?xml version="1.0" encoding="UTF-8" standalone="yes"?>
<Relationships xmlns="http://schemas.openxmlformats.org/package/2006/relationships"><Relationship Id="rId1" Type="http://schemas.openxmlformats.org/officeDocument/2006/relationships/image" Target="../media/image2.png"/></Relationships>
</file>

<file path=xl/drawings/_rels/drawing83.xml.rels><?xml version="1.0" encoding="UTF-8" standalone="yes"?>
<Relationships xmlns="http://schemas.openxmlformats.org/package/2006/relationships"><Relationship Id="rId1" Type="http://schemas.openxmlformats.org/officeDocument/2006/relationships/image" Target="../media/image2.png"/></Relationships>
</file>

<file path=xl/drawings/_rels/drawing84.xml.rels><?xml version="1.0" encoding="UTF-8" standalone="yes"?>
<Relationships xmlns="http://schemas.openxmlformats.org/package/2006/relationships"><Relationship Id="rId1" Type="http://schemas.openxmlformats.org/officeDocument/2006/relationships/image" Target="../media/image2.png"/></Relationships>
</file>

<file path=xl/drawings/_rels/drawing85.xml.rels><?xml version="1.0" encoding="UTF-8" standalone="yes"?>
<Relationships xmlns="http://schemas.openxmlformats.org/package/2006/relationships"><Relationship Id="rId1" Type="http://schemas.openxmlformats.org/officeDocument/2006/relationships/image" Target="../media/image2.png"/></Relationships>
</file>

<file path=xl/drawings/_rels/drawing86.xml.rels><?xml version="1.0" encoding="UTF-8" standalone="yes"?>
<Relationships xmlns="http://schemas.openxmlformats.org/package/2006/relationships"><Relationship Id="rId1" Type="http://schemas.openxmlformats.org/officeDocument/2006/relationships/image" Target="../media/image2.png"/></Relationships>
</file>

<file path=xl/drawings/_rels/drawing8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8.xml.rels><?xml version="1.0" encoding="UTF-8" standalone="yes"?>
<Relationships xmlns="http://schemas.openxmlformats.org/package/2006/relationships"><Relationship Id="rId1" Type="http://schemas.openxmlformats.org/officeDocument/2006/relationships/image" Target="../media/image2.png"/></Relationships>
</file>

<file path=xl/drawings/_rels/drawing89.xml.rels><?xml version="1.0" encoding="UTF-8" standalone="yes"?>
<Relationships xmlns="http://schemas.openxmlformats.org/package/2006/relationships"><Relationship Id="rId1" Type="http://schemas.openxmlformats.org/officeDocument/2006/relationships/image" Target="../media/image2.png"/></Relationships>
</file>

<file path=xl/drawings/_rels/drawing90.xml.rels><?xml version="1.0" encoding="UTF-8" standalone="yes"?>
<Relationships xmlns="http://schemas.openxmlformats.org/package/2006/relationships"><Relationship Id="rId1" Type="http://schemas.openxmlformats.org/officeDocument/2006/relationships/image" Target="../media/image2.png"/></Relationships>
</file>

<file path=xl/drawings/_rels/drawing91.xml.rels><?xml version="1.0" encoding="UTF-8" standalone="yes"?>
<Relationships xmlns="http://schemas.openxmlformats.org/package/2006/relationships"><Relationship Id="rId1" Type="http://schemas.openxmlformats.org/officeDocument/2006/relationships/image" Target="../media/image2.png"/></Relationships>
</file>

<file path=xl/drawings/_rels/drawing92.xml.rels><?xml version="1.0" encoding="UTF-8" standalone="yes"?>
<Relationships xmlns="http://schemas.openxmlformats.org/package/2006/relationships"><Relationship Id="rId1" Type="http://schemas.openxmlformats.org/officeDocument/2006/relationships/image" Target="../media/image2.png"/></Relationships>
</file>

<file path=xl/drawings/_rels/drawing93.xml.rels><?xml version="1.0" encoding="UTF-8" standalone="yes"?>
<Relationships xmlns="http://schemas.openxmlformats.org/package/2006/relationships"><Relationship Id="rId1" Type="http://schemas.openxmlformats.org/officeDocument/2006/relationships/image" Target="../media/image2.png"/></Relationships>
</file>

<file path=xl/drawings/_rels/drawing94.xml.rels><?xml version="1.0" encoding="UTF-8" standalone="yes"?>
<Relationships xmlns="http://schemas.openxmlformats.org/package/2006/relationships"><Relationship Id="rId1" Type="http://schemas.openxmlformats.org/officeDocument/2006/relationships/image" Target="../media/image2.png"/></Relationships>
</file>

<file path=xl/drawings/_rels/drawing95.xml.rels><?xml version="1.0" encoding="UTF-8" standalone="yes"?>
<Relationships xmlns="http://schemas.openxmlformats.org/package/2006/relationships"><Relationship Id="rId1" Type="http://schemas.openxmlformats.org/officeDocument/2006/relationships/image" Target="../media/image2.png"/></Relationships>
</file>

<file path=xl/drawings/_rels/drawing96.xml.rels><?xml version="1.0" encoding="UTF-8" standalone="yes"?>
<Relationships xmlns="http://schemas.openxmlformats.org/package/2006/relationships"><Relationship Id="rId1" Type="http://schemas.openxmlformats.org/officeDocument/2006/relationships/image" Target="../media/image2.png"/></Relationships>
</file>

<file path=xl/drawings/_rels/drawing97.xml.rels><?xml version="1.0" encoding="UTF-8" standalone="yes"?>
<Relationships xmlns="http://schemas.openxmlformats.org/package/2006/relationships"><Relationship Id="rId1" Type="http://schemas.openxmlformats.org/officeDocument/2006/relationships/image" Target="../media/image2.png"/></Relationships>
</file>

<file path=xl/drawings/_rels/drawing9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4.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6.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7.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1.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2.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3.xml.rels><?xml version="1.0" encoding="UTF-8" standalone="yes"?>
<Relationships xmlns="http://schemas.openxmlformats.org/package/2006/relationships"><Relationship Id="rId1" Type="http://schemas.openxmlformats.org/officeDocument/2006/relationships/image" Target="../media/image2.png"/></Relationships>
</file>

<file path=xl/drawings/_rels/drawing12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0</xdr:row>
          <xdr:rowOff>47625</xdr:rowOff>
        </xdr:from>
        <xdr:to>
          <xdr:col>2</xdr:col>
          <xdr:colOff>962025</xdr:colOff>
          <xdr:row>0</xdr:row>
          <xdr:rowOff>361950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NEW PERMIT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47625</xdr:rowOff>
        </xdr:from>
        <xdr:to>
          <xdr:col>6</xdr:col>
          <xdr:colOff>333375</xdr:colOff>
          <xdr:row>0</xdr:row>
          <xdr:rowOff>361950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409575</xdr:colOff>
          <xdr:row>0</xdr:row>
          <xdr:rowOff>47625</xdr:rowOff>
        </xdr:from>
        <xdr:to>
          <xdr:col>7</xdr:col>
          <xdr:colOff>590550</xdr:colOff>
          <xdr:row>0</xdr:row>
          <xdr:rowOff>361950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NEW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0</xdr:row>
          <xdr:rowOff>57150</xdr:rowOff>
        </xdr:from>
        <xdr:to>
          <xdr:col>9</xdr:col>
          <xdr:colOff>1266825</xdr:colOff>
          <xdr:row>0</xdr:row>
          <xdr:rowOff>342900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EMAIL REMINDER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0</xdr:row>
          <xdr:rowOff>47625</xdr:rowOff>
        </xdr:from>
        <xdr:to>
          <xdr:col>10</xdr:col>
          <xdr:colOff>952500</xdr:colOff>
          <xdr:row>0</xdr:row>
          <xdr:rowOff>314325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STD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47625</xdr:rowOff>
        </xdr:from>
        <xdr:to>
          <xdr:col>11</xdr:col>
          <xdr:colOff>895350</xdr:colOff>
          <xdr:row>0</xdr:row>
          <xdr:rowOff>314325</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200-00002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FINAL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253</xdr:row>
          <xdr:rowOff>0</xdr:rowOff>
        </xdr:from>
        <xdr:to>
          <xdr:col>9</xdr:col>
          <xdr:colOff>295275</xdr:colOff>
          <xdr:row>254</xdr:row>
          <xdr:rowOff>47625</xdr:rowOff>
        </xdr:to>
        <xdr:sp macro="" textlink="">
          <xdr:nvSpPr>
            <xdr:cNvPr id="2224" name="Check Box 176" hidden="1">
              <a:extLst>
                <a:ext uri="{63B3BB69-23CF-44E3-9099-C40C66FF867C}">
                  <a14:compatExt spid="_x0000_s2224"/>
                </a:ext>
                <a:ext uri="{FF2B5EF4-FFF2-40B4-BE49-F238E27FC236}">
                  <a16:creationId xmlns:a16="http://schemas.microsoft.com/office/drawing/2014/main" id="{00000000-0008-0000-0200-0000B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253</xdr:row>
          <xdr:rowOff>0</xdr:rowOff>
        </xdr:from>
        <xdr:to>
          <xdr:col>4</xdr:col>
          <xdr:colOff>295275</xdr:colOff>
          <xdr:row>254</xdr:row>
          <xdr:rowOff>47625</xdr:rowOff>
        </xdr:to>
        <xdr:sp macro="" textlink="">
          <xdr:nvSpPr>
            <xdr:cNvPr id="2225" name="Check Box 177" hidden="1">
              <a:extLst>
                <a:ext uri="{63B3BB69-23CF-44E3-9099-C40C66FF867C}">
                  <a14:compatExt spid="_x0000_s2225"/>
                </a:ext>
                <a:ext uri="{FF2B5EF4-FFF2-40B4-BE49-F238E27FC236}">
                  <a16:creationId xmlns:a16="http://schemas.microsoft.com/office/drawing/2014/main" id="{00000000-0008-0000-0200-0000B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252</xdr:row>
          <xdr:rowOff>0</xdr:rowOff>
        </xdr:from>
        <xdr:to>
          <xdr:col>9</xdr:col>
          <xdr:colOff>295275</xdr:colOff>
          <xdr:row>253</xdr:row>
          <xdr:rowOff>47625</xdr:rowOff>
        </xdr:to>
        <xdr:sp macro="" textlink="">
          <xdr:nvSpPr>
            <xdr:cNvPr id="2298" name="Check Box 250" hidden="1">
              <a:extLst>
                <a:ext uri="{63B3BB69-23CF-44E3-9099-C40C66FF867C}">
                  <a14:compatExt spid="_x0000_s2298"/>
                </a:ext>
                <a:ext uri="{FF2B5EF4-FFF2-40B4-BE49-F238E27FC236}">
                  <a16:creationId xmlns:a16="http://schemas.microsoft.com/office/drawing/2014/main" id="{00000000-0008-0000-0200-0000F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252</xdr:row>
          <xdr:rowOff>0</xdr:rowOff>
        </xdr:from>
        <xdr:to>
          <xdr:col>4</xdr:col>
          <xdr:colOff>295275</xdr:colOff>
          <xdr:row>253</xdr:row>
          <xdr:rowOff>47625</xdr:rowOff>
        </xdr:to>
        <xdr:sp macro="" textlink="">
          <xdr:nvSpPr>
            <xdr:cNvPr id="2299" name="Check Box 251" hidden="1">
              <a:extLst>
                <a:ext uri="{63B3BB69-23CF-44E3-9099-C40C66FF867C}">
                  <a14:compatExt spid="_x0000_s2299"/>
                </a:ext>
                <a:ext uri="{FF2B5EF4-FFF2-40B4-BE49-F238E27FC236}">
                  <a16:creationId xmlns:a16="http://schemas.microsoft.com/office/drawing/2014/main" id="{00000000-0008-0000-0200-0000F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251</xdr:row>
          <xdr:rowOff>0</xdr:rowOff>
        </xdr:from>
        <xdr:to>
          <xdr:col>9</xdr:col>
          <xdr:colOff>295275</xdr:colOff>
          <xdr:row>252</xdr:row>
          <xdr:rowOff>47625</xdr:rowOff>
        </xdr:to>
        <xdr:sp macro="" textlink="">
          <xdr:nvSpPr>
            <xdr:cNvPr id="2312" name="Check Box 264" hidden="1">
              <a:extLst>
                <a:ext uri="{63B3BB69-23CF-44E3-9099-C40C66FF867C}">
                  <a14:compatExt spid="_x0000_s2312"/>
                </a:ext>
                <a:ext uri="{FF2B5EF4-FFF2-40B4-BE49-F238E27FC236}">
                  <a16:creationId xmlns:a16="http://schemas.microsoft.com/office/drawing/2014/main" id="{00000000-0008-0000-0200-00000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251</xdr:row>
          <xdr:rowOff>0</xdr:rowOff>
        </xdr:from>
        <xdr:to>
          <xdr:col>4</xdr:col>
          <xdr:colOff>295275</xdr:colOff>
          <xdr:row>252</xdr:row>
          <xdr:rowOff>47625</xdr:rowOff>
        </xdr:to>
        <xdr:sp macro="" textlink="">
          <xdr:nvSpPr>
            <xdr:cNvPr id="2313" name="Check Box 265" hidden="1">
              <a:extLst>
                <a:ext uri="{63B3BB69-23CF-44E3-9099-C40C66FF867C}">
                  <a14:compatExt spid="_x0000_s2313"/>
                </a:ext>
                <a:ext uri="{FF2B5EF4-FFF2-40B4-BE49-F238E27FC236}">
                  <a16:creationId xmlns:a16="http://schemas.microsoft.com/office/drawing/2014/main" id="{00000000-0008-0000-0200-00000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250</xdr:row>
          <xdr:rowOff>0</xdr:rowOff>
        </xdr:from>
        <xdr:to>
          <xdr:col>9</xdr:col>
          <xdr:colOff>295275</xdr:colOff>
          <xdr:row>251</xdr:row>
          <xdr:rowOff>47625</xdr:rowOff>
        </xdr:to>
        <xdr:sp macro="" textlink="">
          <xdr:nvSpPr>
            <xdr:cNvPr id="2332" name="Check Box 284" hidden="1">
              <a:extLst>
                <a:ext uri="{63B3BB69-23CF-44E3-9099-C40C66FF867C}">
                  <a14:compatExt spid="_x0000_s2332"/>
                </a:ext>
                <a:ext uri="{FF2B5EF4-FFF2-40B4-BE49-F238E27FC236}">
                  <a16:creationId xmlns:a16="http://schemas.microsoft.com/office/drawing/2014/main" id="{00000000-0008-0000-0200-00001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250</xdr:row>
          <xdr:rowOff>0</xdr:rowOff>
        </xdr:from>
        <xdr:to>
          <xdr:col>4</xdr:col>
          <xdr:colOff>295275</xdr:colOff>
          <xdr:row>251</xdr:row>
          <xdr:rowOff>47625</xdr:rowOff>
        </xdr:to>
        <xdr:sp macro="" textlink="">
          <xdr:nvSpPr>
            <xdr:cNvPr id="2333" name="Check Box 285" hidden="1">
              <a:extLst>
                <a:ext uri="{63B3BB69-23CF-44E3-9099-C40C66FF867C}">
                  <a14:compatExt spid="_x0000_s2333"/>
                </a:ext>
                <a:ext uri="{FF2B5EF4-FFF2-40B4-BE49-F238E27FC236}">
                  <a16:creationId xmlns:a16="http://schemas.microsoft.com/office/drawing/2014/main" id="{00000000-0008-0000-0200-00001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249</xdr:row>
          <xdr:rowOff>0</xdr:rowOff>
        </xdr:from>
        <xdr:to>
          <xdr:col>9</xdr:col>
          <xdr:colOff>295275</xdr:colOff>
          <xdr:row>250</xdr:row>
          <xdr:rowOff>47625</xdr:rowOff>
        </xdr:to>
        <xdr:sp macro="" textlink="">
          <xdr:nvSpPr>
            <xdr:cNvPr id="2364" name="Check Box 316" hidden="1">
              <a:extLst>
                <a:ext uri="{63B3BB69-23CF-44E3-9099-C40C66FF867C}">
                  <a14:compatExt spid="_x0000_s2364"/>
                </a:ext>
                <a:ext uri="{FF2B5EF4-FFF2-40B4-BE49-F238E27FC236}">
                  <a16:creationId xmlns:a16="http://schemas.microsoft.com/office/drawing/2014/main" id="{00000000-0008-0000-0200-00003C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249</xdr:row>
          <xdr:rowOff>0</xdr:rowOff>
        </xdr:from>
        <xdr:to>
          <xdr:col>4</xdr:col>
          <xdr:colOff>295275</xdr:colOff>
          <xdr:row>250</xdr:row>
          <xdr:rowOff>47625</xdr:rowOff>
        </xdr:to>
        <xdr:sp macro="" textlink="">
          <xdr:nvSpPr>
            <xdr:cNvPr id="2365" name="Check Box 317" hidden="1">
              <a:extLst>
                <a:ext uri="{63B3BB69-23CF-44E3-9099-C40C66FF867C}">
                  <a14:compatExt spid="_x0000_s2365"/>
                </a:ext>
                <a:ext uri="{FF2B5EF4-FFF2-40B4-BE49-F238E27FC236}">
                  <a16:creationId xmlns:a16="http://schemas.microsoft.com/office/drawing/2014/main" id="{00000000-0008-0000-0200-00003D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248</xdr:row>
          <xdr:rowOff>0</xdr:rowOff>
        </xdr:from>
        <xdr:to>
          <xdr:col>9</xdr:col>
          <xdr:colOff>295275</xdr:colOff>
          <xdr:row>249</xdr:row>
          <xdr:rowOff>47625</xdr:rowOff>
        </xdr:to>
        <xdr:sp macro="" textlink="">
          <xdr:nvSpPr>
            <xdr:cNvPr id="2370" name="Check Box 322" hidden="1">
              <a:extLst>
                <a:ext uri="{63B3BB69-23CF-44E3-9099-C40C66FF867C}">
                  <a14:compatExt spid="_x0000_s2370"/>
                </a:ext>
                <a:ext uri="{FF2B5EF4-FFF2-40B4-BE49-F238E27FC236}">
                  <a16:creationId xmlns:a16="http://schemas.microsoft.com/office/drawing/2014/main" id="{00000000-0008-0000-0200-000042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248</xdr:row>
          <xdr:rowOff>0</xdr:rowOff>
        </xdr:from>
        <xdr:to>
          <xdr:col>4</xdr:col>
          <xdr:colOff>295275</xdr:colOff>
          <xdr:row>249</xdr:row>
          <xdr:rowOff>47625</xdr:rowOff>
        </xdr:to>
        <xdr:sp macro="" textlink="">
          <xdr:nvSpPr>
            <xdr:cNvPr id="2371" name="Check Box 323" hidden="1">
              <a:extLst>
                <a:ext uri="{63B3BB69-23CF-44E3-9099-C40C66FF867C}">
                  <a14:compatExt spid="_x0000_s2371"/>
                </a:ext>
                <a:ext uri="{FF2B5EF4-FFF2-40B4-BE49-F238E27FC236}">
                  <a16:creationId xmlns:a16="http://schemas.microsoft.com/office/drawing/2014/main" id="{00000000-0008-0000-0200-000043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247</xdr:row>
          <xdr:rowOff>0</xdr:rowOff>
        </xdr:from>
        <xdr:to>
          <xdr:col>9</xdr:col>
          <xdr:colOff>295275</xdr:colOff>
          <xdr:row>248</xdr:row>
          <xdr:rowOff>47625</xdr:rowOff>
        </xdr:to>
        <xdr:sp macro="" textlink="">
          <xdr:nvSpPr>
            <xdr:cNvPr id="2392" name="Check Box 344" hidden="1">
              <a:extLst>
                <a:ext uri="{63B3BB69-23CF-44E3-9099-C40C66FF867C}">
                  <a14:compatExt spid="_x0000_s2392"/>
                </a:ext>
                <a:ext uri="{FF2B5EF4-FFF2-40B4-BE49-F238E27FC236}">
                  <a16:creationId xmlns:a16="http://schemas.microsoft.com/office/drawing/2014/main" id="{00000000-0008-0000-0200-00005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247</xdr:row>
          <xdr:rowOff>0</xdr:rowOff>
        </xdr:from>
        <xdr:to>
          <xdr:col>4</xdr:col>
          <xdr:colOff>295275</xdr:colOff>
          <xdr:row>248</xdr:row>
          <xdr:rowOff>47625</xdr:rowOff>
        </xdr:to>
        <xdr:sp macro="" textlink="">
          <xdr:nvSpPr>
            <xdr:cNvPr id="2393" name="Check Box 345" hidden="1">
              <a:extLst>
                <a:ext uri="{63B3BB69-23CF-44E3-9099-C40C66FF867C}">
                  <a14:compatExt spid="_x0000_s2393"/>
                </a:ext>
                <a:ext uri="{FF2B5EF4-FFF2-40B4-BE49-F238E27FC236}">
                  <a16:creationId xmlns:a16="http://schemas.microsoft.com/office/drawing/2014/main" id="{00000000-0008-0000-0200-00005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246</xdr:row>
          <xdr:rowOff>0</xdr:rowOff>
        </xdr:from>
        <xdr:to>
          <xdr:col>9</xdr:col>
          <xdr:colOff>295275</xdr:colOff>
          <xdr:row>247</xdr:row>
          <xdr:rowOff>47625</xdr:rowOff>
        </xdr:to>
        <xdr:sp macro="" textlink="">
          <xdr:nvSpPr>
            <xdr:cNvPr id="2398" name="Check Box 350" hidden="1">
              <a:extLst>
                <a:ext uri="{63B3BB69-23CF-44E3-9099-C40C66FF867C}">
                  <a14:compatExt spid="_x0000_s2398"/>
                </a:ext>
                <a:ext uri="{FF2B5EF4-FFF2-40B4-BE49-F238E27FC236}">
                  <a16:creationId xmlns:a16="http://schemas.microsoft.com/office/drawing/2014/main" id="{00000000-0008-0000-0200-00005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4</xdr:col>
          <xdr:colOff>295275</xdr:colOff>
          <xdr:row>247</xdr:row>
          <xdr:rowOff>47625</xdr:rowOff>
        </xdr:to>
        <xdr:sp macro="" textlink="">
          <xdr:nvSpPr>
            <xdr:cNvPr id="2399" name="Check Box 351" hidden="1">
              <a:extLst>
                <a:ext uri="{63B3BB69-23CF-44E3-9099-C40C66FF867C}">
                  <a14:compatExt spid="_x0000_s2399"/>
                </a:ext>
                <a:ext uri="{FF2B5EF4-FFF2-40B4-BE49-F238E27FC236}">
                  <a16:creationId xmlns:a16="http://schemas.microsoft.com/office/drawing/2014/main" id="{00000000-0008-0000-0200-00005F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245</xdr:row>
          <xdr:rowOff>0</xdr:rowOff>
        </xdr:from>
        <xdr:to>
          <xdr:col>9</xdr:col>
          <xdr:colOff>295275</xdr:colOff>
          <xdr:row>246</xdr:row>
          <xdr:rowOff>47625</xdr:rowOff>
        </xdr:to>
        <xdr:sp macro="" textlink="">
          <xdr:nvSpPr>
            <xdr:cNvPr id="2424" name="Check Box 376" hidden="1">
              <a:extLst>
                <a:ext uri="{63B3BB69-23CF-44E3-9099-C40C66FF867C}">
                  <a14:compatExt spid="_x0000_s2424"/>
                </a:ext>
                <a:ext uri="{FF2B5EF4-FFF2-40B4-BE49-F238E27FC236}">
                  <a16:creationId xmlns:a16="http://schemas.microsoft.com/office/drawing/2014/main" id="{00000000-0008-0000-0200-000078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245</xdr:row>
          <xdr:rowOff>0</xdr:rowOff>
        </xdr:from>
        <xdr:to>
          <xdr:col>4</xdr:col>
          <xdr:colOff>295275</xdr:colOff>
          <xdr:row>246</xdr:row>
          <xdr:rowOff>47625</xdr:rowOff>
        </xdr:to>
        <xdr:sp macro="" textlink="">
          <xdr:nvSpPr>
            <xdr:cNvPr id="2425" name="Check Box 377" hidden="1">
              <a:extLst>
                <a:ext uri="{63B3BB69-23CF-44E3-9099-C40C66FF867C}">
                  <a14:compatExt spid="_x0000_s2425"/>
                </a:ext>
                <a:ext uri="{FF2B5EF4-FFF2-40B4-BE49-F238E27FC236}">
                  <a16:creationId xmlns:a16="http://schemas.microsoft.com/office/drawing/2014/main" id="{00000000-0008-0000-0200-000079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244</xdr:row>
          <xdr:rowOff>0</xdr:rowOff>
        </xdr:from>
        <xdr:to>
          <xdr:col>9</xdr:col>
          <xdr:colOff>295275</xdr:colOff>
          <xdr:row>245</xdr:row>
          <xdr:rowOff>47625</xdr:rowOff>
        </xdr:to>
        <xdr:sp macro="" textlink="">
          <xdr:nvSpPr>
            <xdr:cNvPr id="2486" name="Check Box 438" hidden="1">
              <a:extLst>
                <a:ext uri="{63B3BB69-23CF-44E3-9099-C40C66FF867C}">
                  <a14:compatExt spid="_x0000_s2486"/>
                </a:ext>
                <a:ext uri="{FF2B5EF4-FFF2-40B4-BE49-F238E27FC236}">
                  <a16:creationId xmlns:a16="http://schemas.microsoft.com/office/drawing/2014/main" id="{00000000-0008-0000-0200-0000B6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244</xdr:row>
          <xdr:rowOff>0</xdr:rowOff>
        </xdr:from>
        <xdr:to>
          <xdr:col>4</xdr:col>
          <xdr:colOff>295275</xdr:colOff>
          <xdr:row>245</xdr:row>
          <xdr:rowOff>47625</xdr:rowOff>
        </xdr:to>
        <xdr:sp macro="" textlink="">
          <xdr:nvSpPr>
            <xdr:cNvPr id="2487" name="Check Box 439" hidden="1">
              <a:extLst>
                <a:ext uri="{63B3BB69-23CF-44E3-9099-C40C66FF867C}">
                  <a14:compatExt spid="_x0000_s2487"/>
                </a:ext>
                <a:ext uri="{FF2B5EF4-FFF2-40B4-BE49-F238E27FC236}">
                  <a16:creationId xmlns:a16="http://schemas.microsoft.com/office/drawing/2014/main" id="{00000000-0008-0000-0200-0000B7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243</xdr:row>
          <xdr:rowOff>0</xdr:rowOff>
        </xdr:from>
        <xdr:to>
          <xdr:col>9</xdr:col>
          <xdr:colOff>295275</xdr:colOff>
          <xdr:row>244</xdr:row>
          <xdr:rowOff>47625</xdr:rowOff>
        </xdr:to>
        <xdr:sp macro="" textlink="">
          <xdr:nvSpPr>
            <xdr:cNvPr id="2494" name="Check Box 446" hidden="1">
              <a:extLst>
                <a:ext uri="{63B3BB69-23CF-44E3-9099-C40C66FF867C}">
                  <a14:compatExt spid="_x0000_s2494"/>
                </a:ext>
                <a:ext uri="{FF2B5EF4-FFF2-40B4-BE49-F238E27FC236}">
                  <a16:creationId xmlns:a16="http://schemas.microsoft.com/office/drawing/2014/main" id="{00000000-0008-0000-0200-0000B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243</xdr:row>
          <xdr:rowOff>0</xdr:rowOff>
        </xdr:from>
        <xdr:to>
          <xdr:col>4</xdr:col>
          <xdr:colOff>295275</xdr:colOff>
          <xdr:row>244</xdr:row>
          <xdr:rowOff>47625</xdr:rowOff>
        </xdr:to>
        <xdr:sp macro="" textlink="">
          <xdr:nvSpPr>
            <xdr:cNvPr id="2495" name="Check Box 447" hidden="1">
              <a:extLst>
                <a:ext uri="{63B3BB69-23CF-44E3-9099-C40C66FF867C}">
                  <a14:compatExt spid="_x0000_s2495"/>
                </a:ext>
                <a:ext uri="{FF2B5EF4-FFF2-40B4-BE49-F238E27FC236}">
                  <a16:creationId xmlns:a16="http://schemas.microsoft.com/office/drawing/2014/main" id="{00000000-0008-0000-0200-0000BF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242</xdr:row>
          <xdr:rowOff>0</xdr:rowOff>
        </xdr:from>
        <xdr:to>
          <xdr:col>9</xdr:col>
          <xdr:colOff>295275</xdr:colOff>
          <xdr:row>243</xdr:row>
          <xdr:rowOff>47625</xdr:rowOff>
        </xdr:to>
        <xdr:sp macro="" textlink="">
          <xdr:nvSpPr>
            <xdr:cNvPr id="2518" name="Check Box 470" hidden="1">
              <a:extLst>
                <a:ext uri="{63B3BB69-23CF-44E3-9099-C40C66FF867C}">
                  <a14:compatExt spid="_x0000_s2518"/>
                </a:ext>
                <a:ext uri="{FF2B5EF4-FFF2-40B4-BE49-F238E27FC236}">
                  <a16:creationId xmlns:a16="http://schemas.microsoft.com/office/drawing/2014/main" id="{00000000-0008-0000-0200-0000D6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242</xdr:row>
          <xdr:rowOff>0</xdr:rowOff>
        </xdr:from>
        <xdr:to>
          <xdr:col>4</xdr:col>
          <xdr:colOff>295275</xdr:colOff>
          <xdr:row>243</xdr:row>
          <xdr:rowOff>47625</xdr:rowOff>
        </xdr:to>
        <xdr:sp macro="" textlink="">
          <xdr:nvSpPr>
            <xdr:cNvPr id="2519" name="Check Box 471" hidden="1">
              <a:extLst>
                <a:ext uri="{63B3BB69-23CF-44E3-9099-C40C66FF867C}">
                  <a14:compatExt spid="_x0000_s2519"/>
                </a:ext>
                <a:ext uri="{FF2B5EF4-FFF2-40B4-BE49-F238E27FC236}">
                  <a16:creationId xmlns:a16="http://schemas.microsoft.com/office/drawing/2014/main" id="{00000000-0008-0000-0200-0000D7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242</xdr:row>
          <xdr:rowOff>0</xdr:rowOff>
        </xdr:from>
        <xdr:to>
          <xdr:col>9</xdr:col>
          <xdr:colOff>295275</xdr:colOff>
          <xdr:row>243</xdr:row>
          <xdr:rowOff>47625</xdr:rowOff>
        </xdr:to>
        <xdr:sp macro="" textlink="">
          <xdr:nvSpPr>
            <xdr:cNvPr id="2526" name="Check Box 478" hidden="1">
              <a:extLst>
                <a:ext uri="{63B3BB69-23CF-44E3-9099-C40C66FF867C}">
                  <a14:compatExt spid="_x0000_s2526"/>
                </a:ext>
                <a:ext uri="{FF2B5EF4-FFF2-40B4-BE49-F238E27FC236}">
                  <a16:creationId xmlns:a16="http://schemas.microsoft.com/office/drawing/2014/main" id="{00000000-0008-0000-0200-0000D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241</xdr:row>
          <xdr:rowOff>0</xdr:rowOff>
        </xdr:from>
        <xdr:to>
          <xdr:col>9</xdr:col>
          <xdr:colOff>295275</xdr:colOff>
          <xdr:row>242</xdr:row>
          <xdr:rowOff>47625</xdr:rowOff>
        </xdr:to>
        <xdr:sp macro="" textlink="">
          <xdr:nvSpPr>
            <xdr:cNvPr id="2558" name="Check Box 510" hidden="1">
              <a:extLst>
                <a:ext uri="{63B3BB69-23CF-44E3-9099-C40C66FF867C}">
                  <a14:compatExt spid="_x0000_s2558"/>
                </a:ext>
                <a:ext uri="{FF2B5EF4-FFF2-40B4-BE49-F238E27FC236}">
                  <a16:creationId xmlns:a16="http://schemas.microsoft.com/office/drawing/2014/main" id="{00000000-0008-0000-0200-0000FE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241</xdr:row>
          <xdr:rowOff>0</xdr:rowOff>
        </xdr:from>
        <xdr:to>
          <xdr:col>4</xdr:col>
          <xdr:colOff>295275</xdr:colOff>
          <xdr:row>242</xdr:row>
          <xdr:rowOff>47625</xdr:rowOff>
        </xdr:to>
        <xdr:sp macro="" textlink="">
          <xdr:nvSpPr>
            <xdr:cNvPr id="2559" name="Check Box 511" hidden="1">
              <a:extLst>
                <a:ext uri="{63B3BB69-23CF-44E3-9099-C40C66FF867C}">
                  <a14:compatExt spid="_x0000_s2559"/>
                </a:ext>
                <a:ext uri="{FF2B5EF4-FFF2-40B4-BE49-F238E27FC236}">
                  <a16:creationId xmlns:a16="http://schemas.microsoft.com/office/drawing/2014/main" id="{00000000-0008-0000-0200-0000FF0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240</xdr:row>
          <xdr:rowOff>0</xdr:rowOff>
        </xdr:from>
        <xdr:to>
          <xdr:col>9</xdr:col>
          <xdr:colOff>295275</xdr:colOff>
          <xdr:row>241</xdr:row>
          <xdr:rowOff>47625</xdr:rowOff>
        </xdr:to>
        <xdr:sp macro="" textlink="">
          <xdr:nvSpPr>
            <xdr:cNvPr id="2578" name="Check Box 530" hidden="1">
              <a:extLst>
                <a:ext uri="{63B3BB69-23CF-44E3-9099-C40C66FF867C}">
                  <a14:compatExt spid="_x0000_s2578"/>
                </a:ext>
                <a:ext uri="{FF2B5EF4-FFF2-40B4-BE49-F238E27FC236}">
                  <a16:creationId xmlns:a16="http://schemas.microsoft.com/office/drawing/2014/main" id="{00000000-0008-0000-0200-000012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240</xdr:row>
          <xdr:rowOff>0</xdr:rowOff>
        </xdr:from>
        <xdr:to>
          <xdr:col>4</xdr:col>
          <xdr:colOff>295275</xdr:colOff>
          <xdr:row>241</xdr:row>
          <xdr:rowOff>47625</xdr:rowOff>
        </xdr:to>
        <xdr:sp macro="" textlink="">
          <xdr:nvSpPr>
            <xdr:cNvPr id="2579" name="Check Box 531" hidden="1">
              <a:extLst>
                <a:ext uri="{63B3BB69-23CF-44E3-9099-C40C66FF867C}">
                  <a14:compatExt spid="_x0000_s2579"/>
                </a:ext>
                <a:ext uri="{FF2B5EF4-FFF2-40B4-BE49-F238E27FC236}">
                  <a16:creationId xmlns:a16="http://schemas.microsoft.com/office/drawing/2014/main" id="{00000000-0008-0000-0200-000013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239</xdr:row>
          <xdr:rowOff>0</xdr:rowOff>
        </xdr:from>
        <xdr:to>
          <xdr:col>9</xdr:col>
          <xdr:colOff>295275</xdr:colOff>
          <xdr:row>240</xdr:row>
          <xdr:rowOff>47625</xdr:rowOff>
        </xdr:to>
        <xdr:sp macro="" textlink="">
          <xdr:nvSpPr>
            <xdr:cNvPr id="2668" name="Check Box 620" hidden="1">
              <a:extLst>
                <a:ext uri="{63B3BB69-23CF-44E3-9099-C40C66FF867C}">
                  <a14:compatExt spid="_x0000_s2668"/>
                </a:ext>
                <a:ext uri="{FF2B5EF4-FFF2-40B4-BE49-F238E27FC236}">
                  <a16:creationId xmlns:a16="http://schemas.microsoft.com/office/drawing/2014/main" id="{00000000-0008-0000-0200-00006C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239</xdr:row>
          <xdr:rowOff>0</xdr:rowOff>
        </xdr:from>
        <xdr:to>
          <xdr:col>4</xdr:col>
          <xdr:colOff>295275</xdr:colOff>
          <xdr:row>240</xdr:row>
          <xdr:rowOff>47625</xdr:rowOff>
        </xdr:to>
        <xdr:sp macro="" textlink="">
          <xdr:nvSpPr>
            <xdr:cNvPr id="2669" name="Check Box 621" hidden="1">
              <a:extLst>
                <a:ext uri="{63B3BB69-23CF-44E3-9099-C40C66FF867C}">
                  <a14:compatExt spid="_x0000_s2669"/>
                </a:ext>
                <a:ext uri="{FF2B5EF4-FFF2-40B4-BE49-F238E27FC236}">
                  <a16:creationId xmlns:a16="http://schemas.microsoft.com/office/drawing/2014/main" id="{00000000-0008-0000-0200-00006D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238</xdr:row>
          <xdr:rowOff>0</xdr:rowOff>
        </xdr:from>
        <xdr:to>
          <xdr:col>9</xdr:col>
          <xdr:colOff>295275</xdr:colOff>
          <xdr:row>239</xdr:row>
          <xdr:rowOff>47625</xdr:rowOff>
        </xdr:to>
        <xdr:sp macro="" textlink="">
          <xdr:nvSpPr>
            <xdr:cNvPr id="2682" name="Check Box 634" hidden="1">
              <a:extLst>
                <a:ext uri="{63B3BB69-23CF-44E3-9099-C40C66FF867C}">
                  <a14:compatExt spid="_x0000_s2682"/>
                </a:ext>
                <a:ext uri="{FF2B5EF4-FFF2-40B4-BE49-F238E27FC236}">
                  <a16:creationId xmlns:a16="http://schemas.microsoft.com/office/drawing/2014/main" id="{00000000-0008-0000-0200-00007A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238</xdr:row>
          <xdr:rowOff>0</xdr:rowOff>
        </xdr:from>
        <xdr:to>
          <xdr:col>4</xdr:col>
          <xdr:colOff>295275</xdr:colOff>
          <xdr:row>239</xdr:row>
          <xdr:rowOff>47625</xdr:rowOff>
        </xdr:to>
        <xdr:sp macro="" textlink="">
          <xdr:nvSpPr>
            <xdr:cNvPr id="2683" name="Check Box 635" hidden="1">
              <a:extLst>
                <a:ext uri="{63B3BB69-23CF-44E3-9099-C40C66FF867C}">
                  <a14:compatExt spid="_x0000_s2683"/>
                </a:ext>
                <a:ext uri="{FF2B5EF4-FFF2-40B4-BE49-F238E27FC236}">
                  <a16:creationId xmlns:a16="http://schemas.microsoft.com/office/drawing/2014/main" id="{00000000-0008-0000-0200-00007B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237</xdr:row>
          <xdr:rowOff>0</xdr:rowOff>
        </xdr:from>
        <xdr:to>
          <xdr:col>9</xdr:col>
          <xdr:colOff>295275</xdr:colOff>
          <xdr:row>238</xdr:row>
          <xdr:rowOff>47625</xdr:rowOff>
        </xdr:to>
        <xdr:sp macro="" textlink="">
          <xdr:nvSpPr>
            <xdr:cNvPr id="2702" name="Check Box 654" hidden="1">
              <a:extLst>
                <a:ext uri="{63B3BB69-23CF-44E3-9099-C40C66FF867C}">
                  <a14:compatExt spid="_x0000_s2702"/>
                </a:ext>
                <a:ext uri="{FF2B5EF4-FFF2-40B4-BE49-F238E27FC236}">
                  <a16:creationId xmlns:a16="http://schemas.microsoft.com/office/drawing/2014/main" id="{00000000-0008-0000-0200-00008E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237</xdr:row>
          <xdr:rowOff>0</xdr:rowOff>
        </xdr:from>
        <xdr:to>
          <xdr:col>4</xdr:col>
          <xdr:colOff>295275</xdr:colOff>
          <xdr:row>238</xdr:row>
          <xdr:rowOff>47625</xdr:rowOff>
        </xdr:to>
        <xdr:sp macro="" textlink="">
          <xdr:nvSpPr>
            <xdr:cNvPr id="2703" name="Check Box 655" hidden="1">
              <a:extLst>
                <a:ext uri="{63B3BB69-23CF-44E3-9099-C40C66FF867C}">
                  <a14:compatExt spid="_x0000_s2703"/>
                </a:ext>
                <a:ext uri="{FF2B5EF4-FFF2-40B4-BE49-F238E27FC236}">
                  <a16:creationId xmlns:a16="http://schemas.microsoft.com/office/drawing/2014/main" id="{00000000-0008-0000-0200-00008F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236</xdr:row>
          <xdr:rowOff>0</xdr:rowOff>
        </xdr:from>
        <xdr:to>
          <xdr:col>9</xdr:col>
          <xdr:colOff>295275</xdr:colOff>
          <xdr:row>237</xdr:row>
          <xdr:rowOff>47625</xdr:rowOff>
        </xdr:to>
        <xdr:sp macro="" textlink="">
          <xdr:nvSpPr>
            <xdr:cNvPr id="2704" name="Check Box 656" hidden="1">
              <a:extLst>
                <a:ext uri="{63B3BB69-23CF-44E3-9099-C40C66FF867C}">
                  <a14:compatExt spid="_x0000_s2704"/>
                </a:ext>
                <a:ext uri="{FF2B5EF4-FFF2-40B4-BE49-F238E27FC236}">
                  <a16:creationId xmlns:a16="http://schemas.microsoft.com/office/drawing/2014/main" id="{00000000-0008-0000-0200-000090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236</xdr:row>
          <xdr:rowOff>0</xdr:rowOff>
        </xdr:from>
        <xdr:to>
          <xdr:col>4</xdr:col>
          <xdr:colOff>295275</xdr:colOff>
          <xdr:row>237</xdr:row>
          <xdr:rowOff>47625</xdr:rowOff>
        </xdr:to>
        <xdr:sp macro="" textlink="">
          <xdr:nvSpPr>
            <xdr:cNvPr id="2705" name="Check Box 657" hidden="1">
              <a:extLst>
                <a:ext uri="{63B3BB69-23CF-44E3-9099-C40C66FF867C}">
                  <a14:compatExt spid="_x0000_s2705"/>
                </a:ext>
                <a:ext uri="{FF2B5EF4-FFF2-40B4-BE49-F238E27FC236}">
                  <a16:creationId xmlns:a16="http://schemas.microsoft.com/office/drawing/2014/main" id="{00000000-0008-0000-0200-000091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235</xdr:row>
          <xdr:rowOff>0</xdr:rowOff>
        </xdr:from>
        <xdr:to>
          <xdr:col>9</xdr:col>
          <xdr:colOff>295275</xdr:colOff>
          <xdr:row>236</xdr:row>
          <xdr:rowOff>47625</xdr:rowOff>
        </xdr:to>
        <xdr:sp macro="" textlink="">
          <xdr:nvSpPr>
            <xdr:cNvPr id="2732" name="Check Box 684" hidden="1">
              <a:extLst>
                <a:ext uri="{63B3BB69-23CF-44E3-9099-C40C66FF867C}">
                  <a14:compatExt spid="_x0000_s2732"/>
                </a:ext>
                <a:ext uri="{FF2B5EF4-FFF2-40B4-BE49-F238E27FC236}">
                  <a16:creationId xmlns:a16="http://schemas.microsoft.com/office/drawing/2014/main" id="{00000000-0008-0000-0200-0000AC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235</xdr:row>
          <xdr:rowOff>0</xdr:rowOff>
        </xdr:from>
        <xdr:to>
          <xdr:col>4</xdr:col>
          <xdr:colOff>295275</xdr:colOff>
          <xdr:row>236</xdr:row>
          <xdr:rowOff>47625</xdr:rowOff>
        </xdr:to>
        <xdr:sp macro="" textlink="">
          <xdr:nvSpPr>
            <xdr:cNvPr id="2733" name="Check Box 685" hidden="1">
              <a:extLst>
                <a:ext uri="{63B3BB69-23CF-44E3-9099-C40C66FF867C}">
                  <a14:compatExt spid="_x0000_s2733"/>
                </a:ext>
                <a:ext uri="{FF2B5EF4-FFF2-40B4-BE49-F238E27FC236}">
                  <a16:creationId xmlns:a16="http://schemas.microsoft.com/office/drawing/2014/main" id="{00000000-0008-0000-0200-0000AD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234</xdr:row>
          <xdr:rowOff>0</xdr:rowOff>
        </xdr:from>
        <xdr:to>
          <xdr:col>9</xdr:col>
          <xdr:colOff>295275</xdr:colOff>
          <xdr:row>235</xdr:row>
          <xdr:rowOff>47625</xdr:rowOff>
        </xdr:to>
        <xdr:sp macro="" textlink="">
          <xdr:nvSpPr>
            <xdr:cNvPr id="2736" name="Check Box 688" hidden="1">
              <a:extLst>
                <a:ext uri="{63B3BB69-23CF-44E3-9099-C40C66FF867C}">
                  <a14:compatExt spid="_x0000_s2736"/>
                </a:ext>
                <a:ext uri="{FF2B5EF4-FFF2-40B4-BE49-F238E27FC236}">
                  <a16:creationId xmlns:a16="http://schemas.microsoft.com/office/drawing/2014/main" id="{00000000-0008-0000-0200-0000B0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234</xdr:row>
          <xdr:rowOff>0</xdr:rowOff>
        </xdr:from>
        <xdr:to>
          <xdr:col>4</xdr:col>
          <xdr:colOff>295275</xdr:colOff>
          <xdr:row>235</xdr:row>
          <xdr:rowOff>47625</xdr:rowOff>
        </xdr:to>
        <xdr:sp macro="" textlink="">
          <xdr:nvSpPr>
            <xdr:cNvPr id="2737" name="Check Box 689" hidden="1">
              <a:extLst>
                <a:ext uri="{63B3BB69-23CF-44E3-9099-C40C66FF867C}">
                  <a14:compatExt spid="_x0000_s2737"/>
                </a:ext>
                <a:ext uri="{FF2B5EF4-FFF2-40B4-BE49-F238E27FC236}">
                  <a16:creationId xmlns:a16="http://schemas.microsoft.com/office/drawing/2014/main" id="{00000000-0008-0000-0200-0000B1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233</xdr:row>
          <xdr:rowOff>0</xdr:rowOff>
        </xdr:from>
        <xdr:to>
          <xdr:col>9</xdr:col>
          <xdr:colOff>295275</xdr:colOff>
          <xdr:row>234</xdr:row>
          <xdr:rowOff>47625</xdr:rowOff>
        </xdr:to>
        <xdr:sp macro="" textlink="">
          <xdr:nvSpPr>
            <xdr:cNvPr id="2766" name="Check Box 718" hidden="1">
              <a:extLst>
                <a:ext uri="{63B3BB69-23CF-44E3-9099-C40C66FF867C}">
                  <a14:compatExt spid="_x0000_s2766"/>
                </a:ext>
                <a:ext uri="{FF2B5EF4-FFF2-40B4-BE49-F238E27FC236}">
                  <a16:creationId xmlns:a16="http://schemas.microsoft.com/office/drawing/2014/main" id="{00000000-0008-0000-0200-0000CE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233</xdr:row>
          <xdr:rowOff>0</xdr:rowOff>
        </xdr:from>
        <xdr:to>
          <xdr:col>4</xdr:col>
          <xdr:colOff>295275</xdr:colOff>
          <xdr:row>234</xdr:row>
          <xdr:rowOff>47625</xdr:rowOff>
        </xdr:to>
        <xdr:sp macro="" textlink="">
          <xdr:nvSpPr>
            <xdr:cNvPr id="2767" name="Check Box 719" hidden="1">
              <a:extLst>
                <a:ext uri="{63B3BB69-23CF-44E3-9099-C40C66FF867C}">
                  <a14:compatExt spid="_x0000_s2767"/>
                </a:ext>
                <a:ext uri="{FF2B5EF4-FFF2-40B4-BE49-F238E27FC236}">
                  <a16:creationId xmlns:a16="http://schemas.microsoft.com/office/drawing/2014/main" id="{00000000-0008-0000-0200-0000CF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232</xdr:row>
          <xdr:rowOff>0</xdr:rowOff>
        </xdr:from>
        <xdr:to>
          <xdr:col>9</xdr:col>
          <xdr:colOff>295275</xdr:colOff>
          <xdr:row>233</xdr:row>
          <xdr:rowOff>47625</xdr:rowOff>
        </xdr:to>
        <xdr:sp macro="" textlink="">
          <xdr:nvSpPr>
            <xdr:cNvPr id="2792" name="Check Box 744" hidden="1">
              <a:extLst>
                <a:ext uri="{63B3BB69-23CF-44E3-9099-C40C66FF867C}">
                  <a14:compatExt spid="_x0000_s2792"/>
                </a:ext>
                <a:ext uri="{FF2B5EF4-FFF2-40B4-BE49-F238E27FC236}">
                  <a16:creationId xmlns:a16="http://schemas.microsoft.com/office/drawing/2014/main" id="{00000000-0008-0000-0200-0000E8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232</xdr:row>
          <xdr:rowOff>0</xdr:rowOff>
        </xdr:from>
        <xdr:to>
          <xdr:col>4</xdr:col>
          <xdr:colOff>295275</xdr:colOff>
          <xdr:row>233</xdr:row>
          <xdr:rowOff>47625</xdr:rowOff>
        </xdr:to>
        <xdr:sp macro="" textlink="">
          <xdr:nvSpPr>
            <xdr:cNvPr id="2793" name="Check Box 745" hidden="1">
              <a:extLst>
                <a:ext uri="{63B3BB69-23CF-44E3-9099-C40C66FF867C}">
                  <a14:compatExt spid="_x0000_s2793"/>
                </a:ext>
                <a:ext uri="{FF2B5EF4-FFF2-40B4-BE49-F238E27FC236}">
                  <a16:creationId xmlns:a16="http://schemas.microsoft.com/office/drawing/2014/main" id="{00000000-0008-0000-0200-0000E9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231</xdr:row>
          <xdr:rowOff>0</xdr:rowOff>
        </xdr:from>
        <xdr:to>
          <xdr:col>9</xdr:col>
          <xdr:colOff>295275</xdr:colOff>
          <xdr:row>232</xdr:row>
          <xdr:rowOff>47625</xdr:rowOff>
        </xdr:to>
        <xdr:sp macro="" textlink="">
          <xdr:nvSpPr>
            <xdr:cNvPr id="2800" name="Check Box 752" hidden="1">
              <a:extLst>
                <a:ext uri="{63B3BB69-23CF-44E3-9099-C40C66FF867C}">
                  <a14:compatExt spid="_x0000_s2800"/>
                </a:ext>
                <a:ext uri="{FF2B5EF4-FFF2-40B4-BE49-F238E27FC236}">
                  <a16:creationId xmlns:a16="http://schemas.microsoft.com/office/drawing/2014/main" id="{00000000-0008-0000-0200-0000F0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231</xdr:row>
          <xdr:rowOff>0</xdr:rowOff>
        </xdr:from>
        <xdr:to>
          <xdr:col>4</xdr:col>
          <xdr:colOff>295275</xdr:colOff>
          <xdr:row>232</xdr:row>
          <xdr:rowOff>47625</xdr:rowOff>
        </xdr:to>
        <xdr:sp macro="" textlink="">
          <xdr:nvSpPr>
            <xdr:cNvPr id="2801" name="Check Box 753" hidden="1">
              <a:extLst>
                <a:ext uri="{63B3BB69-23CF-44E3-9099-C40C66FF867C}">
                  <a14:compatExt spid="_x0000_s2801"/>
                </a:ext>
                <a:ext uri="{FF2B5EF4-FFF2-40B4-BE49-F238E27FC236}">
                  <a16:creationId xmlns:a16="http://schemas.microsoft.com/office/drawing/2014/main" id="{00000000-0008-0000-0200-0000F1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230</xdr:row>
          <xdr:rowOff>0</xdr:rowOff>
        </xdr:from>
        <xdr:to>
          <xdr:col>9</xdr:col>
          <xdr:colOff>295275</xdr:colOff>
          <xdr:row>231</xdr:row>
          <xdr:rowOff>47625</xdr:rowOff>
        </xdr:to>
        <xdr:sp macro="" textlink="">
          <xdr:nvSpPr>
            <xdr:cNvPr id="2814" name="Check Box 766" hidden="1">
              <a:extLst>
                <a:ext uri="{63B3BB69-23CF-44E3-9099-C40C66FF867C}">
                  <a14:compatExt spid="_x0000_s2814"/>
                </a:ext>
                <a:ext uri="{FF2B5EF4-FFF2-40B4-BE49-F238E27FC236}">
                  <a16:creationId xmlns:a16="http://schemas.microsoft.com/office/drawing/2014/main" id="{00000000-0008-0000-0200-0000FE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230</xdr:row>
          <xdr:rowOff>0</xdr:rowOff>
        </xdr:from>
        <xdr:to>
          <xdr:col>4</xdr:col>
          <xdr:colOff>295275</xdr:colOff>
          <xdr:row>231</xdr:row>
          <xdr:rowOff>47625</xdr:rowOff>
        </xdr:to>
        <xdr:sp macro="" textlink="">
          <xdr:nvSpPr>
            <xdr:cNvPr id="2815" name="Check Box 767" hidden="1">
              <a:extLst>
                <a:ext uri="{63B3BB69-23CF-44E3-9099-C40C66FF867C}">
                  <a14:compatExt spid="_x0000_s2815"/>
                </a:ext>
                <a:ext uri="{FF2B5EF4-FFF2-40B4-BE49-F238E27FC236}">
                  <a16:creationId xmlns:a16="http://schemas.microsoft.com/office/drawing/2014/main" id="{00000000-0008-0000-0200-0000FF0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229</xdr:row>
          <xdr:rowOff>0</xdr:rowOff>
        </xdr:from>
        <xdr:to>
          <xdr:col>9</xdr:col>
          <xdr:colOff>295275</xdr:colOff>
          <xdr:row>230</xdr:row>
          <xdr:rowOff>47625</xdr:rowOff>
        </xdr:to>
        <xdr:sp macro="" textlink="">
          <xdr:nvSpPr>
            <xdr:cNvPr id="2816" name="Check Box 768" hidden="1">
              <a:extLst>
                <a:ext uri="{63B3BB69-23CF-44E3-9099-C40C66FF867C}">
                  <a14:compatExt spid="_x0000_s2816"/>
                </a:ext>
                <a:ext uri="{FF2B5EF4-FFF2-40B4-BE49-F238E27FC236}">
                  <a16:creationId xmlns:a16="http://schemas.microsoft.com/office/drawing/2014/main" id="{00000000-0008-0000-0200-000000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229</xdr:row>
          <xdr:rowOff>0</xdr:rowOff>
        </xdr:from>
        <xdr:to>
          <xdr:col>4</xdr:col>
          <xdr:colOff>295275</xdr:colOff>
          <xdr:row>230</xdr:row>
          <xdr:rowOff>47625</xdr:rowOff>
        </xdr:to>
        <xdr:sp macro="" textlink="">
          <xdr:nvSpPr>
            <xdr:cNvPr id="2817" name="Check Box 769" hidden="1">
              <a:extLst>
                <a:ext uri="{63B3BB69-23CF-44E3-9099-C40C66FF867C}">
                  <a14:compatExt spid="_x0000_s2817"/>
                </a:ext>
                <a:ext uri="{FF2B5EF4-FFF2-40B4-BE49-F238E27FC236}">
                  <a16:creationId xmlns:a16="http://schemas.microsoft.com/office/drawing/2014/main" id="{00000000-0008-0000-0200-000001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228</xdr:row>
          <xdr:rowOff>0</xdr:rowOff>
        </xdr:from>
        <xdr:to>
          <xdr:col>9</xdr:col>
          <xdr:colOff>295275</xdr:colOff>
          <xdr:row>229</xdr:row>
          <xdr:rowOff>47625</xdr:rowOff>
        </xdr:to>
        <xdr:sp macro="" textlink="">
          <xdr:nvSpPr>
            <xdr:cNvPr id="2820" name="Check Box 772" hidden="1">
              <a:extLst>
                <a:ext uri="{63B3BB69-23CF-44E3-9099-C40C66FF867C}">
                  <a14:compatExt spid="_x0000_s2820"/>
                </a:ext>
                <a:ext uri="{FF2B5EF4-FFF2-40B4-BE49-F238E27FC236}">
                  <a16:creationId xmlns:a16="http://schemas.microsoft.com/office/drawing/2014/main" id="{00000000-0008-0000-0200-000004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228</xdr:row>
          <xdr:rowOff>0</xdr:rowOff>
        </xdr:from>
        <xdr:to>
          <xdr:col>4</xdr:col>
          <xdr:colOff>295275</xdr:colOff>
          <xdr:row>229</xdr:row>
          <xdr:rowOff>47625</xdr:rowOff>
        </xdr:to>
        <xdr:sp macro="" textlink="">
          <xdr:nvSpPr>
            <xdr:cNvPr id="2821" name="Check Box 773" hidden="1">
              <a:extLst>
                <a:ext uri="{63B3BB69-23CF-44E3-9099-C40C66FF867C}">
                  <a14:compatExt spid="_x0000_s2821"/>
                </a:ext>
                <a:ext uri="{FF2B5EF4-FFF2-40B4-BE49-F238E27FC236}">
                  <a16:creationId xmlns:a16="http://schemas.microsoft.com/office/drawing/2014/main" id="{00000000-0008-0000-0200-000005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227</xdr:row>
          <xdr:rowOff>0</xdr:rowOff>
        </xdr:from>
        <xdr:to>
          <xdr:col>9</xdr:col>
          <xdr:colOff>295275</xdr:colOff>
          <xdr:row>228</xdr:row>
          <xdr:rowOff>47625</xdr:rowOff>
        </xdr:to>
        <xdr:sp macro="" textlink="">
          <xdr:nvSpPr>
            <xdr:cNvPr id="2834" name="Check Box 786" hidden="1">
              <a:extLst>
                <a:ext uri="{63B3BB69-23CF-44E3-9099-C40C66FF867C}">
                  <a14:compatExt spid="_x0000_s2834"/>
                </a:ext>
                <a:ext uri="{FF2B5EF4-FFF2-40B4-BE49-F238E27FC236}">
                  <a16:creationId xmlns:a16="http://schemas.microsoft.com/office/drawing/2014/main" id="{00000000-0008-0000-0200-00001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227</xdr:row>
          <xdr:rowOff>0</xdr:rowOff>
        </xdr:from>
        <xdr:to>
          <xdr:col>4</xdr:col>
          <xdr:colOff>295275</xdr:colOff>
          <xdr:row>228</xdr:row>
          <xdr:rowOff>47625</xdr:rowOff>
        </xdr:to>
        <xdr:sp macro="" textlink="">
          <xdr:nvSpPr>
            <xdr:cNvPr id="2835" name="Check Box 787" hidden="1">
              <a:extLst>
                <a:ext uri="{63B3BB69-23CF-44E3-9099-C40C66FF867C}">
                  <a14:compatExt spid="_x0000_s2835"/>
                </a:ext>
                <a:ext uri="{FF2B5EF4-FFF2-40B4-BE49-F238E27FC236}">
                  <a16:creationId xmlns:a16="http://schemas.microsoft.com/office/drawing/2014/main" id="{00000000-0008-0000-0200-00001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227</xdr:row>
          <xdr:rowOff>0</xdr:rowOff>
        </xdr:from>
        <xdr:to>
          <xdr:col>4</xdr:col>
          <xdr:colOff>295275</xdr:colOff>
          <xdr:row>228</xdr:row>
          <xdr:rowOff>47625</xdr:rowOff>
        </xdr:to>
        <xdr:sp macro="" textlink="">
          <xdr:nvSpPr>
            <xdr:cNvPr id="2839" name="Check Box 791" hidden="1">
              <a:extLst>
                <a:ext uri="{63B3BB69-23CF-44E3-9099-C40C66FF867C}">
                  <a14:compatExt spid="_x0000_s2839"/>
                </a:ext>
                <a:ext uri="{FF2B5EF4-FFF2-40B4-BE49-F238E27FC236}">
                  <a16:creationId xmlns:a16="http://schemas.microsoft.com/office/drawing/2014/main" id="{00000000-0008-0000-0200-000017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226</xdr:row>
          <xdr:rowOff>0</xdr:rowOff>
        </xdr:from>
        <xdr:to>
          <xdr:col>9</xdr:col>
          <xdr:colOff>295275</xdr:colOff>
          <xdr:row>227</xdr:row>
          <xdr:rowOff>47625</xdr:rowOff>
        </xdr:to>
        <xdr:sp macro="" textlink="">
          <xdr:nvSpPr>
            <xdr:cNvPr id="2852" name="Check Box 804" hidden="1">
              <a:extLst>
                <a:ext uri="{63B3BB69-23CF-44E3-9099-C40C66FF867C}">
                  <a14:compatExt spid="_x0000_s2852"/>
                </a:ext>
                <a:ext uri="{FF2B5EF4-FFF2-40B4-BE49-F238E27FC236}">
                  <a16:creationId xmlns:a16="http://schemas.microsoft.com/office/drawing/2014/main" id="{00000000-0008-0000-0200-000024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226</xdr:row>
          <xdr:rowOff>0</xdr:rowOff>
        </xdr:from>
        <xdr:to>
          <xdr:col>4</xdr:col>
          <xdr:colOff>295275</xdr:colOff>
          <xdr:row>227</xdr:row>
          <xdr:rowOff>47625</xdr:rowOff>
        </xdr:to>
        <xdr:sp macro="" textlink="">
          <xdr:nvSpPr>
            <xdr:cNvPr id="2853" name="Check Box 805" hidden="1">
              <a:extLst>
                <a:ext uri="{63B3BB69-23CF-44E3-9099-C40C66FF867C}">
                  <a14:compatExt spid="_x0000_s2853"/>
                </a:ext>
                <a:ext uri="{FF2B5EF4-FFF2-40B4-BE49-F238E27FC236}">
                  <a16:creationId xmlns:a16="http://schemas.microsoft.com/office/drawing/2014/main" id="{00000000-0008-0000-0200-000025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225</xdr:row>
          <xdr:rowOff>0</xdr:rowOff>
        </xdr:from>
        <xdr:to>
          <xdr:col>9</xdr:col>
          <xdr:colOff>295275</xdr:colOff>
          <xdr:row>226</xdr:row>
          <xdr:rowOff>47625</xdr:rowOff>
        </xdr:to>
        <xdr:sp macro="" textlink="">
          <xdr:nvSpPr>
            <xdr:cNvPr id="2884" name="Check Box 836" hidden="1">
              <a:extLst>
                <a:ext uri="{63B3BB69-23CF-44E3-9099-C40C66FF867C}">
                  <a14:compatExt spid="_x0000_s2884"/>
                </a:ext>
                <a:ext uri="{FF2B5EF4-FFF2-40B4-BE49-F238E27FC236}">
                  <a16:creationId xmlns:a16="http://schemas.microsoft.com/office/drawing/2014/main" id="{00000000-0008-0000-0200-000044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225</xdr:row>
          <xdr:rowOff>0</xdr:rowOff>
        </xdr:from>
        <xdr:to>
          <xdr:col>4</xdr:col>
          <xdr:colOff>295275</xdr:colOff>
          <xdr:row>226</xdr:row>
          <xdr:rowOff>47625</xdr:rowOff>
        </xdr:to>
        <xdr:sp macro="" textlink="">
          <xdr:nvSpPr>
            <xdr:cNvPr id="2885" name="Check Box 837" hidden="1">
              <a:extLst>
                <a:ext uri="{63B3BB69-23CF-44E3-9099-C40C66FF867C}">
                  <a14:compatExt spid="_x0000_s2885"/>
                </a:ext>
                <a:ext uri="{FF2B5EF4-FFF2-40B4-BE49-F238E27FC236}">
                  <a16:creationId xmlns:a16="http://schemas.microsoft.com/office/drawing/2014/main" id="{00000000-0008-0000-0200-000045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224</xdr:row>
          <xdr:rowOff>0</xdr:rowOff>
        </xdr:from>
        <xdr:to>
          <xdr:col>9</xdr:col>
          <xdr:colOff>295275</xdr:colOff>
          <xdr:row>225</xdr:row>
          <xdr:rowOff>47625</xdr:rowOff>
        </xdr:to>
        <xdr:sp macro="" textlink="">
          <xdr:nvSpPr>
            <xdr:cNvPr id="2904" name="Check Box 856" hidden="1">
              <a:extLst>
                <a:ext uri="{63B3BB69-23CF-44E3-9099-C40C66FF867C}">
                  <a14:compatExt spid="_x0000_s2904"/>
                </a:ext>
                <a:ext uri="{FF2B5EF4-FFF2-40B4-BE49-F238E27FC236}">
                  <a16:creationId xmlns:a16="http://schemas.microsoft.com/office/drawing/2014/main" id="{00000000-0008-0000-0200-000058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224</xdr:row>
          <xdr:rowOff>0</xdr:rowOff>
        </xdr:from>
        <xdr:to>
          <xdr:col>4</xdr:col>
          <xdr:colOff>295275</xdr:colOff>
          <xdr:row>225</xdr:row>
          <xdr:rowOff>47625</xdr:rowOff>
        </xdr:to>
        <xdr:sp macro="" textlink="">
          <xdr:nvSpPr>
            <xdr:cNvPr id="2905" name="Check Box 857" hidden="1">
              <a:extLst>
                <a:ext uri="{63B3BB69-23CF-44E3-9099-C40C66FF867C}">
                  <a14:compatExt spid="_x0000_s2905"/>
                </a:ext>
                <a:ext uri="{FF2B5EF4-FFF2-40B4-BE49-F238E27FC236}">
                  <a16:creationId xmlns:a16="http://schemas.microsoft.com/office/drawing/2014/main" id="{00000000-0008-0000-0200-000059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223</xdr:row>
          <xdr:rowOff>0</xdr:rowOff>
        </xdr:from>
        <xdr:to>
          <xdr:col>9</xdr:col>
          <xdr:colOff>295275</xdr:colOff>
          <xdr:row>224</xdr:row>
          <xdr:rowOff>47625</xdr:rowOff>
        </xdr:to>
        <xdr:sp macro="" textlink="">
          <xdr:nvSpPr>
            <xdr:cNvPr id="2906" name="Check Box 858" hidden="1">
              <a:extLst>
                <a:ext uri="{63B3BB69-23CF-44E3-9099-C40C66FF867C}">
                  <a14:compatExt spid="_x0000_s2906"/>
                </a:ext>
                <a:ext uri="{FF2B5EF4-FFF2-40B4-BE49-F238E27FC236}">
                  <a16:creationId xmlns:a16="http://schemas.microsoft.com/office/drawing/2014/main" id="{00000000-0008-0000-0200-00005A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223</xdr:row>
          <xdr:rowOff>0</xdr:rowOff>
        </xdr:from>
        <xdr:to>
          <xdr:col>4</xdr:col>
          <xdr:colOff>295275</xdr:colOff>
          <xdr:row>224</xdr:row>
          <xdr:rowOff>47625</xdr:rowOff>
        </xdr:to>
        <xdr:sp macro="" textlink="">
          <xdr:nvSpPr>
            <xdr:cNvPr id="2907" name="Check Box 859" hidden="1">
              <a:extLst>
                <a:ext uri="{63B3BB69-23CF-44E3-9099-C40C66FF867C}">
                  <a14:compatExt spid="_x0000_s2907"/>
                </a:ext>
                <a:ext uri="{FF2B5EF4-FFF2-40B4-BE49-F238E27FC236}">
                  <a16:creationId xmlns:a16="http://schemas.microsoft.com/office/drawing/2014/main" id="{00000000-0008-0000-0200-00005B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223</xdr:row>
          <xdr:rowOff>0</xdr:rowOff>
        </xdr:from>
        <xdr:to>
          <xdr:col>9</xdr:col>
          <xdr:colOff>295275</xdr:colOff>
          <xdr:row>224</xdr:row>
          <xdr:rowOff>47625</xdr:rowOff>
        </xdr:to>
        <xdr:sp macro="" textlink="">
          <xdr:nvSpPr>
            <xdr:cNvPr id="2918" name="Check Box 870" hidden="1">
              <a:extLst>
                <a:ext uri="{63B3BB69-23CF-44E3-9099-C40C66FF867C}">
                  <a14:compatExt spid="_x0000_s2918"/>
                </a:ext>
                <a:ext uri="{FF2B5EF4-FFF2-40B4-BE49-F238E27FC236}">
                  <a16:creationId xmlns:a16="http://schemas.microsoft.com/office/drawing/2014/main" id="{00000000-0008-0000-0200-000066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222</xdr:row>
          <xdr:rowOff>0</xdr:rowOff>
        </xdr:from>
        <xdr:to>
          <xdr:col>9</xdr:col>
          <xdr:colOff>295275</xdr:colOff>
          <xdr:row>223</xdr:row>
          <xdr:rowOff>47625</xdr:rowOff>
        </xdr:to>
        <xdr:sp macro="" textlink="">
          <xdr:nvSpPr>
            <xdr:cNvPr id="2930" name="Check Box 882" hidden="1">
              <a:extLst>
                <a:ext uri="{63B3BB69-23CF-44E3-9099-C40C66FF867C}">
                  <a14:compatExt spid="_x0000_s2930"/>
                </a:ext>
                <a:ext uri="{FF2B5EF4-FFF2-40B4-BE49-F238E27FC236}">
                  <a16:creationId xmlns:a16="http://schemas.microsoft.com/office/drawing/2014/main" id="{00000000-0008-0000-0200-00007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222</xdr:row>
          <xdr:rowOff>0</xdr:rowOff>
        </xdr:from>
        <xdr:to>
          <xdr:col>4</xdr:col>
          <xdr:colOff>295275</xdr:colOff>
          <xdr:row>223</xdr:row>
          <xdr:rowOff>47625</xdr:rowOff>
        </xdr:to>
        <xdr:sp macro="" textlink="">
          <xdr:nvSpPr>
            <xdr:cNvPr id="2931" name="Check Box 883" hidden="1">
              <a:extLst>
                <a:ext uri="{63B3BB69-23CF-44E3-9099-C40C66FF867C}">
                  <a14:compatExt spid="_x0000_s2931"/>
                </a:ext>
                <a:ext uri="{FF2B5EF4-FFF2-40B4-BE49-F238E27FC236}">
                  <a16:creationId xmlns:a16="http://schemas.microsoft.com/office/drawing/2014/main" id="{00000000-0008-0000-0200-00007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221</xdr:row>
          <xdr:rowOff>0</xdr:rowOff>
        </xdr:from>
        <xdr:to>
          <xdr:col>9</xdr:col>
          <xdr:colOff>295275</xdr:colOff>
          <xdr:row>222</xdr:row>
          <xdr:rowOff>47625</xdr:rowOff>
        </xdr:to>
        <xdr:sp macro="" textlink="">
          <xdr:nvSpPr>
            <xdr:cNvPr id="2936" name="Check Box 888" hidden="1">
              <a:extLst>
                <a:ext uri="{63B3BB69-23CF-44E3-9099-C40C66FF867C}">
                  <a14:compatExt spid="_x0000_s2936"/>
                </a:ext>
                <a:ext uri="{FF2B5EF4-FFF2-40B4-BE49-F238E27FC236}">
                  <a16:creationId xmlns:a16="http://schemas.microsoft.com/office/drawing/2014/main" id="{00000000-0008-0000-0200-000078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221</xdr:row>
          <xdr:rowOff>0</xdr:rowOff>
        </xdr:from>
        <xdr:to>
          <xdr:col>4</xdr:col>
          <xdr:colOff>295275</xdr:colOff>
          <xdr:row>222</xdr:row>
          <xdr:rowOff>47625</xdr:rowOff>
        </xdr:to>
        <xdr:sp macro="" textlink="">
          <xdr:nvSpPr>
            <xdr:cNvPr id="2937" name="Check Box 889" hidden="1">
              <a:extLst>
                <a:ext uri="{63B3BB69-23CF-44E3-9099-C40C66FF867C}">
                  <a14:compatExt spid="_x0000_s2937"/>
                </a:ext>
                <a:ext uri="{FF2B5EF4-FFF2-40B4-BE49-F238E27FC236}">
                  <a16:creationId xmlns:a16="http://schemas.microsoft.com/office/drawing/2014/main" id="{00000000-0008-0000-0200-000079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220</xdr:row>
          <xdr:rowOff>0</xdr:rowOff>
        </xdr:from>
        <xdr:to>
          <xdr:col>9</xdr:col>
          <xdr:colOff>295275</xdr:colOff>
          <xdr:row>221</xdr:row>
          <xdr:rowOff>47625</xdr:rowOff>
        </xdr:to>
        <xdr:sp macro="" textlink="">
          <xdr:nvSpPr>
            <xdr:cNvPr id="2944" name="Check Box 896" hidden="1">
              <a:extLst>
                <a:ext uri="{63B3BB69-23CF-44E3-9099-C40C66FF867C}">
                  <a14:compatExt spid="_x0000_s2944"/>
                </a:ext>
                <a:ext uri="{FF2B5EF4-FFF2-40B4-BE49-F238E27FC236}">
                  <a16:creationId xmlns:a16="http://schemas.microsoft.com/office/drawing/2014/main" id="{00000000-0008-0000-0200-000080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220</xdr:row>
          <xdr:rowOff>0</xdr:rowOff>
        </xdr:from>
        <xdr:to>
          <xdr:col>4</xdr:col>
          <xdr:colOff>295275</xdr:colOff>
          <xdr:row>221</xdr:row>
          <xdr:rowOff>47625</xdr:rowOff>
        </xdr:to>
        <xdr:sp macro="" textlink="">
          <xdr:nvSpPr>
            <xdr:cNvPr id="2945" name="Check Box 897" hidden="1">
              <a:extLst>
                <a:ext uri="{63B3BB69-23CF-44E3-9099-C40C66FF867C}">
                  <a14:compatExt spid="_x0000_s2945"/>
                </a:ext>
                <a:ext uri="{FF2B5EF4-FFF2-40B4-BE49-F238E27FC236}">
                  <a16:creationId xmlns:a16="http://schemas.microsoft.com/office/drawing/2014/main" id="{00000000-0008-0000-0200-000081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219</xdr:row>
          <xdr:rowOff>0</xdr:rowOff>
        </xdr:from>
        <xdr:to>
          <xdr:col>9</xdr:col>
          <xdr:colOff>295275</xdr:colOff>
          <xdr:row>220</xdr:row>
          <xdr:rowOff>47625</xdr:rowOff>
        </xdr:to>
        <xdr:sp macro="" textlink="">
          <xdr:nvSpPr>
            <xdr:cNvPr id="2978" name="Check Box 930" hidden="1">
              <a:extLst>
                <a:ext uri="{63B3BB69-23CF-44E3-9099-C40C66FF867C}">
                  <a14:compatExt spid="_x0000_s2978"/>
                </a:ext>
                <a:ext uri="{FF2B5EF4-FFF2-40B4-BE49-F238E27FC236}">
                  <a16:creationId xmlns:a16="http://schemas.microsoft.com/office/drawing/2014/main" id="{00000000-0008-0000-0200-0000A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219</xdr:row>
          <xdr:rowOff>0</xdr:rowOff>
        </xdr:from>
        <xdr:to>
          <xdr:col>4</xdr:col>
          <xdr:colOff>295275</xdr:colOff>
          <xdr:row>220</xdr:row>
          <xdr:rowOff>47625</xdr:rowOff>
        </xdr:to>
        <xdr:sp macro="" textlink="">
          <xdr:nvSpPr>
            <xdr:cNvPr id="2979" name="Check Box 931" hidden="1">
              <a:extLst>
                <a:ext uri="{63B3BB69-23CF-44E3-9099-C40C66FF867C}">
                  <a14:compatExt spid="_x0000_s2979"/>
                </a:ext>
                <a:ext uri="{FF2B5EF4-FFF2-40B4-BE49-F238E27FC236}">
                  <a16:creationId xmlns:a16="http://schemas.microsoft.com/office/drawing/2014/main" id="{00000000-0008-0000-0200-0000A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218</xdr:row>
          <xdr:rowOff>0</xdr:rowOff>
        </xdr:from>
        <xdr:to>
          <xdr:col>9</xdr:col>
          <xdr:colOff>295275</xdr:colOff>
          <xdr:row>219</xdr:row>
          <xdr:rowOff>47625</xdr:rowOff>
        </xdr:to>
        <xdr:sp macro="" textlink="">
          <xdr:nvSpPr>
            <xdr:cNvPr id="3010" name="Check Box 962" hidden="1">
              <a:extLst>
                <a:ext uri="{63B3BB69-23CF-44E3-9099-C40C66FF867C}">
                  <a14:compatExt spid="_x0000_s3010"/>
                </a:ext>
                <a:ext uri="{FF2B5EF4-FFF2-40B4-BE49-F238E27FC236}">
                  <a16:creationId xmlns:a16="http://schemas.microsoft.com/office/drawing/2014/main" id="{00000000-0008-0000-0200-0000C2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218</xdr:row>
          <xdr:rowOff>0</xdr:rowOff>
        </xdr:from>
        <xdr:to>
          <xdr:col>4</xdr:col>
          <xdr:colOff>295275</xdr:colOff>
          <xdr:row>219</xdr:row>
          <xdr:rowOff>47625</xdr:rowOff>
        </xdr:to>
        <xdr:sp macro="" textlink="">
          <xdr:nvSpPr>
            <xdr:cNvPr id="3011" name="Check Box 963" hidden="1">
              <a:extLst>
                <a:ext uri="{63B3BB69-23CF-44E3-9099-C40C66FF867C}">
                  <a14:compatExt spid="_x0000_s3011"/>
                </a:ext>
                <a:ext uri="{FF2B5EF4-FFF2-40B4-BE49-F238E27FC236}">
                  <a16:creationId xmlns:a16="http://schemas.microsoft.com/office/drawing/2014/main" id="{00000000-0008-0000-0200-0000C3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217</xdr:row>
          <xdr:rowOff>0</xdr:rowOff>
        </xdr:from>
        <xdr:to>
          <xdr:col>9</xdr:col>
          <xdr:colOff>295275</xdr:colOff>
          <xdr:row>218</xdr:row>
          <xdr:rowOff>47625</xdr:rowOff>
        </xdr:to>
        <xdr:sp macro="" textlink="">
          <xdr:nvSpPr>
            <xdr:cNvPr id="3030" name="Check Box 982" hidden="1">
              <a:extLst>
                <a:ext uri="{63B3BB69-23CF-44E3-9099-C40C66FF867C}">
                  <a14:compatExt spid="_x0000_s3030"/>
                </a:ext>
                <a:ext uri="{FF2B5EF4-FFF2-40B4-BE49-F238E27FC236}">
                  <a16:creationId xmlns:a16="http://schemas.microsoft.com/office/drawing/2014/main" id="{00000000-0008-0000-0200-0000D6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217</xdr:row>
          <xdr:rowOff>0</xdr:rowOff>
        </xdr:from>
        <xdr:to>
          <xdr:col>4</xdr:col>
          <xdr:colOff>295275</xdr:colOff>
          <xdr:row>218</xdr:row>
          <xdr:rowOff>47625</xdr:rowOff>
        </xdr:to>
        <xdr:sp macro="" textlink="">
          <xdr:nvSpPr>
            <xdr:cNvPr id="3031" name="Check Box 983" hidden="1">
              <a:extLst>
                <a:ext uri="{63B3BB69-23CF-44E3-9099-C40C66FF867C}">
                  <a14:compatExt spid="_x0000_s3031"/>
                </a:ext>
                <a:ext uri="{FF2B5EF4-FFF2-40B4-BE49-F238E27FC236}">
                  <a16:creationId xmlns:a16="http://schemas.microsoft.com/office/drawing/2014/main" id="{00000000-0008-0000-0200-0000D7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216</xdr:row>
          <xdr:rowOff>0</xdr:rowOff>
        </xdr:from>
        <xdr:to>
          <xdr:col>9</xdr:col>
          <xdr:colOff>295275</xdr:colOff>
          <xdr:row>217</xdr:row>
          <xdr:rowOff>47625</xdr:rowOff>
        </xdr:to>
        <xdr:sp macro="" textlink="">
          <xdr:nvSpPr>
            <xdr:cNvPr id="3038" name="Check Box 990" hidden="1">
              <a:extLst>
                <a:ext uri="{63B3BB69-23CF-44E3-9099-C40C66FF867C}">
                  <a14:compatExt spid="_x0000_s3038"/>
                </a:ext>
                <a:ext uri="{FF2B5EF4-FFF2-40B4-BE49-F238E27FC236}">
                  <a16:creationId xmlns:a16="http://schemas.microsoft.com/office/drawing/2014/main" id="{00000000-0008-0000-0200-0000DE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216</xdr:row>
          <xdr:rowOff>0</xdr:rowOff>
        </xdr:from>
        <xdr:to>
          <xdr:col>4</xdr:col>
          <xdr:colOff>295275</xdr:colOff>
          <xdr:row>217</xdr:row>
          <xdr:rowOff>47625</xdr:rowOff>
        </xdr:to>
        <xdr:sp macro="" textlink="">
          <xdr:nvSpPr>
            <xdr:cNvPr id="3039" name="Check Box 991" hidden="1">
              <a:extLst>
                <a:ext uri="{63B3BB69-23CF-44E3-9099-C40C66FF867C}">
                  <a14:compatExt spid="_x0000_s3039"/>
                </a:ext>
                <a:ext uri="{FF2B5EF4-FFF2-40B4-BE49-F238E27FC236}">
                  <a16:creationId xmlns:a16="http://schemas.microsoft.com/office/drawing/2014/main" id="{00000000-0008-0000-0200-0000DF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215</xdr:row>
          <xdr:rowOff>0</xdr:rowOff>
        </xdr:from>
        <xdr:to>
          <xdr:col>9</xdr:col>
          <xdr:colOff>295275</xdr:colOff>
          <xdr:row>216</xdr:row>
          <xdr:rowOff>47625</xdr:rowOff>
        </xdr:to>
        <xdr:sp macro="" textlink="">
          <xdr:nvSpPr>
            <xdr:cNvPr id="3050" name="Check Box 1002" hidden="1">
              <a:extLst>
                <a:ext uri="{63B3BB69-23CF-44E3-9099-C40C66FF867C}">
                  <a14:compatExt spid="_x0000_s3050"/>
                </a:ext>
                <a:ext uri="{FF2B5EF4-FFF2-40B4-BE49-F238E27FC236}">
                  <a16:creationId xmlns:a16="http://schemas.microsoft.com/office/drawing/2014/main" id="{00000000-0008-0000-0200-0000EA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215</xdr:row>
          <xdr:rowOff>0</xdr:rowOff>
        </xdr:from>
        <xdr:to>
          <xdr:col>4</xdr:col>
          <xdr:colOff>295275</xdr:colOff>
          <xdr:row>216</xdr:row>
          <xdr:rowOff>47625</xdr:rowOff>
        </xdr:to>
        <xdr:sp macro="" textlink="">
          <xdr:nvSpPr>
            <xdr:cNvPr id="3051" name="Check Box 1003" hidden="1">
              <a:extLst>
                <a:ext uri="{63B3BB69-23CF-44E3-9099-C40C66FF867C}">
                  <a14:compatExt spid="_x0000_s3051"/>
                </a:ext>
                <a:ext uri="{FF2B5EF4-FFF2-40B4-BE49-F238E27FC236}">
                  <a16:creationId xmlns:a16="http://schemas.microsoft.com/office/drawing/2014/main" id="{00000000-0008-0000-0200-0000EB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214</xdr:row>
          <xdr:rowOff>0</xdr:rowOff>
        </xdr:from>
        <xdr:to>
          <xdr:col>9</xdr:col>
          <xdr:colOff>295275</xdr:colOff>
          <xdr:row>215</xdr:row>
          <xdr:rowOff>47625</xdr:rowOff>
        </xdr:to>
        <xdr:sp macro="" textlink="">
          <xdr:nvSpPr>
            <xdr:cNvPr id="3062" name="Check Box 1014" hidden="1">
              <a:extLst>
                <a:ext uri="{63B3BB69-23CF-44E3-9099-C40C66FF867C}">
                  <a14:compatExt spid="_x0000_s3062"/>
                </a:ext>
                <a:ext uri="{FF2B5EF4-FFF2-40B4-BE49-F238E27FC236}">
                  <a16:creationId xmlns:a16="http://schemas.microsoft.com/office/drawing/2014/main" id="{00000000-0008-0000-0200-0000F6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214</xdr:row>
          <xdr:rowOff>0</xdr:rowOff>
        </xdr:from>
        <xdr:to>
          <xdr:col>4</xdr:col>
          <xdr:colOff>295275</xdr:colOff>
          <xdr:row>215</xdr:row>
          <xdr:rowOff>47625</xdr:rowOff>
        </xdr:to>
        <xdr:sp macro="" textlink="">
          <xdr:nvSpPr>
            <xdr:cNvPr id="3063" name="Check Box 1015" hidden="1">
              <a:extLst>
                <a:ext uri="{63B3BB69-23CF-44E3-9099-C40C66FF867C}">
                  <a14:compatExt spid="_x0000_s3063"/>
                </a:ext>
                <a:ext uri="{FF2B5EF4-FFF2-40B4-BE49-F238E27FC236}">
                  <a16:creationId xmlns:a16="http://schemas.microsoft.com/office/drawing/2014/main" id="{00000000-0008-0000-0200-0000F70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213</xdr:row>
          <xdr:rowOff>0</xdr:rowOff>
        </xdr:from>
        <xdr:to>
          <xdr:col>9</xdr:col>
          <xdr:colOff>295275</xdr:colOff>
          <xdr:row>214</xdr:row>
          <xdr:rowOff>47625</xdr:rowOff>
        </xdr:to>
        <xdr:sp macro="" textlink="">
          <xdr:nvSpPr>
            <xdr:cNvPr id="13146124" name="Check Box 1036" hidden="1">
              <a:extLst>
                <a:ext uri="{63B3BB69-23CF-44E3-9099-C40C66FF867C}">
                  <a14:compatExt spid="_x0000_s13146124"/>
                </a:ext>
                <a:ext uri="{FF2B5EF4-FFF2-40B4-BE49-F238E27FC236}">
                  <a16:creationId xmlns:a16="http://schemas.microsoft.com/office/drawing/2014/main" id="{00000000-0008-0000-0200-00000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213</xdr:row>
          <xdr:rowOff>0</xdr:rowOff>
        </xdr:from>
        <xdr:to>
          <xdr:col>4</xdr:col>
          <xdr:colOff>295275</xdr:colOff>
          <xdr:row>214</xdr:row>
          <xdr:rowOff>47625</xdr:rowOff>
        </xdr:to>
        <xdr:sp macro="" textlink="">
          <xdr:nvSpPr>
            <xdr:cNvPr id="13146125" name="Check Box 1037" hidden="1">
              <a:extLst>
                <a:ext uri="{63B3BB69-23CF-44E3-9099-C40C66FF867C}">
                  <a14:compatExt spid="_x0000_s13146125"/>
                </a:ext>
                <a:ext uri="{FF2B5EF4-FFF2-40B4-BE49-F238E27FC236}">
                  <a16:creationId xmlns:a16="http://schemas.microsoft.com/office/drawing/2014/main" id="{00000000-0008-0000-0200-00000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212</xdr:row>
          <xdr:rowOff>0</xdr:rowOff>
        </xdr:from>
        <xdr:to>
          <xdr:col>9</xdr:col>
          <xdr:colOff>295275</xdr:colOff>
          <xdr:row>213</xdr:row>
          <xdr:rowOff>47625</xdr:rowOff>
        </xdr:to>
        <xdr:sp macro="" textlink="">
          <xdr:nvSpPr>
            <xdr:cNvPr id="13146138" name="Check Box 1050" hidden="1">
              <a:extLst>
                <a:ext uri="{63B3BB69-23CF-44E3-9099-C40C66FF867C}">
                  <a14:compatExt spid="_x0000_s13146138"/>
                </a:ext>
                <a:ext uri="{FF2B5EF4-FFF2-40B4-BE49-F238E27FC236}">
                  <a16:creationId xmlns:a16="http://schemas.microsoft.com/office/drawing/2014/main" id="{00000000-0008-0000-0200-00001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212</xdr:row>
          <xdr:rowOff>0</xdr:rowOff>
        </xdr:from>
        <xdr:to>
          <xdr:col>4</xdr:col>
          <xdr:colOff>295275</xdr:colOff>
          <xdr:row>213</xdr:row>
          <xdr:rowOff>47625</xdr:rowOff>
        </xdr:to>
        <xdr:sp macro="" textlink="">
          <xdr:nvSpPr>
            <xdr:cNvPr id="13146139" name="Check Box 1051" hidden="1">
              <a:extLst>
                <a:ext uri="{63B3BB69-23CF-44E3-9099-C40C66FF867C}">
                  <a14:compatExt spid="_x0000_s13146139"/>
                </a:ext>
                <a:ext uri="{FF2B5EF4-FFF2-40B4-BE49-F238E27FC236}">
                  <a16:creationId xmlns:a16="http://schemas.microsoft.com/office/drawing/2014/main" id="{00000000-0008-0000-0200-00001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211</xdr:row>
          <xdr:rowOff>0</xdr:rowOff>
        </xdr:from>
        <xdr:to>
          <xdr:col>9</xdr:col>
          <xdr:colOff>295275</xdr:colOff>
          <xdr:row>212</xdr:row>
          <xdr:rowOff>47625</xdr:rowOff>
        </xdr:to>
        <xdr:sp macro="" textlink="">
          <xdr:nvSpPr>
            <xdr:cNvPr id="13146170" name="Check Box 1082" hidden="1">
              <a:extLst>
                <a:ext uri="{63B3BB69-23CF-44E3-9099-C40C66FF867C}">
                  <a14:compatExt spid="_x0000_s13146170"/>
                </a:ext>
                <a:ext uri="{FF2B5EF4-FFF2-40B4-BE49-F238E27FC236}">
                  <a16:creationId xmlns:a16="http://schemas.microsoft.com/office/drawing/2014/main" id="{00000000-0008-0000-0200-00003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211</xdr:row>
          <xdr:rowOff>0</xdr:rowOff>
        </xdr:from>
        <xdr:to>
          <xdr:col>4</xdr:col>
          <xdr:colOff>295275</xdr:colOff>
          <xdr:row>212</xdr:row>
          <xdr:rowOff>47625</xdr:rowOff>
        </xdr:to>
        <xdr:sp macro="" textlink="">
          <xdr:nvSpPr>
            <xdr:cNvPr id="13146171" name="Check Box 1083" hidden="1">
              <a:extLst>
                <a:ext uri="{63B3BB69-23CF-44E3-9099-C40C66FF867C}">
                  <a14:compatExt spid="_x0000_s13146171"/>
                </a:ext>
                <a:ext uri="{FF2B5EF4-FFF2-40B4-BE49-F238E27FC236}">
                  <a16:creationId xmlns:a16="http://schemas.microsoft.com/office/drawing/2014/main" id="{00000000-0008-0000-0200-00003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210</xdr:row>
          <xdr:rowOff>0</xdr:rowOff>
        </xdr:from>
        <xdr:to>
          <xdr:col>9</xdr:col>
          <xdr:colOff>295275</xdr:colOff>
          <xdr:row>211</xdr:row>
          <xdr:rowOff>47625</xdr:rowOff>
        </xdr:to>
        <xdr:sp macro="" textlink="">
          <xdr:nvSpPr>
            <xdr:cNvPr id="13146172" name="Check Box 1084" hidden="1">
              <a:extLst>
                <a:ext uri="{63B3BB69-23CF-44E3-9099-C40C66FF867C}">
                  <a14:compatExt spid="_x0000_s13146172"/>
                </a:ext>
                <a:ext uri="{FF2B5EF4-FFF2-40B4-BE49-F238E27FC236}">
                  <a16:creationId xmlns:a16="http://schemas.microsoft.com/office/drawing/2014/main" id="{00000000-0008-0000-0200-00003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210</xdr:row>
          <xdr:rowOff>0</xdr:rowOff>
        </xdr:from>
        <xdr:to>
          <xdr:col>4</xdr:col>
          <xdr:colOff>295275</xdr:colOff>
          <xdr:row>211</xdr:row>
          <xdr:rowOff>47625</xdr:rowOff>
        </xdr:to>
        <xdr:sp macro="" textlink="">
          <xdr:nvSpPr>
            <xdr:cNvPr id="13146173" name="Check Box 1085" hidden="1">
              <a:extLst>
                <a:ext uri="{63B3BB69-23CF-44E3-9099-C40C66FF867C}">
                  <a14:compatExt spid="_x0000_s13146173"/>
                </a:ext>
                <a:ext uri="{FF2B5EF4-FFF2-40B4-BE49-F238E27FC236}">
                  <a16:creationId xmlns:a16="http://schemas.microsoft.com/office/drawing/2014/main" id="{00000000-0008-0000-0200-00003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209</xdr:row>
          <xdr:rowOff>0</xdr:rowOff>
        </xdr:from>
        <xdr:to>
          <xdr:col>9</xdr:col>
          <xdr:colOff>295275</xdr:colOff>
          <xdr:row>210</xdr:row>
          <xdr:rowOff>47625</xdr:rowOff>
        </xdr:to>
        <xdr:sp macro="" textlink="">
          <xdr:nvSpPr>
            <xdr:cNvPr id="13146174" name="Check Box 1086" hidden="1">
              <a:extLst>
                <a:ext uri="{63B3BB69-23CF-44E3-9099-C40C66FF867C}">
                  <a14:compatExt spid="_x0000_s13146174"/>
                </a:ext>
                <a:ext uri="{FF2B5EF4-FFF2-40B4-BE49-F238E27FC236}">
                  <a16:creationId xmlns:a16="http://schemas.microsoft.com/office/drawing/2014/main" id="{00000000-0008-0000-0200-00003E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209</xdr:row>
          <xdr:rowOff>0</xdr:rowOff>
        </xdr:from>
        <xdr:to>
          <xdr:col>4</xdr:col>
          <xdr:colOff>295275</xdr:colOff>
          <xdr:row>210</xdr:row>
          <xdr:rowOff>47625</xdr:rowOff>
        </xdr:to>
        <xdr:sp macro="" textlink="">
          <xdr:nvSpPr>
            <xdr:cNvPr id="13146175" name="Check Box 1087" hidden="1">
              <a:extLst>
                <a:ext uri="{63B3BB69-23CF-44E3-9099-C40C66FF867C}">
                  <a14:compatExt spid="_x0000_s13146175"/>
                </a:ext>
                <a:ext uri="{FF2B5EF4-FFF2-40B4-BE49-F238E27FC236}">
                  <a16:creationId xmlns:a16="http://schemas.microsoft.com/office/drawing/2014/main" id="{00000000-0008-0000-0200-00003F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208</xdr:row>
          <xdr:rowOff>0</xdr:rowOff>
        </xdr:from>
        <xdr:to>
          <xdr:col>9</xdr:col>
          <xdr:colOff>295275</xdr:colOff>
          <xdr:row>209</xdr:row>
          <xdr:rowOff>47625</xdr:rowOff>
        </xdr:to>
        <xdr:sp macro="" textlink="">
          <xdr:nvSpPr>
            <xdr:cNvPr id="13146210" name="Check Box 1122" hidden="1">
              <a:extLst>
                <a:ext uri="{63B3BB69-23CF-44E3-9099-C40C66FF867C}">
                  <a14:compatExt spid="_x0000_s13146210"/>
                </a:ext>
                <a:ext uri="{FF2B5EF4-FFF2-40B4-BE49-F238E27FC236}">
                  <a16:creationId xmlns:a16="http://schemas.microsoft.com/office/drawing/2014/main" id="{00000000-0008-0000-0200-000062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208</xdr:row>
          <xdr:rowOff>0</xdr:rowOff>
        </xdr:from>
        <xdr:to>
          <xdr:col>4</xdr:col>
          <xdr:colOff>295275</xdr:colOff>
          <xdr:row>209</xdr:row>
          <xdr:rowOff>47625</xdr:rowOff>
        </xdr:to>
        <xdr:sp macro="" textlink="">
          <xdr:nvSpPr>
            <xdr:cNvPr id="13146211" name="Check Box 1123" hidden="1">
              <a:extLst>
                <a:ext uri="{63B3BB69-23CF-44E3-9099-C40C66FF867C}">
                  <a14:compatExt spid="_x0000_s13146211"/>
                </a:ext>
                <a:ext uri="{FF2B5EF4-FFF2-40B4-BE49-F238E27FC236}">
                  <a16:creationId xmlns:a16="http://schemas.microsoft.com/office/drawing/2014/main" id="{00000000-0008-0000-0200-000063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207</xdr:row>
          <xdr:rowOff>0</xdr:rowOff>
        </xdr:from>
        <xdr:to>
          <xdr:col>9</xdr:col>
          <xdr:colOff>295275</xdr:colOff>
          <xdr:row>208</xdr:row>
          <xdr:rowOff>47625</xdr:rowOff>
        </xdr:to>
        <xdr:sp macro="" textlink="">
          <xdr:nvSpPr>
            <xdr:cNvPr id="13146212" name="Check Box 1124" hidden="1">
              <a:extLst>
                <a:ext uri="{63B3BB69-23CF-44E3-9099-C40C66FF867C}">
                  <a14:compatExt spid="_x0000_s13146212"/>
                </a:ext>
                <a:ext uri="{FF2B5EF4-FFF2-40B4-BE49-F238E27FC236}">
                  <a16:creationId xmlns:a16="http://schemas.microsoft.com/office/drawing/2014/main" id="{00000000-0008-0000-0200-000064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207</xdr:row>
          <xdr:rowOff>0</xdr:rowOff>
        </xdr:from>
        <xdr:to>
          <xdr:col>4</xdr:col>
          <xdr:colOff>295275</xdr:colOff>
          <xdr:row>208</xdr:row>
          <xdr:rowOff>47625</xdr:rowOff>
        </xdr:to>
        <xdr:sp macro="" textlink="">
          <xdr:nvSpPr>
            <xdr:cNvPr id="13146213" name="Check Box 1125" hidden="1">
              <a:extLst>
                <a:ext uri="{63B3BB69-23CF-44E3-9099-C40C66FF867C}">
                  <a14:compatExt spid="_x0000_s13146213"/>
                </a:ext>
                <a:ext uri="{FF2B5EF4-FFF2-40B4-BE49-F238E27FC236}">
                  <a16:creationId xmlns:a16="http://schemas.microsoft.com/office/drawing/2014/main" id="{00000000-0008-0000-0200-000065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9</xdr:col>
          <xdr:colOff>295275</xdr:colOff>
          <xdr:row>207</xdr:row>
          <xdr:rowOff>47625</xdr:rowOff>
        </xdr:to>
        <xdr:sp macro="" textlink="">
          <xdr:nvSpPr>
            <xdr:cNvPr id="13146248" name="Check Box 1160" hidden="1">
              <a:extLst>
                <a:ext uri="{63B3BB69-23CF-44E3-9099-C40C66FF867C}">
                  <a14:compatExt spid="_x0000_s13146248"/>
                </a:ext>
                <a:ext uri="{FF2B5EF4-FFF2-40B4-BE49-F238E27FC236}">
                  <a16:creationId xmlns:a16="http://schemas.microsoft.com/office/drawing/2014/main" id="{00000000-0008-0000-0200-00008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206</xdr:row>
          <xdr:rowOff>0</xdr:rowOff>
        </xdr:from>
        <xdr:to>
          <xdr:col>4</xdr:col>
          <xdr:colOff>295275</xdr:colOff>
          <xdr:row>207</xdr:row>
          <xdr:rowOff>47625</xdr:rowOff>
        </xdr:to>
        <xdr:sp macro="" textlink="">
          <xdr:nvSpPr>
            <xdr:cNvPr id="13146249" name="Check Box 1161" hidden="1">
              <a:extLst>
                <a:ext uri="{63B3BB69-23CF-44E3-9099-C40C66FF867C}">
                  <a14:compatExt spid="_x0000_s13146249"/>
                </a:ext>
                <a:ext uri="{FF2B5EF4-FFF2-40B4-BE49-F238E27FC236}">
                  <a16:creationId xmlns:a16="http://schemas.microsoft.com/office/drawing/2014/main" id="{00000000-0008-0000-0200-00008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9</xdr:col>
          <xdr:colOff>295275</xdr:colOff>
          <xdr:row>207</xdr:row>
          <xdr:rowOff>47625</xdr:rowOff>
        </xdr:to>
        <xdr:sp macro="" textlink="">
          <xdr:nvSpPr>
            <xdr:cNvPr id="13146250" name="Check Box 1162" hidden="1">
              <a:extLst>
                <a:ext uri="{63B3BB69-23CF-44E3-9099-C40C66FF867C}">
                  <a14:compatExt spid="_x0000_s13146250"/>
                </a:ext>
                <a:ext uri="{FF2B5EF4-FFF2-40B4-BE49-F238E27FC236}">
                  <a16:creationId xmlns:a16="http://schemas.microsoft.com/office/drawing/2014/main" id="{00000000-0008-0000-0200-00008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9</xdr:col>
          <xdr:colOff>295275</xdr:colOff>
          <xdr:row>207</xdr:row>
          <xdr:rowOff>47625</xdr:rowOff>
        </xdr:to>
        <xdr:sp macro="" textlink="">
          <xdr:nvSpPr>
            <xdr:cNvPr id="13146252" name="Check Box 1164" hidden="1">
              <a:extLst>
                <a:ext uri="{63B3BB69-23CF-44E3-9099-C40C66FF867C}">
                  <a14:compatExt spid="_x0000_s13146252"/>
                </a:ext>
                <a:ext uri="{FF2B5EF4-FFF2-40B4-BE49-F238E27FC236}">
                  <a16:creationId xmlns:a16="http://schemas.microsoft.com/office/drawing/2014/main" id="{00000000-0008-0000-0200-00008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9</xdr:col>
          <xdr:colOff>295275</xdr:colOff>
          <xdr:row>207</xdr:row>
          <xdr:rowOff>47625</xdr:rowOff>
        </xdr:to>
        <xdr:sp macro="" textlink="">
          <xdr:nvSpPr>
            <xdr:cNvPr id="13146256" name="Check Box 1168" hidden="1">
              <a:extLst>
                <a:ext uri="{63B3BB69-23CF-44E3-9099-C40C66FF867C}">
                  <a14:compatExt spid="_x0000_s13146256"/>
                </a:ext>
                <a:ext uri="{FF2B5EF4-FFF2-40B4-BE49-F238E27FC236}">
                  <a16:creationId xmlns:a16="http://schemas.microsoft.com/office/drawing/2014/main" id="{00000000-0008-0000-0200-000090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205</xdr:row>
          <xdr:rowOff>0</xdr:rowOff>
        </xdr:from>
        <xdr:to>
          <xdr:col>9</xdr:col>
          <xdr:colOff>295275</xdr:colOff>
          <xdr:row>206</xdr:row>
          <xdr:rowOff>47625</xdr:rowOff>
        </xdr:to>
        <xdr:sp macro="" textlink="">
          <xdr:nvSpPr>
            <xdr:cNvPr id="13146268" name="Check Box 1180" hidden="1">
              <a:extLst>
                <a:ext uri="{63B3BB69-23CF-44E3-9099-C40C66FF867C}">
                  <a14:compatExt spid="_x0000_s13146268"/>
                </a:ext>
                <a:ext uri="{FF2B5EF4-FFF2-40B4-BE49-F238E27FC236}">
                  <a16:creationId xmlns:a16="http://schemas.microsoft.com/office/drawing/2014/main" id="{00000000-0008-0000-0200-00009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205</xdr:row>
          <xdr:rowOff>0</xdr:rowOff>
        </xdr:from>
        <xdr:to>
          <xdr:col>4</xdr:col>
          <xdr:colOff>295275</xdr:colOff>
          <xdr:row>206</xdr:row>
          <xdr:rowOff>47625</xdr:rowOff>
        </xdr:to>
        <xdr:sp macro="" textlink="">
          <xdr:nvSpPr>
            <xdr:cNvPr id="13146269" name="Check Box 1181" hidden="1">
              <a:extLst>
                <a:ext uri="{63B3BB69-23CF-44E3-9099-C40C66FF867C}">
                  <a14:compatExt spid="_x0000_s13146269"/>
                </a:ext>
                <a:ext uri="{FF2B5EF4-FFF2-40B4-BE49-F238E27FC236}">
                  <a16:creationId xmlns:a16="http://schemas.microsoft.com/office/drawing/2014/main" id="{00000000-0008-0000-0200-00009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204</xdr:row>
          <xdr:rowOff>0</xdr:rowOff>
        </xdr:from>
        <xdr:to>
          <xdr:col>9</xdr:col>
          <xdr:colOff>295275</xdr:colOff>
          <xdr:row>205</xdr:row>
          <xdr:rowOff>47625</xdr:rowOff>
        </xdr:to>
        <xdr:sp macro="" textlink="">
          <xdr:nvSpPr>
            <xdr:cNvPr id="13146280" name="Check Box 1192" hidden="1">
              <a:extLst>
                <a:ext uri="{63B3BB69-23CF-44E3-9099-C40C66FF867C}">
                  <a14:compatExt spid="_x0000_s13146280"/>
                </a:ext>
                <a:ext uri="{FF2B5EF4-FFF2-40B4-BE49-F238E27FC236}">
                  <a16:creationId xmlns:a16="http://schemas.microsoft.com/office/drawing/2014/main" id="{00000000-0008-0000-0200-0000A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204</xdr:row>
          <xdr:rowOff>0</xdr:rowOff>
        </xdr:from>
        <xdr:to>
          <xdr:col>4</xdr:col>
          <xdr:colOff>295275</xdr:colOff>
          <xdr:row>205</xdr:row>
          <xdr:rowOff>47625</xdr:rowOff>
        </xdr:to>
        <xdr:sp macro="" textlink="">
          <xdr:nvSpPr>
            <xdr:cNvPr id="13146281" name="Check Box 1193" hidden="1">
              <a:extLst>
                <a:ext uri="{63B3BB69-23CF-44E3-9099-C40C66FF867C}">
                  <a14:compatExt spid="_x0000_s13146281"/>
                </a:ext>
                <a:ext uri="{FF2B5EF4-FFF2-40B4-BE49-F238E27FC236}">
                  <a16:creationId xmlns:a16="http://schemas.microsoft.com/office/drawing/2014/main" id="{00000000-0008-0000-0200-0000A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203</xdr:row>
          <xdr:rowOff>0</xdr:rowOff>
        </xdr:from>
        <xdr:to>
          <xdr:col>9</xdr:col>
          <xdr:colOff>295275</xdr:colOff>
          <xdr:row>204</xdr:row>
          <xdr:rowOff>47625</xdr:rowOff>
        </xdr:to>
        <xdr:sp macro="" textlink="">
          <xdr:nvSpPr>
            <xdr:cNvPr id="13146282" name="Check Box 1194" hidden="1">
              <a:extLst>
                <a:ext uri="{63B3BB69-23CF-44E3-9099-C40C66FF867C}">
                  <a14:compatExt spid="_x0000_s13146282"/>
                </a:ext>
                <a:ext uri="{FF2B5EF4-FFF2-40B4-BE49-F238E27FC236}">
                  <a16:creationId xmlns:a16="http://schemas.microsoft.com/office/drawing/2014/main" id="{00000000-0008-0000-0200-0000A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203</xdr:row>
          <xdr:rowOff>0</xdr:rowOff>
        </xdr:from>
        <xdr:to>
          <xdr:col>4</xdr:col>
          <xdr:colOff>295275</xdr:colOff>
          <xdr:row>204</xdr:row>
          <xdr:rowOff>47625</xdr:rowOff>
        </xdr:to>
        <xdr:sp macro="" textlink="">
          <xdr:nvSpPr>
            <xdr:cNvPr id="13146283" name="Check Box 1195" hidden="1">
              <a:extLst>
                <a:ext uri="{63B3BB69-23CF-44E3-9099-C40C66FF867C}">
                  <a14:compatExt spid="_x0000_s13146283"/>
                </a:ext>
                <a:ext uri="{FF2B5EF4-FFF2-40B4-BE49-F238E27FC236}">
                  <a16:creationId xmlns:a16="http://schemas.microsoft.com/office/drawing/2014/main" id="{00000000-0008-0000-0200-0000A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202</xdr:row>
          <xdr:rowOff>0</xdr:rowOff>
        </xdr:from>
        <xdr:to>
          <xdr:col>9</xdr:col>
          <xdr:colOff>295275</xdr:colOff>
          <xdr:row>203</xdr:row>
          <xdr:rowOff>47625</xdr:rowOff>
        </xdr:to>
        <xdr:sp macro="" textlink="">
          <xdr:nvSpPr>
            <xdr:cNvPr id="13146292" name="Check Box 1204" hidden="1">
              <a:extLst>
                <a:ext uri="{63B3BB69-23CF-44E3-9099-C40C66FF867C}">
                  <a14:compatExt spid="_x0000_s13146292"/>
                </a:ext>
                <a:ext uri="{FF2B5EF4-FFF2-40B4-BE49-F238E27FC236}">
                  <a16:creationId xmlns:a16="http://schemas.microsoft.com/office/drawing/2014/main" id="{00000000-0008-0000-0200-0000B4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202</xdr:row>
          <xdr:rowOff>0</xdr:rowOff>
        </xdr:from>
        <xdr:to>
          <xdr:col>4</xdr:col>
          <xdr:colOff>295275</xdr:colOff>
          <xdr:row>203</xdr:row>
          <xdr:rowOff>47625</xdr:rowOff>
        </xdr:to>
        <xdr:sp macro="" textlink="">
          <xdr:nvSpPr>
            <xdr:cNvPr id="13146293" name="Check Box 1205" hidden="1">
              <a:extLst>
                <a:ext uri="{63B3BB69-23CF-44E3-9099-C40C66FF867C}">
                  <a14:compatExt spid="_x0000_s13146293"/>
                </a:ext>
                <a:ext uri="{FF2B5EF4-FFF2-40B4-BE49-F238E27FC236}">
                  <a16:creationId xmlns:a16="http://schemas.microsoft.com/office/drawing/2014/main" id="{00000000-0008-0000-0200-0000B5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201</xdr:row>
          <xdr:rowOff>0</xdr:rowOff>
        </xdr:from>
        <xdr:to>
          <xdr:col>9</xdr:col>
          <xdr:colOff>295275</xdr:colOff>
          <xdr:row>202</xdr:row>
          <xdr:rowOff>47625</xdr:rowOff>
        </xdr:to>
        <xdr:sp macro="" textlink="">
          <xdr:nvSpPr>
            <xdr:cNvPr id="13146300" name="Check Box 1212" hidden="1">
              <a:extLst>
                <a:ext uri="{63B3BB69-23CF-44E3-9099-C40C66FF867C}">
                  <a14:compatExt spid="_x0000_s13146300"/>
                </a:ext>
                <a:ext uri="{FF2B5EF4-FFF2-40B4-BE49-F238E27FC236}">
                  <a16:creationId xmlns:a16="http://schemas.microsoft.com/office/drawing/2014/main" id="{00000000-0008-0000-0200-0000BC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201</xdr:row>
          <xdr:rowOff>0</xdr:rowOff>
        </xdr:from>
        <xdr:to>
          <xdr:col>4</xdr:col>
          <xdr:colOff>295275</xdr:colOff>
          <xdr:row>202</xdr:row>
          <xdr:rowOff>47625</xdr:rowOff>
        </xdr:to>
        <xdr:sp macro="" textlink="">
          <xdr:nvSpPr>
            <xdr:cNvPr id="13146301" name="Check Box 1213" hidden="1">
              <a:extLst>
                <a:ext uri="{63B3BB69-23CF-44E3-9099-C40C66FF867C}">
                  <a14:compatExt spid="_x0000_s13146301"/>
                </a:ext>
                <a:ext uri="{FF2B5EF4-FFF2-40B4-BE49-F238E27FC236}">
                  <a16:creationId xmlns:a16="http://schemas.microsoft.com/office/drawing/2014/main" id="{00000000-0008-0000-0200-0000BD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200</xdr:row>
          <xdr:rowOff>0</xdr:rowOff>
        </xdr:from>
        <xdr:to>
          <xdr:col>9</xdr:col>
          <xdr:colOff>295275</xdr:colOff>
          <xdr:row>201</xdr:row>
          <xdr:rowOff>47625</xdr:rowOff>
        </xdr:to>
        <xdr:sp macro="" textlink="">
          <xdr:nvSpPr>
            <xdr:cNvPr id="13146310" name="Check Box 1222" hidden="1">
              <a:extLst>
                <a:ext uri="{63B3BB69-23CF-44E3-9099-C40C66FF867C}">
                  <a14:compatExt spid="_x0000_s13146310"/>
                </a:ext>
                <a:ext uri="{FF2B5EF4-FFF2-40B4-BE49-F238E27FC236}">
                  <a16:creationId xmlns:a16="http://schemas.microsoft.com/office/drawing/2014/main" id="{00000000-0008-0000-0200-0000C6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200</xdr:row>
          <xdr:rowOff>0</xdr:rowOff>
        </xdr:from>
        <xdr:to>
          <xdr:col>4</xdr:col>
          <xdr:colOff>295275</xdr:colOff>
          <xdr:row>201</xdr:row>
          <xdr:rowOff>47625</xdr:rowOff>
        </xdr:to>
        <xdr:sp macro="" textlink="">
          <xdr:nvSpPr>
            <xdr:cNvPr id="13146311" name="Check Box 1223" hidden="1">
              <a:extLst>
                <a:ext uri="{63B3BB69-23CF-44E3-9099-C40C66FF867C}">
                  <a14:compatExt spid="_x0000_s13146311"/>
                </a:ext>
                <a:ext uri="{FF2B5EF4-FFF2-40B4-BE49-F238E27FC236}">
                  <a16:creationId xmlns:a16="http://schemas.microsoft.com/office/drawing/2014/main" id="{00000000-0008-0000-0200-0000C7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199</xdr:row>
          <xdr:rowOff>0</xdr:rowOff>
        </xdr:from>
        <xdr:to>
          <xdr:col>9</xdr:col>
          <xdr:colOff>295275</xdr:colOff>
          <xdr:row>200</xdr:row>
          <xdr:rowOff>47625</xdr:rowOff>
        </xdr:to>
        <xdr:sp macro="" textlink="">
          <xdr:nvSpPr>
            <xdr:cNvPr id="13146312" name="Check Box 1224" hidden="1">
              <a:extLst>
                <a:ext uri="{63B3BB69-23CF-44E3-9099-C40C66FF867C}">
                  <a14:compatExt spid="_x0000_s13146312"/>
                </a:ext>
                <a:ext uri="{FF2B5EF4-FFF2-40B4-BE49-F238E27FC236}">
                  <a16:creationId xmlns:a16="http://schemas.microsoft.com/office/drawing/2014/main" id="{00000000-0008-0000-0200-0000C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199</xdr:row>
          <xdr:rowOff>0</xdr:rowOff>
        </xdr:from>
        <xdr:to>
          <xdr:col>4</xdr:col>
          <xdr:colOff>295275</xdr:colOff>
          <xdr:row>200</xdr:row>
          <xdr:rowOff>47625</xdr:rowOff>
        </xdr:to>
        <xdr:sp macro="" textlink="">
          <xdr:nvSpPr>
            <xdr:cNvPr id="13146313" name="Check Box 1225" hidden="1">
              <a:extLst>
                <a:ext uri="{63B3BB69-23CF-44E3-9099-C40C66FF867C}">
                  <a14:compatExt spid="_x0000_s13146313"/>
                </a:ext>
                <a:ext uri="{FF2B5EF4-FFF2-40B4-BE49-F238E27FC236}">
                  <a16:creationId xmlns:a16="http://schemas.microsoft.com/office/drawing/2014/main" id="{00000000-0008-0000-0200-0000C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198</xdr:row>
          <xdr:rowOff>0</xdr:rowOff>
        </xdr:from>
        <xdr:to>
          <xdr:col>9</xdr:col>
          <xdr:colOff>295275</xdr:colOff>
          <xdr:row>199</xdr:row>
          <xdr:rowOff>47625</xdr:rowOff>
        </xdr:to>
        <xdr:sp macro="" textlink="">
          <xdr:nvSpPr>
            <xdr:cNvPr id="13146328" name="Check Box 1240" hidden="1">
              <a:extLst>
                <a:ext uri="{63B3BB69-23CF-44E3-9099-C40C66FF867C}">
                  <a14:compatExt spid="_x0000_s13146328"/>
                </a:ext>
                <a:ext uri="{FF2B5EF4-FFF2-40B4-BE49-F238E27FC236}">
                  <a16:creationId xmlns:a16="http://schemas.microsoft.com/office/drawing/2014/main" id="{00000000-0008-0000-0200-0000D8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198</xdr:row>
          <xdr:rowOff>0</xdr:rowOff>
        </xdr:from>
        <xdr:to>
          <xdr:col>4</xdr:col>
          <xdr:colOff>295275</xdr:colOff>
          <xdr:row>199</xdr:row>
          <xdr:rowOff>47625</xdr:rowOff>
        </xdr:to>
        <xdr:sp macro="" textlink="">
          <xdr:nvSpPr>
            <xdr:cNvPr id="13146329" name="Check Box 1241" hidden="1">
              <a:extLst>
                <a:ext uri="{63B3BB69-23CF-44E3-9099-C40C66FF867C}">
                  <a14:compatExt spid="_x0000_s13146329"/>
                </a:ext>
                <a:ext uri="{FF2B5EF4-FFF2-40B4-BE49-F238E27FC236}">
                  <a16:creationId xmlns:a16="http://schemas.microsoft.com/office/drawing/2014/main" id="{00000000-0008-0000-0200-0000D9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197</xdr:row>
          <xdr:rowOff>0</xdr:rowOff>
        </xdr:from>
        <xdr:to>
          <xdr:col>9</xdr:col>
          <xdr:colOff>295275</xdr:colOff>
          <xdr:row>198</xdr:row>
          <xdr:rowOff>47625</xdr:rowOff>
        </xdr:to>
        <xdr:sp macro="" textlink="">
          <xdr:nvSpPr>
            <xdr:cNvPr id="13146336" name="Check Box 1248" hidden="1">
              <a:extLst>
                <a:ext uri="{63B3BB69-23CF-44E3-9099-C40C66FF867C}">
                  <a14:compatExt spid="_x0000_s13146336"/>
                </a:ext>
                <a:ext uri="{FF2B5EF4-FFF2-40B4-BE49-F238E27FC236}">
                  <a16:creationId xmlns:a16="http://schemas.microsoft.com/office/drawing/2014/main" id="{00000000-0008-0000-0200-0000E0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197</xdr:row>
          <xdr:rowOff>0</xdr:rowOff>
        </xdr:from>
        <xdr:to>
          <xdr:col>4</xdr:col>
          <xdr:colOff>295275</xdr:colOff>
          <xdr:row>198</xdr:row>
          <xdr:rowOff>47625</xdr:rowOff>
        </xdr:to>
        <xdr:sp macro="" textlink="">
          <xdr:nvSpPr>
            <xdr:cNvPr id="13146337" name="Check Box 1249" hidden="1">
              <a:extLst>
                <a:ext uri="{63B3BB69-23CF-44E3-9099-C40C66FF867C}">
                  <a14:compatExt spid="_x0000_s13146337"/>
                </a:ext>
                <a:ext uri="{FF2B5EF4-FFF2-40B4-BE49-F238E27FC236}">
                  <a16:creationId xmlns:a16="http://schemas.microsoft.com/office/drawing/2014/main" id="{00000000-0008-0000-0200-0000E1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196</xdr:row>
          <xdr:rowOff>0</xdr:rowOff>
        </xdr:from>
        <xdr:to>
          <xdr:col>9</xdr:col>
          <xdr:colOff>295275</xdr:colOff>
          <xdr:row>197</xdr:row>
          <xdr:rowOff>47625</xdr:rowOff>
        </xdr:to>
        <xdr:sp macro="" textlink="">
          <xdr:nvSpPr>
            <xdr:cNvPr id="13146346" name="Check Box 1258" hidden="1">
              <a:extLst>
                <a:ext uri="{63B3BB69-23CF-44E3-9099-C40C66FF867C}">
                  <a14:compatExt spid="_x0000_s13146346"/>
                </a:ext>
                <a:ext uri="{FF2B5EF4-FFF2-40B4-BE49-F238E27FC236}">
                  <a16:creationId xmlns:a16="http://schemas.microsoft.com/office/drawing/2014/main" id="{00000000-0008-0000-0200-0000EA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196</xdr:row>
          <xdr:rowOff>0</xdr:rowOff>
        </xdr:from>
        <xdr:to>
          <xdr:col>4</xdr:col>
          <xdr:colOff>295275</xdr:colOff>
          <xdr:row>197</xdr:row>
          <xdr:rowOff>47625</xdr:rowOff>
        </xdr:to>
        <xdr:sp macro="" textlink="">
          <xdr:nvSpPr>
            <xdr:cNvPr id="13146347" name="Check Box 1259" hidden="1">
              <a:extLst>
                <a:ext uri="{63B3BB69-23CF-44E3-9099-C40C66FF867C}">
                  <a14:compatExt spid="_x0000_s13146347"/>
                </a:ext>
                <a:ext uri="{FF2B5EF4-FFF2-40B4-BE49-F238E27FC236}">
                  <a16:creationId xmlns:a16="http://schemas.microsoft.com/office/drawing/2014/main" id="{00000000-0008-0000-0200-0000EB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196</xdr:row>
          <xdr:rowOff>0</xdr:rowOff>
        </xdr:from>
        <xdr:to>
          <xdr:col>9</xdr:col>
          <xdr:colOff>295275</xdr:colOff>
          <xdr:row>197</xdr:row>
          <xdr:rowOff>47625</xdr:rowOff>
        </xdr:to>
        <xdr:sp macro="" textlink="">
          <xdr:nvSpPr>
            <xdr:cNvPr id="13146352" name="Check Box 1264" hidden="1">
              <a:extLst>
                <a:ext uri="{63B3BB69-23CF-44E3-9099-C40C66FF867C}">
                  <a14:compatExt spid="_x0000_s13146352"/>
                </a:ext>
                <a:ext uri="{FF2B5EF4-FFF2-40B4-BE49-F238E27FC236}">
                  <a16:creationId xmlns:a16="http://schemas.microsoft.com/office/drawing/2014/main" id="{00000000-0008-0000-0200-0000F0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195</xdr:row>
          <xdr:rowOff>0</xdr:rowOff>
        </xdr:from>
        <xdr:to>
          <xdr:col>9</xdr:col>
          <xdr:colOff>295275</xdr:colOff>
          <xdr:row>196</xdr:row>
          <xdr:rowOff>66675</xdr:rowOff>
        </xdr:to>
        <xdr:sp macro="" textlink="">
          <xdr:nvSpPr>
            <xdr:cNvPr id="13146354" name="Check Box 1266" hidden="1">
              <a:extLst>
                <a:ext uri="{63B3BB69-23CF-44E3-9099-C40C66FF867C}">
                  <a14:compatExt spid="_x0000_s13146354"/>
                </a:ext>
                <a:ext uri="{FF2B5EF4-FFF2-40B4-BE49-F238E27FC236}">
                  <a16:creationId xmlns:a16="http://schemas.microsoft.com/office/drawing/2014/main" id="{00000000-0008-0000-0200-0000F2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195</xdr:row>
          <xdr:rowOff>0</xdr:rowOff>
        </xdr:from>
        <xdr:to>
          <xdr:col>4</xdr:col>
          <xdr:colOff>295275</xdr:colOff>
          <xdr:row>196</xdr:row>
          <xdr:rowOff>66675</xdr:rowOff>
        </xdr:to>
        <xdr:sp macro="" textlink="">
          <xdr:nvSpPr>
            <xdr:cNvPr id="13146355" name="Check Box 1267" hidden="1">
              <a:extLst>
                <a:ext uri="{63B3BB69-23CF-44E3-9099-C40C66FF867C}">
                  <a14:compatExt spid="_x0000_s13146355"/>
                </a:ext>
                <a:ext uri="{FF2B5EF4-FFF2-40B4-BE49-F238E27FC236}">
                  <a16:creationId xmlns:a16="http://schemas.microsoft.com/office/drawing/2014/main" id="{00000000-0008-0000-0200-0000F3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194</xdr:row>
          <xdr:rowOff>0</xdr:rowOff>
        </xdr:from>
        <xdr:to>
          <xdr:col>9</xdr:col>
          <xdr:colOff>295275</xdr:colOff>
          <xdr:row>195</xdr:row>
          <xdr:rowOff>66675</xdr:rowOff>
        </xdr:to>
        <xdr:sp macro="" textlink="">
          <xdr:nvSpPr>
            <xdr:cNvPr id="13146366" name="Check Box 1278" hidden="1">
              <a:extLst>
                <a:ext uri="{63B3BB69-23CF-44E3-9099-C40C66FF867C}">
                  <a14:compatExt spid="_x0000_s13146366"/>
                </a:ext>
                <a:ext uri="{FF2B5EF4-FFF2-40B4-BE49-F238E27FC236}">
                  <a16:creationId xmlns:a16="http://schemas.microsoft.com/office/drawing/2014/main" id="{00000000-0008-0000-0200-0000FE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194</xdr:row>
          <xdr:rowOff>0</xdr:rowOff>
        </xdr:from>
        <xdr:to>
          <xdr:col>4</xdr:col>
          <xdr:colOff>295275</xdr:colOff>
          <xdr:row>195</xdr:row>
          <xdr:rowOff>66675</xdr:rowOff>
        </xdr:to>
        <xdr:sp macro="" textlink="">
          <xdr:nvSpPr>
            <xdr:cNvPr id="13146367" name="Check Box 1279" hidden="1">
              <a:extLst>
                <a:ext uri="{63B3BB69-23CF-44E3-9099-C40C66FF867C}">
                  <a14:compatExt spid="_x0000_s13146367"/>
                </a:ext>
                <a:ext uri="{FF2B5EF4-FFF2-40B4-BE49-F238E27FC236}">
                  <a16:creationId xmlns:a16="http://schemas.microsoft.com/office/drawing/2014/main" id="{00000000-0008-0000-0200-0000FF98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193</xdr:row>
          <xdr:rowOff>0</xdr:rowOff>
        </xdr:from>
        <xdr:to>
          <xdr:col>9</xdr:col>
          <xdr:colOff>295275</xdr:colOff>
          <xdr:row>194</xdr:row>
          <xdr:rowOff>47625</xdr:rowOff>
        </xdr:to>
        <xdr:sp macro="" textlink="">
          <xdr:nvSpPr>
            <xdr:cNvPr id="13146370" name="Check Box 1282" hidden="1">
              <a:extLst>
                <a:ext uri="{63B3BB69-23CF-44E3-9099-C40C66FF867C}">
                  <a14:compatExt spid="_x0000_s13146370"/>
                </a:ext>
                <a:ext uri="{FF2B5EF4-FFF2-40B4-BE49-F238E27FC236}">
                  <a16:creationId xmlns:a16="http://schemas.microsoft.com/office/drawing/2014/main" id="{00000000-0008-0000-0200-00000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193</xdr:row>
          <xdr:rowOff>0</xdr:rowOff>
        </xdr:from>
        <xdr:to>
          <xdr:col>4</xdr:col>
          <xdr:colOff>295275</xdr:colOff>
          <xdr:row>194</xdr:row>
          <xdr:rowOff>47625</xdr:rowOff>
        </xdr:to>
        <xdr:sp macro="" textlink="">
          <xdr:nvSpPr>
            <xdr:cNvPr id="13146371" name="Check Box 1283" hidden="1">
              <a:extLst>
                <a:ext uri="{63B3BB69-23CF-44E3-9099-C40C66FF867C}">
                  <a14:compatExt spid="_x0000_s13146371"/>
                </a:ext>
                <a:ext uri="{FF2B5EF4-FFF2-40B4-BE49-F238E27FC236}">
                  <a16:creationId xmlns:a16="http://schemas.microsoft.com/office/drawing/2014/main" id="{00000000-0008-0000-0200-00000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193</xdr:row>
          <xdr:rowOff>0</xdr:rowOff>
        </xdr:from>
        <xdr:to>
          <xdr:col>9</xdr:col>
          <xdr:colOff>295275</xdr:colOff>
          <xdr:row>194</xdr:row>
          <xdr:rowOff>47625</xdr:rowOff>
        </xdr:to>
        <xdr:sp macro="" textlink="">
          <xdr:nvSpPr>
            <xdr:cNvPr id="13146372" name="Check Box 1284" hidden="1">
              <a:extLst>
                <a:ext uri="{63B3BB69-23CF-44E3-9099-C40C66FF867C}">
                  <a14:compatExt spid="_x0000_s13146372"/>
                </a:ext>
                <a:ext uri="{FF2B5EF4-FFF2-40B4-BE49-F238E27FC236}">
                  <a16:creationId xmlns:a16="http://schemas.microsoft.com/office/drawing/2014/main" id="{00000000-0008-0000-0200-00000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192</xdr:row>
          <xdr:rowOff>0</xdr:rowOff>
        </xdr:from>
        <xdr:to>
          <xdr:col>9</xdr:col>
          <xdr:colOff>295275</xdr:colOff>
          <xdr:row>193</xdr:row>
          <xdr:rowOff>47625</xdr:rowOff>
        </xdr:to>
        <xdr:sp macro="" textlink="">
          <xdr:nvSpPr>
            <xdr:cNvPr id="13146382" name="Check Box 1294" hidden="1">
              <a:extLst>
                <a:ext uri="{63B3BB69-23CF-44E3-9099-C40C66FF867C}">
                  <a14:compatExt spid="_x0000_s13146382"/>
                </a:ext>
                <a:ext uri="{FF2B5EF4-FFF2-40B4-BE49-F238E27FC236}">
                  <a16:creationId xmlns:a16="http://schemas.microsoft.com/office/drawing/2014/main" id="{00000000-0008-0000-0200-00000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192</xdr:row>
          <xdr:rowOff>0</xdr:rowOff>
        </xdr:from>
        <xdr:to>
          <xdr:col>4</xdr:col>
          <xdr:colOff>295275</xdr:colOff>
          <xdr:row>193</xdr:row>
          <xdr:rowOff>47625</xdr:rowOff>
        </xdr:to>
        <xdr:sp macro="" textlink="">
          <xdr:nvSpPr>
            <xdr:cNvPr id="13146383" name="Check Box 1295" hidden="1">
              <a:extLst>
                <a:ext uri="{63B3BB69-23CF-44E3-9099-C40C66FF867C}">
                  <a14:compatExt spid="_x0000_s13146383"/>
                </a:ext>
                <a:ext uri="{FF2B5EF4-FFF2-40B4-BE49-F238E27FC236}">
                  <a16:creationId xmlns:a16="http://schemas.microsoft.com/office/drawing/2014/main" id="{00000000-0008-0000-0200-00000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191</xdr:row>
          <xdr:rowOff>0</xdr:rowOff>
        </xdr:from>
        <xdr:to>
          <xdr:col>9</xdr:col>
          <xdr:colOff>295275</xdr:colOff>
          <xdr:row>192</xdr:row>
          <xdr:rowOff>47625</xdr:rowOff>
        </xdr:to>
        <xdr:sp macro="" textlink="">
          <xdr:nvSpPr>
            <xdr:cNvPr id="13146388" name="Check Box 1300" hidden="1">
              <a:extLst>
                <a:ext uri="{63B3BB69-23CF-44E3-9099-C40C66FF867C}">
                  <a14:compatExt spid="_x0000_s13146388"/>
                </a:ext>
                <a:ext uri="{FF2B5EF4-FFF2-40B4-BE49-F238E27FC236}">
                  <a16:creationId xmlns:a16="http://schemas.microsoft.com/office/drawing/2014/main" id="{00000000-0008-0000-0200-00001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191</xdr:row>
          <xdr:rowOff>0</xdr:rowOff>
        </xdr:from>
        <xdr:to>
          <xdr:col>4</xdr:col>
          <xdr:colOff>295275</xdr:colOff>
          <xdr:row>192</xdr:row>
          <xdr:rowOff>47625</xdr:rowOff>
        </xdr:to>
        <xdr:sp macro="" textlink="">
          <xdr:nvSpPr>
            <xdr:cNvPr id="13146389" name="Check Box 1301" hidden="1">
              <a:extLst>
                <a:ext uri="{63B3BB69-23CF-44E3-9099-C40C66FF867C}">
                  <a14:compatExt spid="_x0000_s13146389"/>
                </a:ext>
                <a:ext uri="{FF2B5EF4-FFF2-40B4-BE49-F238E27FC236}">
                  <a16:creationId xmlns:a16="http://schemas.microsoft.com/office/drawing/2014/main" id="{00000000-0008-0000-0200-00001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190</xdr:row>
          <xdr:rowOff>0</xdr:rowOff>
        </xdr:from>
        <xdr:to>
          <xdr:col>9</xdr:col>
          <xdr:colOff>295275</xdr:colOff>
          <xdr:row>191</xdr:row>
          <xdr:rowOff>47625</xdr:rowOff>
        </xdr:to>
        <xdr:sp macro="" textlink="">
          <xdr:nvSpPr>
            <xdr:cNvPr id="13146390" name="Check Box 1302" hidden="1">
              <a:extLst>
                <a:ext uri="{63B3BB69-23CF-44E3-9099-C40C66FF867C}">
                  <a14:compatExt spid="_x0000_s13146390"/>
                </a:ext>
                <a:ext uri="{FF2B5EF4-FFF2-40B4-BE49-F238E27FC236}">
                  <a16:creationId xmlns:a16="http://schemas.microsoft.com/office/drawing/2014/main" id="{00000000-0008-0000-0200-000016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190</xdr:row>
          <xdr:rowOff>0</xdr:rowOff>
        </xdr:from>
        <xdr:to>
          <xdr:col>4</xdr:col>
          <xdr:colOff>295275</xdr:colOff>
          <xdr:row>191</xdr:row>
          <xdr:rowOff>47625</xdr:rowOff>
        </xdr:to>
        <xdr:sp macro="" textlink="">
          <xdr:nvSpPr>
            <xdr:cNvPr id="13146391" name="Check Box 1303" hidden="1">
              <a:extLst>
                <a:ext uri="{63B3BB69-23CF-44E3-9099-C40C66FF867C}">
                  <a14:compatExt spid="_x0000_s13146391"/>
                </a:ext>
                <a:ext uri="{FF2B5EF4-FFF2-40B4-BE49-F238E27FC236}">
                  <a16:creationId xmlns:a16="http://schemas.microsoft.com/office/drawing/2014/main" id="{00000000-0008-0000-0200-000017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189</xdr:row>
          <xdr:rowOff>0</xdr:rowOff>
        </xdr:from>
        <xdr:to>
          <xdr:col>9</xdr:col>
          <xdr:colOff>295275</xdr:colOff>
          <xdr:row>190</xdr:row>
          <xdr:rowOff>47625</xdr:rowOff>
        </xdr:to>
        <xdr:sp macro="" textlink="">
          <xdr:nvSpPr>
            <xdr:cNvPr id="13146398" name="Check Box 1310" hidden="1">
              <a:extLst>
                <a:ext uri="{63B3BB69-23CF-44E3-9099-C40C66FF867C}">
                  <a14:compatExt spid="_x0000_s13146398"/>
                </a:ext>
                <a:ext uri="{FF2B5EF4-FFF2-40B4-BE49-F238E27FC236}">
                  <a16:creationId xmlns:a16="http://schemas.microsoft.com/office/drawing/2014/main" id="{00000000-0008-0000-0200-00001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189</xdr:row>
          <xdr:rowOff>0</xdr:rowOff>
        </xdr:from>
        <xdr:to>
          <xdr:col>4</xdr:col>
          <xdr:colOff>295275</xdr:colOff>
          <xdr:row>190</xdr:row>
          <xdr:rowOff>47625</xdr:rowOff>
        </xdr:to>
        <xdr:sp macro="" textlink="">
          <xdr:nvSpPr>
            <xdr:cNvPr id="13146399" name="Check Box 1311" hidden="1">
              <a:extLst>
                <a:ext uri="{63B3BB69-23CF-44E3-9099-C40C66FF867C}">
                  <a14:compatExt spid="_x0000_s13146399"/>
                </a:ext>
                <a:ext uri="{FF2B5EF4-FFF2-40B4-BE49-F238E27FC236}">
                  <a16:creationId xmlns:a16="http://schemas.microsoft.com/office/drawing/2014/main" id="{00000000-0008-0000-0200-00001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188</xdr:row>
          <xdr:rowOff>0</xdr:rowOff>
        </xdr:from>
        <xdr:to>
          <xdr:col>9</xdr:col>
          <xdr:colOff>295275</xdr:colOff>
          <xdr:row>189</xdr:row>
          <xdr:rowOff>47625</xdr:rowOff>
        </xdr:to>
        <xdr:sp macro="" textlink="">
          <xdr:nvSpPr>
            <xdr:cNvPr id="13146412" name="Check Box 1324" hidden="1">
              <a:extLst>
                <a:ext uri="{63B3BB69-23CF-44E3-9099-C40C66FF867C}">
                  <a14:compatExt spid="_x0000_s13146412"/>
                </a:ext>
                <a:ext uri="{FF2B5EF4-FFF2-40B4-BE49-F238E27FC236}">
                  <a16:creationId xmlns:a16="http://schemas.microsoft.com/office/drawing/2014/main" id="{00000000-0008-0000-0200-00002C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188</xdr:row>
          <xdr:rowOff>0</xdr:rowOff>
        </xdr:from>
        <xdr:to>
          <xdr:col>4</xdr:col>
          <xdr:colOff>295275</xdr:colOff>
          <xdr:row>189</xdr:row>
          <xdr:rowOff>47625</xdr:rowOff>
        </xdr:to>
        <xdr:sp macro="" textlink="">
          <xdr:nvSpPr>
            <xdr:cNvPr id="13146413" name="Check Box 1325" hidden="1">
              <a:extLst>
                <a:ext uri="{63B3BB69-23CF-44E3-9099-C40C66FF867C}">
                  <a14:compatExt spid="_x0000_s13146413"/>
                </a:ext>
                <a:ext uri="{FF2B5EF4-FFF2-40B4-BE49-F238E27FC236}">
                  <a16:creationId xmlns:a16="http://schemas.microsoft.com/office/drawing/2014/main" id="{00000000-0008-0000-0200-00002D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187</xdr:row>
          <xdr:rowOff>0</xdr:rowOff>
        </xdr:from>
        <xdr:to>
          <xdr:col>9</xdr:col>
          <xdr:colOff>295275</xdr:colOff>
          <xdr:row>188</xdr:row>
          <xdr:rowOff>47625</xdr:rowOff>
        </xdr:to>
        <xdr:sp macro="" textlink="">
          <xdr:nvSpPr>
            <xdr:cNvPr id="13146414" name="Check Box 1326" hidden="1">
              <a:extLst>
                <a:ext uri="{63B3BB69-23CF-44E3-9099-C40C66FF867C}">
                  <a14:compatExt spid="_x0000_s13146414"/>
                </a:ext>
                <a:ext uri="{FF2B5EF4-FFF2-40B4-BE49-F238E27FC236}">
                  <a16:creationId xmlns:a16="http://schemas.microsoft.com/office/drawing/2014/main" id="{00000000-0008-0000-0200-00002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187</xdr:row>
          <xdr:rowOff>0</xdr:rowOff>
        </xdr:from>
        <xdr:to>
          <xdr:col>4</xdr:col>
          <xdr:colOff>295275</xdr:colOff>
          <xdr:row>188</xdr:row>
          <xdr:rowOff>47625</xdr:rowOff>
        </xdr:to>
        <xdr:sp macro="" textlink="">
          <xdr:nvSpPr>
            <xdr:cNvPr id="13146415" name="Check Box 1327" hidden="1">
              <a:extLst>
                <a:ext uri="{63B3BB69-23CF-44E3-9099-C40C66FF867C}">
                  <a14:compatExt spid="_x0000_s13146415"/>
                </a:ext>
                <a:ext uri="{FF2B5EF4-FFF2-40B4-BE49-F238E27FC236}">
                  <a16:creationId xmlns:a16="http://schemas.microsoft.com/office/drawing/2014/main" id="{00000000-0008-0000-0200-00002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186</xdr:row>
          <xdr:rowOff>0</xdr:rowOff>
        </xdr:from>
        <xdr:to>
          <xdr:col>9</xdr:col>
          <xdr:colOff>295275</xdr:colOff>
          <xdr:row>187</xdr:row>
          <xdr:rowOff>85725</xdr:rowOff>
        </xdr:to>
        <xdr:sp macro="" textlink="">
          <xdr:nvSpPr>
            <xdr:cNvPr id="13146434" name="Check Box 1346" hidden="1">
              <a:extLst>
                <a:ext uri="{63B3BB69-23CF-44E3-9099-C40C66FF867C}">
                  <a14:compatExt spid="_x0000_s13146434"/>
                </a:ext>
                <a:ext uri="{FF2B5EF4-FFF2-40B4-BE49-F238E27FC236}">
                  <a16:creationId xmlns:a16="http://schemas.microsoft.com/office/drawing/2014/main" id="{00000000-0008-0000-0200-00004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186</xdr:row>
          <xdr:rowOff>0</xdr:rowOff>
        </xdr:from>
        <xdr:to>
          <xdr:col>4</xdr:col>
          <xdr:colOff>295275</xdr:colOff>
          <xdr:row>187</xdr:row>
          <xdr:rowOff>85725</xdr:rowOff>
        </xdr:to>
        <xdr:sp macro="" textlink="">
          <xdr:nvSpPr>
            <xdr:cNvPr id="13146435" name="Check Box 1347" hidden="1">
              <a:extLst>
                <a:ext uri="{63B3BB69-23CF-44E3-9099-C40C66FF867C}">
                  <a14:compatExt spid="_x0000_s13146435"/>
                </a:ext>
                <a:ext uri="{FF2B5EF4-FFF2-40B4-BE49-F238E27FC236}">
                  <a16:creationId xmlns:a16="http://schemas.microsoft.com/office/drawing/2014/main" id="{00000000-0008-0000-0200-00004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185</xdr:row>
          <xdr:rowOff>0</xdr:rowOff>
        </xdr:from>
        <xdr:to>
          <xdr:col>9</xdr:col>
          <xdr:colOff>295275</xdr:colOff>
          <xdr:row>186</xdr:row>
          <xdr:rowOff>47625</xdr:rowOff>
        </xdr:to>
        <xdr:sp macro="" textlink="">
          <xdr:nvSpPr>
            <xdr:cNvPr id="13146442" name="Check Box 1354" hidden="1">
              <a:extLst>
                <a:ext uri="{63B3BB69-23CF-44E3-9099-C40C66FF867C}">
                  <a14:compatExt spid="_x0000_s13146442"/>
                </a:ext>
                <a:ext uri="{FF2B5EF4-FFF2-40B4-BE49-F238E27FC236}">
                  <a16:creationId xmlns:a16="http://schemas.microsoft.com/office/drawing/2014/main" id="{00000000-0008-0000-0200-00004A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185</xdr:row>
          <xdr:rowOff>0</xdr:rowOff>
        </xdr:from>
        <xdr:to>
          <xdr:col>4</xdr:col>
          <xdr:colOff>295275</xdr:colOff>
          <xdr:row>186</xdr:row>
          <xdr:rowOff>47625</xdr:rowOff>
        </xdr:to>
        <xdr:sp macro="" textlink="">
          <xdr:nvSpPr>
            <xdr:cNvPr id="13146443" name="Check Box 1355" hidden="1">
              <a:extLst>
                <a:ext uri="{63B3BB69-23CF-44E3-9099-C40C66FF867C}">
                  <a14:compatExt spid="_x0000_s13146443"/>
                </a:ext>
                <a:ext uri="{FF2B5EF4-FFF2-40B4-BE49-F238E27FC236}">
                  <a16:creationId xmlns:a16="http://schemas.microsoft.com/office/drawing/2014/main" id="{00000000-0008-0000-0200-00004B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184</xdr:row>
          <xdr:rowOff>0</xdr:rowOff>
        </xdr:from>
        <xdr:to>
          <xdr:col>9</xdr:col>
          <xdr:colOff>295275</xdr:colOff>
          <xdr:row>185</xdr:row>
          <xdr:rowOff>47625</xdr:rowOff>
        </xdr:to>
        <xdr:sp macro="" textlink="">
          <xdr:nvSpPr>
            <xdr:cNvPr id="13146446" name="Check Box 1358" hidden="1">
              <a:extLst>
                <a:ext uri="{63B3BB69-23CF-44E3-9099-C40C66FF867C}">
                  <a14:compatExt spid="_x0000_s13146446"/>
                </a:ext>
                <a:ext uri="{FF2B5EF4-FFF2-40B4-BE49-F238E27FC236}">
                  <a16:creationId xmlns:a16="http://schemas.microsoft.com/office/drawing/2014/main" id="{00000000-0008-0000-0200-00004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xdr:row>
          <xdr:rowOff>0</xdr:rowOff>
        </xdr:from>
        <xdr:to>
          <xdr:col>4</xdr:col>
          <xdr:colOff>295275</xdr:colOff>
          <xdr:row>185</xdr:row>
          <xdr:rowOff>47625</xdr:rowOff>
        </xdr:to>
        <xdr:sp macro="" textlink="">
          <xdr:nvSpPr>
            <xdr:cNvPr id="13146447" name="Check Box 1359" hidden="1">
              <a:extLst>
                <a:ext uri="{63B3BB69-23CF-44E3-9099-C40C66FF867C}">
                  <a14:compatExt spid="_x0000_s13146447"/>
                </a:ext>
                <a:ext uri="{FF2B5EF4-FFF2-40B4-BE49-F238E27FC236}">
                  <a16:creationId xmlns:a16="http://schemas.microsoft.com/office/drawing/2014/main" id="{00000000-0008-0000-0200-00004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183</xdr:row>
          <xdr:rowOff>0</xdr:rowOff>
        </xdr:from>
        <xdr:to>
          <xdr:col>9</xdr:col>
          <xdr:colOff>295275</xdr:colOff>
          <xdr:row>184</xdr:row>
          <xdr:rowOff>47625</xdr:rowOff>
        </xdr:to>
        <xdr:sp macro="" textlink="">
          <xdr:nvSpPr>
            <xdr:cNvPr id="13146452" name="Check Box 1364" hidden="1">
              <a:extLst>
                <a:ext uri="{63B3BB69-23CF-44E3-9099-C40C66FF867C}">
                  <a14:compatExt spid="_x0000_s13146452"/>
                </a:ext>
                <a:ext uri="{FF2B5EF4-FFF2-40B4-BE49-F238E27FC236}">
                  <a16:creationId xmlns:a16="http://schemas.microsoft.com/office/drawing/2014/main" id="{00000000-0008-0000-0200-00005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183</xdr:row>
          <xdr:rowOff>0</xdr:rowOff>
        </xdr:from>
        <xdr:to>
          <xdr:col>4</xdr:col>
          <xdr:colOff>295275</xdr:colOff>
          <xdr:row>184</xdr:row>
          <xdr:rowOff>47625</xdr:rowOff>
        </xdr:to>
        <xdr:sp macro="" textlink="">
          <xdr:nvSpPr>
            <xdr:cNvPr id="13146453" name="Check Box 1365" hidden="1">
              <a:extLst>
                <a:ext uri="{63B3BB69-23CF-44E3-9099-C40C66FF867C}">
                  <a14:compatExt spid="_x0000_s13146453"/>
                </a:ext>
                <a:ext uri="{FF2B5EF4-FFF2-40B4-BE49-F238E27FC236}">
                  <a16:creationId xmlns:a16="http://schemas.microsoft.com/office/drawing/2014/main" id="{00000000-0008-0000-0200-00005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182</xdr:row>
          <xdr:rowOff>0</xdr:rowOff>
        </xdr:from>
        <xdr:to>
          <xdr:col>9</xdr:col>
          <xdr:colOff>295275</xdr:colOff>
          <xdr:row>183</xdr:row>
          <xdr:rowOff>47625</xdr:rowOff>
        </xdr:to>
        <xdr:sp macro="" textlink="">
          <xdr:nvSpPr>
            <xdr:cNvPr id="13146468" name="Check Box 1380" hidden="1">
              <a:extLst>
                <a:ext uri="{63B3BB69-23CF-44E3-9099-C40C66FF867C}">
                  <a14:compatExt spid="_x0000_s13146468"/>
                </a:ext>
                <a:ext uri="{FF2B5EF4-FFF2-40B4-BE49-F238E27FC236}">
                  <a16:creationId xmlns:a16="http://schemas.microsoft.com/office/drawing/2014/main" id="{00000000-0008-0000-0200-00006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182</xdr:row>
          <xdr:rowOff>0</xdr:rowOff>
        </xdr:from>
        <xdr:to>
          <xdr:col>4</xdr:col>
          <xdr:colOff>295275</xdr:colOff>
          <xdr:row>183</xdr:row>
          <xdr:rowOff>47625</xdr:rowOff>
        </xdr:to>
        <xdr:sp macro="" textlink="">
          <xdr:nvSpPr>
            <xdr:cNvPr id="13146469" name="Check Box 1381" hidden="1">
              <a:extLst>
                <a:ext uri="{63B3BB69-23CF-44E3-9099-C40C66FF867C}">
                  <a14:compatExt spid="_x0000_s13146469"/>
                </a:ext>
                <a:ext uri="{FF2B5EF4-FFF2-40B4-BE49-F238E27FC236}">
                  <a16:creationId xmlns:a16="http://schemas.microsoft.com/office/drawing/2014/main" id="{00000000-0008-0000-0200-00006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181</xdr:row>
          <xdr:rowOff>0</xdr:rowOff>
        </xdr:from>
        <xdr:to>
          <xdr:col>9</xdr:col>
          <xdr:colOff>295275</xdr:colOff>
          <xdr:row>182</xdr:row>
          <xdr:rowOff>104775</xdr:rowOff>
        </xdr:to>
        <xdr:sp macro="" textlink="">
          <xdr:nvSpPr>
            <xdr:cNvPr id="13146472" name="Check Box 1384" hidden="1">
              <a:extLst>
                <a:ext uri="{63B3BB69-23CF-44E3-9099-C40C66FF867C}">
                  <a14:compatExt spid="_x0000_s13146472"/>
                </a:ext>
                <a:ext uri="{FF2B5EF4-FFF2-40B4-BE49-F238E27FC236}">
                  <a16:creationId xmlns:a16="http://schemas.microsoft.com/office/drawing/2014/main" id="{00000000-0008-0000-0200-000068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181</xdr:row>
          <xdr:rowOff>0</xdr:rowOff>
        </xdr:from>
        <xdr:to>
          <xdr:col>4</xdr:col>
          <xdr:colOff>295275</xdr:colOff>
          <xdr:row>182</xdr:row>
          <xdr:rowOff>104775</xdr:rowOff>
        </xdr:to>
        <xdr:sp macro="" textlink="">
          <xdr:nvSpPr>
            <xdr:cNvPr id="13146473" name="Check Box 1385" hidden="1">
              <a:extLst>
                <a:ext uri="{63B3BB69-23CF-44E3-9099-C40C66FF867C}">
                  <a14:compatExt spid="_x0000_s13146473"/>
                </a:ext>
                <a:ext uri="{FF2B5EF4-FFF2-40B4-BE49-F238E27FC236}">
                  <a16:creationId xmlns:a16="http://schemas.microsoft.com/office/drawing/2014/main" id="{00000000-0008-0000-0200-000069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180</xdr:row>
          <xdr:rowOff>0</xdr:rowOff>
        </xdr:from>
        <xdr:to>
          <xdr:col>9</xdr:col>
          <xdr:colOff>295275</xdr:colOff>
          <xdr:row>181</xdr:row>
          <xdr:rowOff>47625</xdr:rowOff>
        </xdr:to>
        <xdr:sp macro="" textlink="">
          <xdr:nvSpPr>
            <xdr:cNvPr id="13146478" name="Check Box 1390" hidden="1">
              <a:extLst>
                <a:ext uri="{63B3BB69-23CF-44E3-9099-C40C66FF867C}">
                  <a14:compatExt spid="_x0000_s13146478"/>
                </a:ext>
                <a:ext uri="{FF2B5EF4-FFF2-40B4-BE49-F238E27FC236}">
                  <a16:creationId xmlns:a16="http://schemas.microsoft.com/office/drawing/2014/main" id="{00000000-0008-0000-0200-00006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180</xdr:row>
          <xdr:rowOff>0</xdr:rowOff>
        </xdr:from>
        <xdr:to>
          <xdr:col>4</xdr:col>
          <xdr:colOff>295275</xdr:colOff>
          <xdr:row>181</xdr:row>
          <xdr:rowOff>47625</xdr:rowOff>
        </xdr:to>
        <xdr:sp macro="" textlink="">
          <xdr:nvSpPr>
            <xdr:cNvPr id="13146479" name="Check Box 1391" hidden="1">
              <a:extLst>
                <a:ext uri="{63B3BB69-23CF-44E3-9099-C40C66FF867C}">
                  <a14:compatExt spid="_x0000_s13146479"/>
                </a:ext>
                <a:ext uri="{FF2B5EF4-FFF2-40B4-BE49-F238E27FC236}">
                  <a16:creationId xmlns:a16="http://schemas.microsoft.com/office/drawing/2014/main" id="{00000000-0008-0000-0200-00006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180</xdr:row>
          <xdr:rowOff>0</xdr:rowOff>
        </xdr:from>
        <xdr:to>
          <xdr:col>4</xdr:col>
          <xdr:colOff>295275</xdr:colOff>
          <xdr:row>181</xdr:row>
          <xdr:rowOff>47625</xdr:rowOff>
        </xdr:to>
        <xdr:sp macro="" textlink="">
          <xdr:nvSpPr>
            <xdr:cNvPr id="13146481" name="Check Box 1393" hidden="1">
              <a:extLst>
                <a:ext uri="{63B3BB69-23CF-44E3-9099-C40C66FF867C}">
                  <a14:compatExt spid="_x0000_s13146481"/>
                </a:ext>
                <a:ext uri="{FF2B5EF4-FFF2-40B4-BE49-F238E27FC236}">
                  <a16:creationId xmlns:a16="http://schemas.microsoft.com/office/drawing/2014/main" id="{00000000-0008-0000-0200-000071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180</xdr:row>
          <xdr:rowOff>0</xdr:rowOff>
        </xdr:from>
        <xdr:to>
          <xdr:col>4</xdr:col>
          <xdr:colOff>295275</xdr:colOff>
          <xdr:row>181</xdr:row>
          <xdr:rowOff>47625</xdr:rowOff>
        </xdr:to>
        <xdr:sp macro="" textlink="">
          <xdr:nvSpPr>
            <xdr:cNvPr id="13146483" name="Check Box 1395" hidden="1">
              <a:extLst>
                <a:ext uri="{63B3BB69-23CF-44E3-9099-C40C66FF867C}">
                  <a14:compatExt spid="_x0000_s13146483"/>
                </a:ext>
                <a:ext uri="{FF2B5EF4-FFF2-40B4-BE49-F238E27FC236}">
                  <a16:creationId xmlns:a16="http://schemas.microsoft.com/office/drawing/2014/main" id="{00000000-0008-0000-0200-00007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179</xdr:row>
          <xdr:rowOff>0</xdr:rowOff>
        </xdr:from>
        <xdr:to>
          <xdr:col>9</xdr:col>
          <xdr:colOff>295275</xdr:colOff>
          <xdr:row>180</xdr:row>
          <xdr:rowOff>47625</xdr:rowOff>
        </xdr:to>
        <xdr:sp macro="" textlink="">
          <xdr:nvSpPr>
            <xdr:cNvPr id="13146486" name="Check Box 1398" hidden="1">
              <a:extLst>
                <a:ext uri="{63B3BB69-23CF-44E3-9099-C40C66FF867C}">
                  <a14:compatExt spid="_x0000_s13146486"/>
                </a:ext>
                <a:ext uri="{FF2B5EF4-FFF2-40B4-BE49-F238E27FC236}">
                  <a16:creationId xmlns:a16="http://schemas.microsoft.com/office/drawing/2014/main" id="{00000000-0008-0000-0200-000076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179</xdr:row>
          <xdr:rowOff>0</xdr:rowOff>
        </xdr:from>
        <xdr:to>
          <xdr:col>4</xdr:col>
          <xdr:colOff>295275</xdr:colOff>
          <xdr:row>180</xdr:row>
          <xdr:rowOff>47625</xdr:rowOff>
        </xdr:to>
        <xdr:sp macro="" textlink="">
          <xdr:nvSpPr>
            <xdr:cNvPr id="13146487" name="Check Box 1399" hidden="1">
              <a:extLst>
                <a:ext uri="{63B3BB69-23CF-44E3-9099-C40C66FF867C}">
                  <a14:compatExt spid="_x0000_s13146487"/>
                </a:ext>
                <a:ext uri="{FF2B5EF4-FFF2-40B4-BE49-F238E27FC236}">
                  <a16:creationId xmlns:a16="http://schemas.microsoft.com/office/drawing/2014/main" id="{00000000-0008-0000-0200-000077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178</xdr:row>
          <xdr:rowOff>0</xdr:rowOff>
        </xdr:from>
        <xdr:to>
          <xdr:col>9</xdr:col>
          <xdr:colOff>295275</xdr:colOff>
          <xdr:row>179</xdr:row>
          <xdr:rowOff>47625</xdr:rowOff>
        </xdr:to>
        <xdr:sp macro="" textlink="">
          <xdr:nvSpPr>
            <xdr:cNvPr id="13146498" name="Check Box 1410" hidden="1">
              <a:extLst>
                <a:ext uri="{63B3BB69-23CF-44E3-9099-C40C66FF867C}">
                  <a14:compatExt spid="_x0000_s13146498"/>
                </a:ext>
                <a:ext uri="{FF2B5EF4-FFF2-40B4-BE49-F238E27FC236}">
                  <a16:creationId xmlns:a16="http://schemas.microsoft.com/office/drawing/2014/main" id="{00000000-0008-0000-0200-00008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178</xdr:row>
          <xdr:rowOff>0</xdr:rowOff>
        </xdr:from>
        <xdr:to>
          <xdr:col>4</xdr:col>
          <xdr:colOff>295275</xdr:colOff>
          <xdr:row>179</xdr:row>
          <xdr:rowOff>47625</xdr:rowOff>
        </xdr:to>
        <xdr:sp macro="" textlink="">
          <xdr:nvSpPr>
            <xdr:cNvPr id="13146499" name="Check Box 1411" hidden="1">
              <a:extLst>
                <a:ext uri="{63B3BB69-23CF-44E3-9099-C40C66FF867C}">
                  <a14:compatExt spid="_x0000_s13146499"/>
                </a:ext>
                <a:ext uri="{FF2B5EF4-FFF2-40B4-BE49-F238E27FC236}">
                  <a16:creationId xmlns:a16="http://schemas.microsoft.com/office/drawing/2014/main" id="{00000000-0008-0000-0200-00008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177</xdr:row>
          <xdr:rowOff>0</xdr:rowOff>
        </xdr:from>
        <xdr:to>
          <xdr:col>9</xdr:col>
          <xdr:colOff>295275</xdr:colOff>
          <xdr:row>178</xdr:row>
          <xdr:rowOff>47625</xdr:rowOff>
        </xdr:to>
        <xdr:sp macro="" textlink="">
          <xdr:nvSpPr>
            <xdr:cNvPr id="13146500" name="Check Box 1412" hidden="1">
              <a:extLst>
                <a:ext uri="{63B3BB69-23CF-44E3-9099-C40C66FF867C}">
                  <a14:compatExt spid="_x0000_s13146500"/>
                </a:ext>
                <a:ext uri="{FF2B5EF4-FFF2-40B4-BE49-F238E27FC236}">
                  <a16:creationId xmlns:a16="http://schemas.microsoft.com/office/drawing/2014/main" id="{00000000-0008-0000-0200-000084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177</xdr:row>
          <xdr:rowOff>0</xdr:rowOff>
        </xdr:from>
        <xdr:to>
          <xdr:col>4</xdr:col>
          <xdr:colOff>295275</xdr:colOff>
          <xdr:row>178</xdr:row>
          <xdr:rowOff>47625</xdr:rowOff>
        </xdr:to>
        <xdr:sp macro="" textlink="">
          <xdr:nvSpPr>
            <xdr:cNvPr id="13146501" name="Check Box 1413" hidden="1">
              <a:extLst>
                <a:ext uri="{63B3BB69-23CF-44E3-9099-C40C66FF867C}">
                  <a14:compatExt spid="_x0000_s13146501"/>
                </a:ext>
                <a:ext uri="{FF2B5EF4-FFF2-40B4-BE49-F238E27FC236}">
                  <a16:creationId xmlns:a16="http://schemas.microsoft.com/office/drawing/2014/main" id="{00000000-0008-0000-0200-000085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176</xdr:row>
          <xdr:rowOff>0</xdr:rowOff>
        </xdr:from>
        <xdr:to>
          <xdr:col>9</xdr:col>
          <xdr:colOff>295275</xdr:colOff>
          <xdr:row>177</xdr:row>
          <xdr:rowOff>47625</xdr:rowOff>
        </xdr:to>
        <xdr:sp macro="" textlink="">
          <xdr:nvSpPr>
            <xdr:cNvPr id="13146510" name="Check Box 1422" hidden="1">
              <a:extLst>
                <a:ext uri="{63B3BB69-23CF-44E3-9099-C40C66FF867C}">
                  <a14:compatExt spid="_x0000_s13146510"/>
                </a:ext>
                <a:ext uri="{FF2B5EF4-FFF2-40B4-BE49-F238E27FC236}">
                  <a16:creationId xmlns:a16="http://schemas.microsoft.com/office/drawing/2014/main" id="{00000000-0008-0000-0200-00008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176</xdr:row>
          <xdr:rowOff>0</xdr:rowOff>
        </xdr:from>
        <xdr:to>
          <xdr:col>4</xdr:col>
          <xdr:colOff>295275</xdr:colOff>
          <xdr:row>177</xdr:row>
          <xdr:rowOff>47625</xdr:rowOff>
        </xdr:to>
        <xdr:sp macro="" textlink="">
          <xdr:nvSpPr>
            <xdr:cNvPr id="13146511" name="Check Box 1423" hidden="1">
              <a:extLst>
                <a:ext uri="{63B3BB69-23CF-44E3-9099-C40C66FF867C}">
                  <a14:compatExt spid="_x0000_s13146511"/>
                </a:ext>
                <a:ext uri="{FF2B5EF4-FFF2-40B4-BE49-F238E27FC236}">
                  <a16:creationId xmlns:a16="http://schemas.microsoft.com/office/drawing/2014/main" id="{00000000-0008-0000-0200-00008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175</xdr:row>
          <xdr:rowOff>0</xdr:rowOff>
        </xdr:from>
        <xdr:to>
          <xdr:col>9</xdr:col>
          <xdr:colOff>295275</xdr:colOff>
          <xdr:row>176</xdr:row>
          <xdr:rowOff>47625</xdr:rowOff>
        </xdr:to>
        <xdr:sp macro="" textlink="">
          <xdr:nvSpPr>
            <xdr:cNvPr id="13146512" name="Check Box 1424" hidden="1">
              <a:extLst>
                <a:ext uri="{63B3BB69-23CF-44E3-9099-C40C66FF867C}">
                  <a14:compatExt spid="_x0000_s13146512"/>
                </a:ext>
                <a:ext uri="{FF2B5EF4-FFF2-40B4-BE49-F238E27FC236}">
                  <a16:creationId xmlns:a16="http://schemas.microsoft.com/office/drawing/2014/main" id="{00000000-0008-0000-0200-000090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175</xdr:row>
          <xdr:rowOff>0</xdr:rowOff>
        </xdr:from>
        <xdr:to>
          <xdr:col>4</xdr:col>
          <xdr:colOff>295275</xdr:colOff>
          <xdr:row>176</xdr:row>
          <xdr:rowOff>47625</xdr:rowOff>
        </xdr:to>
        <xdr:sp macro="" textlink="">
          <xdr:nvSpPr>
            <xdr:cNvPr id="13146513" name="Check Box 1425" hidden="1">
              <a:extLst>
                <a:ext uri="{63B3BB69-23CF-44E3-9099-C40C66FF867C}">
                  <a14:compatExt spid="_x0000_s13146513"/>
                </a:ext>
                <a:ext uri="{FF2B5EF4-FFF2-40B4-BE49-F238E27FC236}">
                  <a16:creationId xmlns:a16="http://schemas.microsoft.com/office/drawing/2014/main" id="{00000000-0008-0000-0200-000091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174</xdr:row>
          <xdr:rowOff>0</xdr:rowOff>
        </xdr:from>
        <xdr:to>
          <xdr:col>9</xdr:col>
          <xdr:colOff>295275</xdr:colOff>
          <xdr:row>175</xdr:row>
          <xdr:rowOff>47625</xdr:rowOff>
        </xdr:to>
        <xdr:sp macro="" textlink="">
          <xdr:nvSpPr>
            <xdr:cNvPr id="13146552" name="Check Box 1464" hidden="1">
              <a:extLst>
                <a:ext uri="{63B3BB69-23CF-44E3-9099-C40C66FF867C}">
                  <a14:compatExt spid="_x0000_s13146552"/>
                </a:ext>
                <a:ext uri="{FF2B5EF4-FFF2-40B4-BE49-F238E27FC236}">
                  <a16:creationId xmlns:a16="http://schemas.microsoft.com/office/drawing/2014/main" id="{00000000-0008-0000-0200-0000B8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174</xdr:row>
          <xdr:rowOff>0</xdr:rowOff>
        </xdr:from>
        <xdr:to>
          <xdr:col>4</xdr:col>
          <xdr:colOff>295275</xdr:colOff>
          <xdr:row>175</xdr:row>
          <xdr:rowOff>47625</xdr:rowOff>
        </xdr:to>
        <xdr:sp macro="" textlink="">
          <xdr:nvSpPr>
            <xdr:cNvPr id="13146553" name="Check Box 1465" hidden="1">
              <a:extLst>
                <a:ext uri="{63B3BB69-23CF-44E3-9099-C40C66FF867C}">
                  <a14:compatExt spid="_x0000_s13146553"/>
                </a:ext>
                <a:ext uri="{FF2B5EF4-FFF2-40B4-BE49-F238E27FC236}">
                  <a16:creationId xmlns:a16="http://schemas.microsoft.com/office/drawing/2014/main" id="{00000000-0008-0000-0200-0000B9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173</xdr:row>
          <xdr:rowOff>0</xdr:rowOff>
        </xdr:from>
        <xdr:to>
          <xdr:col>9</xdr:col>
          <xdr:colOff>295275</xdr:colOff>
          <xdr:row>174</xdr:row>
          <xdr:rowOff>47625</xdr:rowOff>
        </xdr:to>
        <xdr:sp macro="" textlink="">
          <xdr:nvSpPr>
            <xdr:cNvPr id="13146572" name="Check Box 1484" hidden="1">
              <a:extLst>
                <a:ext uri="{63B3BB69-23CF-44E3-9099-C40C66FF867C}">
                  <a14:compatExt spid="_x0000_s13146572"/>
                </a:ext>
                <a:ext uri="{FF2B5EF4-FFF2-40B4-BE49-F238E27FC236}">
                  <a16:creationId xmlns:a16="http://schemas.microsoft.com/office/drawing/2014/main" id="{00000000-0008-0000-0200-0000CC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173</xdr:row>
          <xdr:rowOff>0</xdr:rowOff>
        </xdr:from>
        <xdr:to>
          <xdr:col>4</xdr:col>
          <xdr:colOff>295275</xdr:colOff>
          <xdr:row>174</xdr:row>
          <xdr:rowOff>47625</xdr:rowOff>
        </xdr:to>
        <xdr:sp macro="" textlink="">
          <xdr:nvSpPr>
            <xdr:cNvPr id="13146573" name="Check Box 1485" hidden="1">
              <a:extLst>
                <a:ext uri="{63B3BB69-23CF-44E3-9099-C40C66FF867C}">
                  <a14:compatExt spid="_x0000_s13146573"/>
                </a:ext>
                <a:ext uri="{FF2B5EF4-FFF2-40B4-BE49-F238E27FC236}">
                  <a16:creationId xmlns:a16="http://schemas.microsoft.com/office/drawing/2014/main" id="{00000000-0008-0000-0200-0000CD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172</xdr:row>
          <xdr:rowOff>0</xdr:rowOff>
        </xdr:from>
        <xdr:to>
          <xdr:col>9</xdr:col>
          <xdr:colOff>295275</xdr:colOff>
          <xdr:row>173</xdr:row>
          <xdr:rowOff>47625</xdr:rowOff>
        </xdr:to>
        <xdr:sp macro="" textlink="">
          <xdr:nvSpPr>
            <xdr:cNvPr id="13146574" name="Check Box 1486" hidden="1">
              <a:extLst>
                <a:ext uri="{63B3BB69-23CF-44E3-9099-C40C66FF867C}">
                  <a14:compatExt spid="_x0000_s13146574"/>
                </a:ext>
                <a:ext uri="{FF2B5EF4-FFF2-40B4-BE49-F238E27FC236}">
                  <a16:creationId xmlns:a16="http://schemas.microsoft.com/office/drawing/2014/main" id="{00000000-0008-0000-0200-0000C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172</xdr:row>
          <xdr:rowOff>0</xdr:rowOff>
        </xdr:from>
        <xdr:to>
          <xdr:col>4</xdr:col>
          <xdr:colOff>295275</xdr:colOff>
          <xdr:row>173</xdr:row>
          <xdr:rowOff>47625</xdr:rowOff>
        </xdr:to>
        <xdr:sp macro="" textlink="">
          <xdr:nvSpPr>
            <xdr:cNvPr id="13146575" name="Check Box 1487" hidden="1">
              <a:extLst>
                <a:ext uri="{63B3BB69-23CF-44E3-9099-C40C66FF867C}">
                  <a14:compatExt spid="_x0000_s13146575"/>
                </a:ext>
                <a:ext uri="{FF2B5EF4-FFF2-40B4-BE49-F238E27FC236}">
                  <a16:creationId xmlns:a16="http://schemas.microsoft.com/office/drawing/2014/main" id="{00000000-0008-0000-0200-0000C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172</xdr:row>
          <xdr:rowOff>0</xdr:rowOff>
        </xdr:from>
        <xdr:to>
          <xdr:col>4</xdr:col>
          <xdr:colOff>295275</xdr:colOff>
          <xdr:row>173</xdr:row>
          <xdr:rowOff>47625</xdr:rowOff>
        </xdr:to>
        <xdr:sp macro="" textlink="">
          <xdr:nvSpPr>
            <xdr:cNvPr id="13146583" name="Check Box 1495" hidden="1">
              <a:extLst>
                <a:ext uri="{63B3BB69-23CF-44E3-9099-C40C66FF867C}">
                  <a14:compatExt spid="_x0000_s13146583"/>
                </a:ext>
                <a:ext uri="{FF2B5EF4-FFF2-40B4-BE49-F238E27FC236}">
                  <a16:creationId xmlns:a16="http://schemas.microsoft.com/office/drawing/2014/main" id="{00000000-0008-0000-0200-0000D7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171</xdr:row>
          <xdr:rowOff>0</xdr:rowOff>
        </xdr:from>
        <xdr:to>
          <xdr:col>9</xdr:col>
          <xdr:colOff>295275</xdr:colOff>
          <xdr:row>172</xdr:row>
          <xdr:rowOff>47625</xdr:rowOff>
        </xdr:to>
        <xdr:sp macro="" textlink="">
          <xdr:nvSpPr>
            <xdr:cNvPr id="13146590" name="Check Box 1502" hidden="1">
              <a:extLst>
                <a:ext uri="{63B3BB69-23CF-44E3-9099-C40C66FF867C}">
                  <a14:compatExt spid="_x0000_s13146590"/>
                </a:ext>
                <a:ext uri="{FF2B5EF4-FFF2-40B4-BE49-F238E27FC236}">
                  <a16:creationId xmlns:a16="http://schemas.microsoft.com/office/drawing/2014/main" id="{00000000-0008-0000-0200-0000D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171</xdr:row>
          <xdr:rowOff>0</xdr:rowOff>
        </xdr:from>
        <xdr:to>
          <xdr:col>4</xdr:col>
          <xdr:colOff>295275</xdr:colOff>
          <xdr:row>172</xdr:row>
          <xdr:rowOff>47625</xdr:rowOff>
        </xdr:to>
        <xdr:sp macro="" textlink="">
          <xdr:nvSpPr>
            <xdr:cNvPr id="13146591" name="Check Box 1503" hidden="1">
              <a:extLst>
                <a:ext uri="{63B3BB69-23CF-44E3-9099-C40C66FF867C}">
                  <a14:compatExt spid="_x0000_s13146591"/>
                </a:ext>
                <a:ext uri="{FF2B5EF4-FFF2-40B4-BE49-F238E27FC236}">
                  <a16:creationId xmlns:a16="http://schemas.microsoft.com/office/drawing/2014/main" id="{00000000-0008-0000-0200-0000D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170</xdr:row>
          <xdr:rowOff>0</xdr:rowOff>
        </xdr:from>
        <xdr:to>
          <xdr:col>9</xdr:col>
          <xdr:colOff>295275</xdr:colOff>
          <xdr:row>171</xdr:row>
          <xdr:rowOff>47625</xdr:rowOff>
        </xdr:to>
        <xdr:sp macro="" textlink="">
          <xdr:nvSpPr>
            <xdr:cNvPr id="13146606" name="Check Box 1518" hidden="1">
              <a:extLst>
                <a:ext uri="{63B3BB69-23CF-44E3-9099-C40C66FF867C}">
                  <a14:compatExt spid="_x0000_s13146606"/>
                </a:ext>
                <a:ext uri="{FF2B5EF4-FFF2-40B4-BE49-F238E27FC236}">
                  <a16:creationId xmlns:a16="http://schemas.microsoft.com/office/drawing/2014/main" id="{00000000-0008-0000-0200-0000EE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170</xdr:row>
          <xdr:rowOff>0</xdr:rowOff>
        </xdr:from>
        <xdr:to>
          <xdr:col>4</xdr:col>
          <xdr:colOff>295275</xdr:colOff>
          <xdr:row>171</xdr:row>
          <xdr:rowOff>47625</xdr:rowOff>
        </xdr:to>
        <xdr:sp macro="" textlink="">
          <xdr:nvSpPr>
            <xdr:cNvPr id="13146607" name="Check Box 1519" hidden="1">
              <a:extLst>
                <a:ext uri="{63B3BB69-23CF-44E3-9099-C40C66FF867C}">
                  <a14:compatExt spid="_x0000_s13146607"/>
                </a:ext>
                <a:ext uri="{FF2B5EF4-FFF2-40B4-BE49-F238E27FC236}">
                  <a16:creationId xmlns:a16="http://schemas.microsoft.com/office/drawing/2014/main" id="{00000000-0008-0000-0200-0000EF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169</xdr:row>
          <xdr:rowOff>0</xdr:rowOff>
        </xdr:from>
        <xdr:to>
          <xdr:col>9</xdr:col>
          <xdr:colOff>295275</xdr:colOff>
          <xdr:row>170</xdr:row>
          <xdr:rowOff>47625</xdr:rowOff>
        </xdr:to>
        <xdr:sp macro="" textlink="">
          <xdr:nvSpPr>
            <xdr:cNvPr id="13146610" name="Check Box 1522" hidden="1">
              <a:extLst>
                <a:ext uri="{63B3BB69-23CF-44E3-9099-C40C66FF867C}">
                  <a14:compatExt spid="_x0000_s13146610"/>
                </a:ext>
                <a:ext uri="{FF2B5EF4-FFF2-40B4-BE49-F238E27FC236}">
                  <a16:creationId xmlns:a16="http://schemas.microsoft.com/office/drawing/2014/main" id="{00000000-0008-0000-0200-0000F2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169</xdr:row>
          <xdr:rowOff>0</xdr:rowOff>
        </xdr:from>
        <xdr:to>
          <xdr:col>4</xdr:col>
          <xdr:colOff>295275</xdr:colOff>
          <xdr:row>170</xdr:row>
          <xdr:rowOff>47625</xdr:rowOff>
        </xdr:to>
        <xdr:sp macro="" textlink="">
          <xdr:nvSpPr>
            <xdr:cNvPr id="13146611" name="Check Box 1523" hidden="1">
              <a:extLst>
                <a:ext uri="{63B3BB69-23CF-44E3-9099-C40C66FF867C}">
                  <a14:compatExt spid="_x0000_s13146611"/>
                </a:ext>
                <a:ext uri="{FF2B5EF4-FFF2-40B4-BE49-F238E27FC236}">
                  <a16:creationId xmlns:a16="http://schemas.microsoft.com/office/drawing/2014/main" id="{00000000-0008-0000-0200-0000F3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168</xdr:row>
          <xdr:rowOff>0</xdr:rowOff>
        </xdr:from>
        <xdr:to>
          <xdr:col>9</xdr:col>
          <xdr:colOff>295275</xdr:colOff>
          <xdr:row>169</xdr:row>
          <xdr:rowOff>47625</xdr:rowOff>
        </xdr:to>
        <xdr:sp macro="" textlink="">
          <xdr:nvSpPr>
            <xdr:cNvPr id="13146616" name="Check Box 1528" hidden="1">
              <a:extLst>
                <a:ext uri="{63B3BB69-23CF-44E3-9099-C40C66FF867C}">
                  <a14:compatExt spid="_x0000_s13146616"/>
                </a:ext>
                <a:ext uri="{FF2B5EF4-FFF2-40B4-BE49-F238E27FC236}">
                  <a16:creationId xmlns:a16="http://schemas.microsoft.com/office/drawing/2014/main" id="{00000000-0008-0000-0200-0000F8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168</xdr:row>
          <xdr:rowOff>0</xdr:rowOff>
        </xdr:from>
        <xdr:to>
          <xdr:col>4</xdr:col>
          <xdr:colOff>295275</xdr:colOff>
          <xdr:row>169</xdr:row>
          <xdr:rowOff>47625</xdr:rowOff>
        </xdr:to>
        <xdr:sp macro="" textlink="">
          <xdr:nvSpPr>
            <xdr:cNvPr id="13146617" name="Check Box 1529" hidden="1">
              <a:extLst>
                <a:ext uri="{63B3BB69-23CF-44E3-9099-C40C66FF867C}">
                  <a14:compatExt spid="_x0000_s13146617"/>
                </a:ext>
                <a:ext uri="{FF2B5EF4-FFF2-40B4-BE49-F238E27FC236}">
                  <a16:creationId xmlns:a16="http://schemas.microsoft.com/office/drawing/2014/main" id="{00000000-0008-0000-0200-0000F999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167</xdr:row>
          <xdr:rowOff>0</xdr:rowOff>
        </xdr:from>
        <xdr:to>
          <xdr:col>9</xdr:col>
          <xdr:colOff>295275</xdr:colOff>
          <xdr:row>168</xdr:row>
          <xdr:rowOff>47625</xdr:rowOff>
        </xdr:to>
        <xdr:sp macro="" textlink="">
          <xdr:nvSpPr>
            <xdr:cNvPr id="13146626" name="Check Box 1538" hidden="1">
              <a:extLst>
                <a:ext uri="{63B3BB69-23CF-44E3-9099-C40C66FF867C}">
                  <a14:compatExt spid="_x0000_s13146626"/>
                </a:ext>
                <a:ext uri="{FF2B5EF4-FFF2-40B4-BE49-F238E27FC236}">
                  <a16:creationId xmlns:a16="http://schemas.microsoft.com/office/drawing/2014/main" id="{00000000-0008-0000-0200-00000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167</xdr:row>
          <xdr:rowOff>0</xdr:rowOff>
        </xdr:from>
        <xdr:to>
          <xdr:col>4</xdr:col>
          <xdr:colOff>295275</xdr:colOff>
          <xdr:row>168</xdr:row>
          <xdr:rowOff>47625</xdr:rowOff>
        </xdr:to>
        <xdr:sp macro="" textlink="">
          <xdr:nvSpPr>
            <xdr:cNvPr id="13146627" name="Check Box 1539" hidden="1">
              <a:extLst>
                <a:ext uri="{63B3BB69-23CF-44E3-9099-C40C66FF867C}">
                  <a14:compatExt spid="_x0000_s13146627"/>
                </a:ext>
                <a:ext uri="{FF2B5EF4-FFF2-40B4-BE49-F238E27FC236}">
                  <a16:creationId xmlns:a16="http://schemas.microsoft.com/office/drawing/2014/main" id="{00000000-0008-0000-0200-00000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166</xdr:row>
          <xdr:rowOff>0</xdr:rowOff>
        </xdr:from>
        <xdr:to>
          <xdr:col>9</xdr:col>
          <xdr:colOff>295275</xdr:colOff>
          <xdr:row>167</xdr:row>
          <xdr:rowOff>47625</xdr:rowOff>
        </xdr:to>
        <xdr:sp macro="" textlink="">
          <xdr:nvSpPr>
            <xdr:cNvPr id="13146628" name="Check Box 1540" hidden="1">
              <a:extLst>
                <a:ext uri="{63B3BB69-23CF-44E3-9099-C40C66FF867C}">
                  <a14:compatExt spid="_x0000_s13146628"/>
                </a:ext>
                <a:ext uri="{FF2B5EF4-FFF2-40B4-BE49-F238E27FC236}">
                  <a16:creationId xmlns:a16="http://schemas.microsoft.com/office/drawing/2014/main" id="{00000000-0008-0000-0200-00000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166</xdr:row>
          <xdr:rowOff>0</xdr:rowOff>
        </xdr:from>
        <xdr:to>
          <xdr:col>4</xdr:col>
          <xdr:colOff>295275</xdr:colOff>
          <xdr:row>167</xdr:row>
          <xdr:rowOff>47625</xdr:rowOff>
        </xdr:to>
        <xdr:sp macro="" textlink="">
          <xdr:nvSpPr>
            <xdr:cNvPr id="13146629" name="Check Box 1541" hidden="1">
              <a:extLst>
                <a:ext uri="{63B3BB69-23CF-44E3-9099-C40C66FF867C}">
                  <a14:compatExt spid="_x0000_s13146629"/>
                </a:ext>
                <a:ext uri="{FF2B5EF4-FFF2-40B4-BE49-F238E27FC236}">
                  <a16:creationId xmlns:a16="http://schemas.microsoft.com/office/drawing/2014/main" id="{00000000-0008-0000-0200-00000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165</xdr:row>
          <xdr:rowOff>0</xdr:rowOff>
        </xdr:from>
        <xdr:to>
          <xdr:col>9</xdr:col>
          <xdr:colOff>295275</xdr:colOff>
          <xdr:row>166</xdr:row>
          <xdr:rowOff>47625</xdr:rowOff>
        </xdr:to>
        <xdr:sp macro="" textlink="">
          <xdr:nvSpPr>
            <xdr:cNvPr id="13146636" name="Check Box 1548" hidden="1">
              <a:extLst>
                <a:ext uri="{63B3BB69-23CF-44E3-9099-C40C66FF867C}">
                  <a14:compatExt spid="_x0000_s13146636"/>
                </a:ext>
                <a:ext uri="{FF2B5EF4-FFF2-40B4-BE49-F238E27FC236}">
                  <a16:creationId xmlns:a16="http://schemas.microsoft.com/office/drawing/2014/main" id="{00000000-0008-0000-0200-00000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165</xdr:row>
          <xdr:rowOff>0</xdr:rowOff>
        </xdr:from>
        <xdr:to>
          <xdr:col>4</xdr:col>
          <xdr:colOff>295275</xdr:colOff>
          <xdr:row>166</xdr:row>
          <xdr:rowOff>47625</xdr:rowOff>
        </xdr:to>
        <xdr:sp macro="" textlink="">
          <xdr:nvSpPr>
            <xdr:cNvPr id="13146637" name="Check Box 1549" hidden="1">
              <a:extLst>
                <a:ext uri="{63B3BB69-23CF-44E3-9099-C40C66FF867C}">
                  <a14:compatExt spid="_x0000_s13146637"/>
                </a:ext>
                <a:ext uri="{FF2B5EF4-FFF2-40B4-BE49-F238E27FC236}">
                  <a16:creationId xmlns:a16="http://schemas.microsoft.com/office/drawing/2014/main" id="{00000000-0008-0000-0200-00000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164</xdr:row>
          <xdr:rowOff>0</xdr:rowOff>
        </xdr:from>
        <xdr:to>
          <xdr:col>9</xdr:col>
          <xdr:colOff>295275</xdr:colOff>
          <xdr:row>165</xdr:row>
          <xdr:rowOff>47625</xdr:rowOff>
        </xdr:to>
        <xdr:sp macro="" textlink="">
          <xdr:nvSpPr>
            <xdr:cNvPr id="13146654" name="Check Box 1566" hidden="1">
              <a:extLst>
                <a:ext uri="{63B3BB69-23CF-44E3-9099-C40C66FF867C}">
                  <a14:compatExt spid="_x0000_s13146654"/>
                </a:ext>
                <a:ext uri="{FF2B5EF4-FFF2-40B4-BE49-F238E27FC236}">
                  <a16:creationId xmlns:a16="http://schemas.microsoft.com/office/drawing/2014/main" id="{00000000-0008-0000-0200-00001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164</xdr:row>
          <xdr:rowOff>0</xdr:rowOff>
        </xdr:from>
        <xdr:to>
          <xdr:col>4</xdr:col>
          <xdr:colOff>295275</xdr:colOff>
          <xdr:row>165</xdr:row>
          <xdr:rowOff>47625</xdr:rowOff>
        </xdr:to>
        <xdr:sp macro="" textlink="">
          <xdr:nvSpPr>
            <xdr:cNvPr id="13146655" name="Check Box 1567" hidden="1">
              <a:extLst>
                <a:ext uri="{63B3BB69-23CF-44E3-9099-C40C66FF867C}">
                  <a14:compatExt spid="_x0000_s13146655"/>
                </a:ext>
                <a:ext uri="{FF2B5EF4-FFF2-40B4-BE49-F238E27FC236}">
                  <a16:creationId xmlns:a16="http://schemas.microsoft.com/office/drawing/2014/main" id="{00000000-0008-0000-0200-00001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163</xdr:row>
          <xdr:rowOff>0</xdr:rowOff>
        </xdr:from>
        <xdr:to>
          <xdr:col>9</xdr:col>
          <xdr:colOff>295275</xdr:colOff>
          <xdr:row>164</xdr:row>
          <xdr:rowOff>47625</xdr:rowOff>
        </xdr:to>
        <xdr:sp macro="" textlink="">
          <xdr:nvSpPr>
            <xdr:cNvPr id="13146658" name="Check Box 1570" hidden="1">
              <a:extLst>
                <a:ext uri="{63B3BB69-23CF-44E3-9099-C40C66FF867C}">
                  <a14:compatExt spid="_x0000_s13146658"/>
                </a:ext>
                <a:ext uri="{FF2B5EF4-FFF2-40B4-BE49-F238E27FC236}">
                  <a16:creationId xmlns:a16="http://schemas.microsoft.com/office/drawing/2014/main" id="{00000000-0008-0000-0200-00002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163</xdr:row>
          <xdr:rowOff>0</xdr:rowOff>
        </xdr:from>
        <xdr:to>
          <xdr:col>4</xdr:col>
          <xdr:colOff>295275</xdr:colOff>
          <xdr:row>164</xdr:row>
          <xdr:rowOff>47625</xdr:rowOff>
        </xdr:to>
        <xdr:sp macro="" textlink="">
          <xdr:nvSpPr>
            <xdr:cNvPr id="13146659" name="Check Box 1571" hidden="1">
              <a:extLst>
                <a:ext uri="{63B3BB69-23CF-44E3-9099-C40C66FF867C}">
                  <a14:compatExt spid="_x0000_s13146659"/>
                </a:ext>
                <a:ext uri="{FF2B5EF4-FFF2-40B4-BE49-F238E27FC236}">
                  <a16:creationId xmlns:a16="http://schemas.microsoft.com/office/drawing/2014/main" id="{00000000-0008-0000-0200-00002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162</xdr:row>
          <xdr:rowOff>0</xdr:rowOff>
        </xdr:from>
        <xdr:to>
          <xdr:col>9</xdr:col>
          <xdr:colOff>295275</xdr:colOff>
          <xdr:row>163</xdr:row>
          <xdr:rowOff>47625</xdr:rowOff>
        </xdr:to>
        <xdr:sp macro="" textlink="">
          <xdr:nvSpPr>
            <xdr:cNvPr id="13146666" name="Check Box 1578" hidden="1">
              <a:extLst>
                <a:ext uri="{63B3BB69-23CF-44E3-9099-C40C66FF867C}">
                  <a14:compatExt spid="_x0000_s13146666"/>
                </a:ext>
                <a:ext uri="{FF2B5EF4-FFF2-40B4-BE49-F238E27FC236}">
                  <a16:creationId xmlns:a16="http://schemas.microsoft.com/office/drawing/2014/main" id="{00000000-0008-0000-0200-00002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162</xdr:row>
          <xdr:rowOff>0</xdr:rowOff>
        </xdr:from>
        <xdr:to>
          <xdr:col>4</xdr:col>
          <xdr:colOff>295275</xdr:colOff>
          <xdr:row>163</xdr:row>
          <xdr:rowOff>47625</xdr:rowOff>
        </xdr:to>
        <xdr:sp macro="" textlink="">
          <xdr:nvSpPr>
            <xdr:cNvPr id="13146667" name="Check Box 1579" hidden="1">
              <a:extLst>
                <a:ext uri="{63B3BB69-23CF-44E3-9099-C40C66FF867C}">
                  <a14:compatExt spid="_x0000_s13146667"/>
                </a:ext>
                <a:ext uri="{FF2B5EF4-FFF2-40B4-BE49-F238E27FC236}">
                  <a16:creationId xmlns:a16="http://schemas.microsoft.com/office/drawing/2014/main" id="{00000000-0008-0000-0200-00002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161</xdr:row>
          <xdr:rowOff>0</xdr:rowOff>
        </xdr:from>
        <xdr:to>
          <xdr:col>9</xdr:col>
          <xdr:colOff>295275</xdr:colOff>
          <xdr:row>162</xdr:row>
          <xdr:rowOff>47625</xdr:rowOff>
        </xdr:to>
        <xdr:sp macro="" textlink="">
          <xdr:nvSpPr>
            <xdr:cNvPr id="13146668" name="Check Box 1580" hidden="1">
              <a:extLst>
                <a:ext uri="{63B3BB69-23CF-44E3-9099-C40C66FF867C}">
                  <a14:compatExt spid="_x0000_s13146668"/>
                </a:ext>
                <a:ext uri="{FF2B5EF4-FFF2-40B4-BE49-F238E27FC236}">
                  <a16:creationId xmlns:a16="http://schemas.microsoft.com/office/drawing/2014/main" id="{00000000-0008-0000-0200-00002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161</xdr:row>
          <xdr:rowOff>0</xdr:rowOff>
        </xdr:from>
        <xdr:to>
          <xdr:col>4</xdr:col>
          <xdr:colOff>295275</xdr:colOff>
          <xdr:row>162</xdr:row>
          <xdr:rowOff>47625</xdr:rowOff>
        </xdr:to>
        <xdr:sp macro="" textlink="">
          <xdr:nvSpPr>
            <xdr:cNvPr id="13146669" name="Check Box 1581" hidden="1">
              <a:extLst>
                <a:ext uri="{63B3BB69-23CF-44E3-9099-C40C66FF867C}">
                  <a14:compatExt spid="_x0000_s13146669"/>
                </a:ext>
                <a:ext uri="{FF2B5EF4-FFF2-40B4-BE49-F238E27FC236}">
                  <a16:creationId xmlns:a16="http://schemas.microsoft.com/office/drawing/2014/main" id="{00000000-0008-0000-0200-00002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160</xdr:row>
          <xdr:rowOff>0</xdr:rowOff>
        </xdr:from>
        <xdr:to>
          <xdr:col>9</xdr:col>
          <xdr:colOff>295275</xdr:colOff>
          <xdr:row>161</xdr:row>
          <xdr:rowOff>47625</xdr:rowOff>
        </xdr:to>
        <xdr:sp macro="" textlink="">
          <xdr:nvSpPr>
            <xdr:cNvPr id="13146678" name="Check Box 1590" hidden="1">
              <a:extLst>
                <a:ext uri="{63B3BB69-23CF-44E3-9099-C40C66FF867C}">
                  <a14:compatExt spid="_x0000_s13146678"/>
                </a:ext>
                <a:ext uri="{FF2B5EF4-FFF2-40B4-BE49-F238E27FC236}">
                  <a16:creationId xmlns:a16="http://schemas.microsoft.com/office/drawing/2014/main" id="{00000000-0008-0000-0200-00003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160</xdr:row>
          <xdr:rowOff>0</xdr:rowOff>
        </xdr:from>
        <xdr:to>
          <xdr:col>4</xdr:col>
          <xdr:colOff>295275</xdr:colOff>
          <xdr:row>161</xdr:row>
          <xdr:rowOff>47625</xdr:rowOff>
        </xdr:to>
        <xdr:sp macro="" textlink="">
          <xdr:nvSpPr>
            <xdr:cNvPr id="13146679" name="Check Box 1591" hidden="1">
              <a:extLst>
                <a:ext uri="{63B3BB69-23CF-44E3-9099-C40C66FF867C}">
                  <a14:compatExt spid="_x0000_s13146679"/>
                </a:ext>
                <a:ext uri="{FF2B5EF4-FFF2-40B4-BE49-F238E27FC236}">
                  <a16:creationId xmlns:a16="http://schemas.microsoft.com/office/drawing/2014/main" id="{00000000-0008-0000-0200-00003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159</xdr:row>
          <xdr:rowOff>0</xdr:rowOff>
        </xdr:from>
        <xdr:to>
          <xdr:col>9</xdr:col>
          <xdr:colOff>295275</xdr:colOff>
          <xdr:row>160</xdr:row>
          <xdr:rowOff>47625</xdr:rowOff>
        </xdr:to>
        <xdr:sp macro="" textlink="">
          <xdr:nvSpPr>
            <xdr:cNvPr id="13146688" name="Check Box 1600" hidden="1">
              <a:extLst>
                <a:ext uri="{63B3BB69-23CF-44E3-9099-C40C66FF867C}">
                  <a14:compatExt spid="_x0000_s13146688"/>
                </a:ext>
                <a:ext uri="{FF2B5EF4-FFF2-40B4-BE49-F238E27FC236}">
                  <a16:creationId xmlns:a16="http://schemas.microsoft.com/office/drawing/2014/main" id="{00000000-0008-0000-0200-00004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159</xdr:row>
          <xdr:rowOff>0</xdr:rowOff>
        </xdr:from>
        <xdr:to>
          <xdr:col>4</xdr:col>
          <xdr:colOff>295275</xdr:colOff>
          <xdr:row>160</xdr:row>
          <xdr:rowOff>47625</xdr:rowOff>
        </xdr:to>
        <xdr:sp macro="" textlink="">
          <xdr:nvSpPr>
            <xdr:cNvPr id="13146689" name="Check Box 1601" hidden="1">
              <a:extLst>
                <a:ext uri="{63B3BB69-23CF-44E3-9099-C40C66FF867C}">
                  <a14:compatExt spid="_x0000_s13146689"/>
                </a:ext>
                <a:ext uri="{FF2B5EF4-FFF2-40B4-BE49-F238E27FC236}">
                  <a16:creationId xmlns:a16="http://schemas.microsoft.com/office/drawing/2014/main" id="{00000000-0008-0000-0200-00004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158</xdr:row>
          <xdr:rowOff>0</xdr:rowOff>
        </xdr:from>
        <xdr:to>
          <xdr:col>9</xdr:col>
          <xdr:colOff>295275</xdr:colOff>
          <xdr:row>159</xdr:row>
          <xdr:rowOff>47625</xdr:rowOff>
        </xdr:to>
        <xdr:sp macro="" textlink="">
          <xdr:nvSpPr>
            <xdr:cNvPr id="13146690" name="Check Box 1602" hidden="1">
              <a:extLst>
                <a:ext uri="{63B3BB69-23CF-44E3-9099-C40C66FF867C}">
                  <a14:compatExt spid="_x0000_s13146690"/>
                </a:ext>
                <a:ext uri="{FF2B5EF4-FFF2-40B4-BE49-F238E27FC236}">
                  <a16:creationId xmlns:a16="http://schemas.microsoft.com/office/drawing/2014/main" id="{00000000-0008-0000-0200-00004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158</xdr:row>
          <xdr:rowOff>0</xdr:rowOff>
        </xdr:from>
        <xdr:to>
          <xdr:col>4</xdr:col>
          <xdr:colOff>295275</xdr:colOff>
          <xdr:row>159</xdr:row>
          <xdr:rowOff>47625</xdr:rowOff>
        </xdr:to>
        <xdr:sp macro="" textlink="">
          <xdr:nvSpPr>
            <xdr:cNvPr id="13146691" name="Check Box 1603" hidden="1">
              <a:extLst>
                <a:ext uri="{63B3BB69-23CF-44E3-9099-C40C66FF867C}">
                  <a14:compatExt spid="_x0000_s13146691"/>
                </a:ext>
                <a:ext uri="{FF2B5EF4-FFF2-40B4-BE49-F238E27FC236}">
                  <a16:creationId xmlns:a16="http://schemas.microsoft.com/office/drawing/2014/main" id="{00000000-0008-0000-0200-00004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157</xdr:row>
          <xdr:rowOff>0</xdr:rowOff>
        </xdr:from>
        <xdr:to>
          <xdr:col>9</xdr:col>
          <xdr:colOff>295275</xdr:colOff>
          <xdr:row>158</xdr:row>
          <xdr:rowOff>47625</xdr:rowOff>
        </xdr:to>
        <xdr:sp macro="" textlink="">
          <xdr:nvSpPr>
            <xdr:cNvPr id="13146698" name="Check Box 1610" hidden="1">
              <a:extLst>
                <a:ext uri="{63B3BB69-23CF-44E3-9099-C40C66FF867C}">
                  <a14:compatExt spid="_x0000_s13146698"/>
                </a:ext>
                <a:ext uri="{FF2B5EF4-FFF2-40B4-BE49-F238E27FC236}">
                  <a16:creationId xmlns:a16="http://schemas.microsoft.com/office/drawing/2014/main" id="{00000000-0008-0000-0200-00004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157</xdr:row>
          <xdr:rowOff>0</xdr:rowOff>
        </xdr:from>
        <xdr:to>
          <xdr:col>4</xdr:col>
          <xdr:colOff>295275</xdr:colOff>
          <xdr:row>158</xdr:row>
          <xdr:rowOff>47625</xdr:rowOff>
        </xdr:to>
        <xdr:sp macro="" textlink="">
          <xdr:nvSpPr>
            <xdr:cNvPr id="13146699" name="Check Box 1611" hidden="1">
              <a:extLst>
                <a:ext uri="{63B3BB69-23CF-44E3-9099-C40C66FF867C}">
                  <a14:compatExt spid="_x0000_s13146699"/>
                </a:ext>
                <a:ext uri="{FF2B5EF4-FFF2-40B4-BE49-F238E27FC236}">
                  <a16:creationId xmlns:a16="http://schemas.microsoft.com/office/drawing/2014/main" id="{00000000-0008-0000-0200-00004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156</xdr:row>
          <xdr:rowOff>0</xdr:rowOff>
        </xdr:from>
        <xdr:to>
          <xdr:col>9</xdr:col>
          <xdr:colOff>295275</xdr:colOff>
          <xdr:row>157</xdr:row>
          <xdr:rowOff>47625</xdr:rowOff>
        </xdr:to>
        <xdr:sp macro="" textlink="">
          <xdr:nvSpPr>
            <xdr:cNvPr id="13146700" name="Check Box 1612" hidden="1">
              <a:extLst>
                <a:ext uri="{63B3BB69-23CF-44E3-9099-C40C66FF867C}">
                  <a14:compatExt spid="_x0000_s13146700"/>
                </a:ext>
                <a:ext uri="{FF2B5EF4-FFF2-40B4-BE49-F238E27FC236}">
                  <a16:creationId xmlns:a16="http://schemas.microsoft.com/office/drawing/2014/main" id="{00000000-0008-0000-0200-00004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156</xdr:row>
          <xdr:rowOff>0</xdr:rowOff>
        </xdr:from>
        <xdr:to>
          <xdr:col>4</xdr:col>
          <xdr:colOff>295275</xdr:colOff>
          <xdr:row>157</xdr:row>
          <xdr:rowOff>47625</xdr:rowOff>
        </xdr:to>
        <xdr:sp macro="" textlink="">
          <xdr:nvSpPr>
            <xdr:cNvPr id="13146701" name="Check Box 1613" hidden="1">
              <a:extLst>
                <a:ext uri="{63B3BB69-23CF-44E3-9099-C40C66FF867C}">
                  <a14:compatExt spid="_x0000_s13146701"/>
                </a:ext>
                <a:ext uri="{FF2B5EF4-FFF2-40B4-BE49-F238E27FC236}">
                  <a16:creationId xmlns:a16="http://schemas.microsoft.com/office/drawing/2014/main" id="{00000000-0008-0000-0200-00004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155</xdr:row>
          <xdr:rowOff>0</xdr:rowOff>
        </xdr:from>
        <xdr:to>
          <xdr:col>9</xdr:col>
          <xdr:colOff>295275</xdr:colOff>
          <xdr:row>156</xdr:row>
          <xdr:rowOff>47625</xdr:rowOff>
        </xdr:to>
        <xdr:sp macro="" textlink="">
          <xdr:nvSpPr>
            <xdr:cNvPr id="13146712" name="Check Box 1624" hidden="1">
              <a:extLst>
                <a:ext uri="{63B3BB69-23CF-44E3-9099-C40C66FF867C}">
                  <a14:compatExt spid="_x0000_s13146712"/>
                </a:ext>
                <a:ext uri="{FF2B5EF4-FFF2-40B4-BE49-F238E27FC236}">
                  <a16:creationId xmlns:a16="http://schemas.microsoft.com/office/drawing/2014/main" id="{00000000-0008-0000-0200-00005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155</xdr:row>
          <xdr:rowOff>0</xdr:rowOff>
        </xdr:from>
        <xdr:to>
          <xdr:col>4</xdr:col>
          <xdr:colOff>295275</xdr:colOff>
          <xdr:row>156</xdr:row>
          <xdr:rowOff>47625</xdr:rowOff>
        </xdr:to>
        <xdr:sp macro="" textlink="">
          <xdr:nvSpPr>
            <xdr:cNvPr id="13146713" name="Check Box 1625" hidden="1">
              <a:extLst>
                <a:ext uri="{63B3BB69-23CF-44E3-9099-C40C66FF867C}">
                  <a14:compatExt spid="_x0000_s13146713"/>
                </a:ext>
                <a:ext uri="{FF2B5EF4-FFF2-40B4-BE49-F238E27FC236}">
                  <a16:creationId xmlns:a16="http://schemas.microsoft.com/office/drawing/2014/main" id="{00000000-0008-0000-0200-000059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154</xdr:row>
          <xdr:rowOff>0</xdr:rowOff>
        </xdr:from>
        <xdr:to>
          <xdr:col>9</xdr:col>
          <xdr:colOff>295275</xdr:colOff>
          <xdr:row>155</xdr:row>
          <xdr:rowOff>47625</xdr:rowOff>
        </xdr:to>
        <xdr:sp macro="" textlink="">
          <xdr:nvSpPr>
            <xdr:cNvPr id="13146714" name="Check Box 1626" hidden="1">
              <a:extLst>
                <a:ext uri="{63B3BB69-23CF-44E3-9099-C40C66FF867C}">
                  <a14:compatExt spid="_x0000_s13146714"/>
                </a:ext>
                <a:ext uri="{FF2B5EF4-FFF2-40B4-BE49-F238E27FC236}">
                  <a16:creationId xmlns:a16="http://schemas.microsoft.com/office/drawing/2014/main" id="{00000000-0008-0000-0200-00005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154</xdr:row>
          <xdr:rowOff>0</xdr:rowOff>
        </xdr:from>
        <xdr:to>
          <xdr:col>4</xdr:col>
          <xdr:colOff>295275</xdr:colOff>
          <xdr:row>155</xdr:row>
          <xdr:rowOff>47625</xdr:rowOff>
        </xdr:to>
        <xdr:sp macro="" textlink="">
          <xdr:nvSpPr>
            <xdr:cNvPr id="13146715" name="Check Box 1627" hidden="1">
              <a:extLst>
                <a:ext uri="{63B3BB69-23CF-44E3-9099-C40C66FF867C}">
                  <a14:compatExt spid="_x0000_s13146715"/>
                </a:ext>
                <a:ext uri="{FF2B5EF4-FFF2-40B4-BE49-F238E27FC236}">
                  <a16:creationId xmlns:a16="http://schemas.microsoft.com/office/drawing/2014/main" id="{00000000-0008-0000-0200-00005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153</xdr:row>
          <xdr:rowOff>0</xdr:rowOff>
        </xdr:from>
        <xdr:to>
          <xdr:col>9</xdr:col>
          <xdr:colOff>295275</xdr:colOff>
          <xdr:row>154</xdr:row>
          <xdr:rowOff>66675</xdr:rowOff>
        </xdr:to>
        <xdr:sp macro="" textlink="">
          <xdr:nvSpPr>
            <xdr:cNvPr id="13146722" name="Check Box 1634" hidden="1">
              <a:extLst>
                <a:ext uri="{63B3BB69-23CF-44E3-9099-C40C66FF867C}">
                  <a14:compatExt spid="_x0000_s13146722"/>
                </a:ext>
                <a:ext uri="{FF2B5EF4-FFF2-40B4-BE49-F238E27FC236}">
                  <a16:creationId xmlns:a16="http://schemas.microsoft.com/office/drawing/2014/main" id="{00000000-0008-0000-0200-00006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153</xdr:row>
          <xdr:rowOff>0</xdr:rowOff>
        </xdr:from>
        <xdr:to>
          <xdr:col>4</xdr:col>
          <xdr:colOff>295275</xdr:colOff>
          <xdr:row>154</xdr:row>
          <xdr:rowOff>66675</xdr:rowOff>
        </xdr:to>
        <xdr:sp macro="" textlink="">
          <xdr:nvSpPr>
            <xdr:cNvPr id="13146723" name="Check Box 1635" hidden="1">
              <a:extLst>
                <a:ext uri="{63B3BB69-23CF-44E3-9099-C40C66FF867C}">
                  <a14:compatExt spid="_x0000_s13146723"/>
                </a:ext>
                <a:ext uri="{FF2B5EF4-FFF2-40B4-BE49-F238E27FC236}">
                  <a16:creationId xmlns:a16="http://schemas.microsoft.com/office/drawing/2014/main" id="{00000000-0008-0000-0200-00006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152</xdr:row>
          <xdr:rowOff>0</xdr:rowOff>
        </xdr:from>
        <xdr:to>
          <xdr:col>9</xdr:col>
          <xdr:colOff>295275</xdr:colOff>
          <xdr:row>153</xdr:row>
          <xdr:rowOff>47625</xdr:rowOff>
        </xdr:to>
        <xdr:sp macro="" textlink="">
          <xdr:nvSpPr>
            <xdr:cNvPr id="13146727" name="Check Box 1639" hidden="1">
              <a:extLst>
                <a:ext uri="{63B3BB69-23CF-44E3-9099-C40C66FF867C}">
                  <a14:compatExt spid="_x0000_s13146727"/>
                </a:ext>
                <a:ext uri="{FF2B5EF4-FFF2-40B4-BE49-F238E27FC236}">
                  <a16:creationId xmlns:a16="http://schemas.microsoft.com/office/drawing/2014/main" id="{00000000-0008-0000-0200-00006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152</xdr:row>
          <xdr:rowOff>0</xdr:rowOff>
        </xdr:from>
        <xdr:to>
          <xdr:col>4</xdr:col>
          <xdr:colOff>295275</xdr:colOff>
          <xdr:row>153</xdr:row>
          <xdr:rowOff>47625</xdr:rowOff>
        </xdr:to>
        <xdr:sp macro="" textlink="">
          <xdr:nvSpPr>
            <xdr:cNvPr id="13146728" name="Check Box 1640" hidden="1">
              <a:extLst>
                <a:ext uri="{63B3BB69-23CF-44E3-9099-C40C66FF867C}">
                  <a14:compatExt spid="_x0000_s13146728"/>
                </a:ext>
                <a:ext uri="{FF2B5EF4-FFF2-40B4-BE49-F238E27FC236}">
                  <a16:creationId xmlns:a16="http://schemas.microsoft.com/office/drawing/2014/main" id="{00000000-0008-0000-0200-00006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151</xdr:row>
          <xdr:rowOff>0</xdr:rowOff>
        </xdr:from>
        <xdr:to>
          <xdr:col>9</xdr:col>
          <xdr:colOff>295275</xdr:colOff>
          <xdr:row>152</xdr:row>
          <xdr:rowOff>47625</xdr:rowOff>
        </xdr:to>
        <xdr:sp macro="" textlink="">
          <xdr:nvSpPr>
            <xdr:cNvPr id="13146735" name="Check Box 1647" hidden="1">
              <a:extLst>
                <a:ext uri="{63B3BB69-23CF-44E3-9099-C40C66FF867C}">
                  <a14:compatExt spid="_x0000_s13146735"/>
                </a:ext>
                <a:ext uri="{FF2B5EF4-FFF2-40B4-BE49-F238E27FC236}">
                  <a16:creationId xmlns:a16="http://schemas.microsoft.com/office/drawing/2014/main" id="{00000000-0008-0000-0200-00006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151</xdr:row>
          <xdr:rowOff>0</xdr:rowOff>
        </xdr:from>
        <xdr:to>
          <xdr:col>4</xdr:col>
          <xdr:colOff>295275</xdr:colOff>
          <xdr:row>152</xdr:row>
          <xdr:rowOff>47625</xdr:rowOff>
        </xdr:to>
        <xdr:sp macro="" textlink="">
          <xdr:nvSpPr>
            <xdr:cNvPr id="13146736" name="Check Box 1648" hidden="1">
              <a:extLst>
                <a:ext uri="{63B3BB69-23CF-44E3-9099-C40C66FF867C}">
                  <a14:compatExt spid="_x0000_s13146736"/>
                </a:ext>
                <a:ext uri="{FF2B5EF4-FFF2-40B4-BE49-F238E27FC236}">
                  <a16:creationId xmlns:a16="http://schemas.microsoft.com/office/drawing/2014/main" id="{00000000-0008-0000-0200-00007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150</xdr:row>
          <xdr:rowOff>0</xdr:rowOff>
        </xdr:from>
        <xdr:to>
          <xdr:col>9</xdr:col>
          <xdr:colOff>295275</xdr:colOff>
          <xdr:row>151</xdr:row>
          <xdr:rowOff>47625</xdr:rowOff>
        </xdr:to>
        <xdr:sp macro="" textlink="">
          <xdr:nvSpPr>
            <xdr:cNvPr id="13146737" name="Check Box 1649" hidden="1">
              <a:extLst>
                <a:ext uri="{63B3BB69-23CF-44E3-9099-C40C66FF867C}">
                  <a14:compatExt spid="_x0000_s13146737"/>
                </a:ext>
                <a:ext uri="{FF2B5EF4-FFF2-40B4-BE49-F238E27FC236}">
                  <a16:creationId xmlns:a16="http://schemas.microsoft.com/office/drawing/2014/main" id="{00000000-0008-0000-0200-00007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150</xdr:row>
          <xdr:rowOff>0</xdr:rowOff>
        </xdr:from>
        <xdr:to>
          <xdr:col>4</xdr:col>
          <xdr:colOff>295275</xdr:colOff>
          <xdr:row>151</xdr:row>
          <xdr:rowOff>47625</xdr:rowOff>
        </xdr:to>
        <xdr:sp macro="" textlink="">
          <xdr:nvSpPr>
            <xdr:cNvPr id="13146738" name="Check Box 1650" hidden="1">
              <a:extLst>
                <a:ext uri="{63B3BB69-23CF-44E3-9099-C40C66FF867C}">
                  <a14:compatExt spid="_x0000_s13146738"/>
                </a:ext>
                <a:ext uri="{FF2B5EF4-FFF2-40B4-BE49-F238E27FC236}">
                  <a16:creationId xmlns:a16="http://schemas.microsoft.com/office/drawing/2014/main" id="{00000000-0008-0000-0200-00007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149</xdr:row>
          <xdr:rowOff>0</xdr:rowOff>
        </xdr:from>
        <xdr:to>
          <xdr:col>9</xdr:col>
          <xdr:colOff>295275</xdr:colOff>
          <xdr:row>150</xdr:row>
          <xdr:rowOff>47625</xdr:rowOff>
        </xdr:to>
        <xdr:sp macro="" textlink="">
          <xdr:nvSpPr>
            <xdr:cNvPr id="13146741" name="Check Box 1653" hidden="1">
              <a:extLst>
                <a:ext uri="{63B3BB69-23CF-44E3-9099-C40C66FF867C}">
                  <a14:compatExt spid="_x0000_s13146741"/>
                </a:ext>
                <a:ext uri="{FF2B5EF4-FFF2-40B4-BE49-F238E27FC236}">
                  <a16:creationId xmlns:a16="http://schemas.microsoft.com/office/drawing/2014/main" id="{00000000-0008-0000-0200-00007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149</xdr:row>
          <xdr:rowOff>0</xdr:rowOff>
        </xdr:from>
        <xdr:to>
          <xdr:col>4</xdr:col>
          <xdr:colOff>295275</xdr:colOff>
          <xdr:row>150</xdr:row>
          <xdr:rowOff>47625</xdr:rowOff>
        </xdr:to>
        <xdr:sp macro="" textlink="">
          <xdr:nvSpPr>
            <xdr:cNvPr id="13146742" name="Check Box 1654" hidden="1">
              <a:extLst>
                <a:ext uri="{63B3BB69-23CF-44E3-9099-C40C66FF867C}">
                  <a14:compatExt spid="_x0000_s13146742"/>
                </a:ext>
                <a:ext uri="{FF2B5EF4-FFF2-40B4-BE49-F238E27FC236}">
                  <a16:creationId xmlns:a16="http://schemas.microsoft.com/office/drawing/2014/main" id="{00000000-0008-0000-0200-00007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148</xdr:row>
          <xdr:rowOff>0</xdr:rowOff>
        </xdr:from>
        <xdr:to>
          <xdr:col>9</xdr:col>
          <xdr:colOff>295275</xdr:colOff>
          <xdr:row>149</xdr:row>
          <xdr:rowOff>47625</xdr:rowOff>
        </xdr:to>
        <xdr:sp macro="" textlink="">
          <xdr:nvSpPr>
            <xdr:cNvPr id="13146743" name="Check Box 1655" hidden="1">
              <a:extLst>
                <a:ext uri="{63B3BB69-23CF-44E3-9099-C40C66FF867C}">
                  <a14:compatExt spid="_x0000_s13146743"/>
                </a:ext>
                <a:ext uri="{FF2B5EF4-FFF2-40B4-BE49-F238E27FC236}">
                  <a16:creationId xmlns:a16="http://schemas.microsoft.com/office/drawing/2014/main" id="{00000000-0008-0000-0200-00007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148</xdr:row>
          <xdr:rowOff>0</xdr:rowOff>
        </xdr:from>
        <xdr:to>
          <xdr:col>4</xdr:col>
          <xdr:colOff>295275</xdr:colOff>
          <xdr:row>149</xdr:row>
          <xdr:rowOff>47625</xdr:rowOff>
        </xdr:to>
        <xdr:sp macro="" textlink="">
          <xdr:nvSpPr>
            <xdr:cNvPr id="13146744" name="Check Box 1656" hidden="1">
              <a:extLst>
                <a:ext uri="{63B3BB69-23CF-44E3-9099-C40C66FF867C}">
                  <a14:compatExt spid="_x0000_s13146744"/>
                </a:ext>
                <a:ext uri="{FF2B5EF4-FFF2-40B4-BE49-F238E27FC236}">
                  <a16:creationId xmlns:a16="http://schemas.microsoft.com/office/drawing/2014/main" id="{00000000-0008-0000-0200-00007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147</xdr:row>
          <xdr:rowOff>0</xdr:rowOff>
        </xdr:from>
        <xdr:to>
          <xdr:col>9</xdr:col>
          <xdr:colOff>295275</xdr:colOff>
          <xdr:row>148</xdr:row>
          <xdr:rowOff>47625</xdr:rowOff>
        </xdr:to>
        <xdr:sp macro="" textlink="">
          <xdr:nvSpPr>
            <xdr:cNvPr id="13146747" name="Check Box 1659" hidden="1">
              <a:extLst>
                <a:ext uri="{63B3BB69-23CF-44E3-9099-C40C66FF867C}">
                  <a14:compatExt spid="_x0000_s13146747"/>
                </a:ext>
                <a:ext uri="{FF2B5EF4-FFF2-40B4-BE49-F238E27FC236}">
                  <a16:creationId xmlns:a16="http://schemas.microsoft.com/office/drawing/2014/main" id="{00000000-0008-0000-0200-00007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147</xdr:row>
          <xdr:rowOff>0</xdr:rowOff>
        </xdr:from>
        <xdr:to>
          <xdr:col>4</xdr:col>
          <xdr:colOff>295275</xdr:colOff>
          <xdr:row>148</xdr:row>
          <xdr:rowOff>47625</xdr:rowOff>
        </xdr:to>
        <xdr:sp macro="" textlink="">
          <xdr:nvSpPr>
            <xdr:cNvPr id="13146748" name="Check Box 1660" hidden="1">
              <a:extLst>
                <a:ext uri="{63B3BB69-23CF-44E3-9099-C40C66FF867C}">
                  <a14:compatExt spid="_x0000_s13146748"/>
                </a:ext>
                <a:ext uri="{FF2B5EF4-FFF2-40B4-BE49-F238E27FC236}">
                  <a16:creationId xmlns:a16="http://schemas.microsoft.com/office/drawing/2014/main" id="{00000000-0008-0000-0200-00007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146</xdr:row>
          <xdr:rowOff>0</xdr:rowOff>
        </xdr:from>
        <xdr:to>
          <xdr:col>9</xdr:col>
          <xdr:colOff>295275</xdr:colOff>
          <xdr:row>147</xdr:row>
          <xdr:rowOff>47625</xdr:rowOff>
        </xdr:to>
        <xdr:sp macro="" textlink="">
          <xdr:nvSpPr>
            <xdr:cNvPr id="13146753" name="Check Box 1665" hidden="1">
              <a:extLst>
                <a:ext uri="{63B3BB69-23CF-44E3-9099-C40C66FF867C}">
                  <a14:compatExt spid="_x0000_s13146753"/>
                </a:ext>
                <a:ext uri="{FF2B5EF4-FFF2-40B4-BE49-F238E27FC236}">
                  <a16:creationId xmlns:a16="http://schemas.microsoft.com/office/drawing/2014/main" id="{00000000-0008-0000-0200-00008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146</xdr:row>
          <xdr:rowOff>0</xdr:rowOff>
        </xdr:from>
        <xdr:to>
          <xdr:col>4</xdr:col>
          <xdr:colOff>295275</xdr:colOff>
          <xdr:row>147</xdr:row>
          <xdr:rowOff>47625</xdr:rowOff>
        </xdr:to>
        <xdr:sp macro="" textlink="">
          <xdr:nvSpPr>
            <xdr:cNvPr id="13146754" name="Check Box 1666" hidden="1">
              <a:extLst>
                <a:ext uri="{63B3BB69-23CF-44E3-9099-C40C66FF867C}">
                  <a14:compatExt spid="_x0000_s13146754"/>
                </a:ext>
                <a:ext uri="{FF2B5EF4-FFF2-40B4-BE49-F238E27FC236}">
                  <a16:creationId xmlns:a16="http://schemas.microsoft.com/office/drawing/2014/main" id="{00000000-0008-0000-0200-00008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145</xdr:row>
          <xdr:rowOff>0</xdr:rowOff>
        </xdr:from>
        <xdr:to>
          <xdr:col>9</xdr:col>
          <xdr:colOff>295275</xdr:colOff>
          <xdr:row>146</xdr:row>
          <xdr:rowOff>47625</xdr:rowOff>
        </xdr:to>
        <xdr:sp macro="" textlink="">
          <xdr:nvSpPr>
            <xdr:cNvPr id="13146755" name="Check Box 1667" hidden="1">
              <a:extLst>
                <a:ext uri="{63B3BB69-23CF-44E3-9099-C40C66FF867C}">
                  <a14:compatExt spid="_x0000_s13146755"/>
                </a:ext>
                <a:ext uri="{FF2B5EF4-FFF2-40B4-BE49-F238E27FC236}">
                  <a16:creationId xmlns:a16="http://schemas.microsoft.com/office/drawing/2014/main" id="{00000000-0008-0000-0200-00008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145</xdr:row>
          <xdr:rowOff>0</xdr:rowOff>
        </xdr:from>
        <xdr:to>
          <xdr:col>4</xdr:col>
          <xdr:colOff>295275</xdr:colOff>
          <xdr:row>146</xdr:row>
          <xdr:rowOff>47625</xdr:rowOff>
        </xdr:to>
        <xdr:sp macro="" textlink="">
          <xdr:nvSpPr>
            <xdr:cNvPr id="13146756" name="Check Box 1668" hidden="1">
              <a:extLst>
                <a:ext uri="{63B3BB69-23CF-44E3-9099-C40C66FF867C}">
                  <a14:compatExt spid="_x0000_s13146756"/>
                </a:ext>
                <a:ext uri="{FF2B5EF4-FFF2-40B4-BE49-F238E27FC236}">
                  <a16:creationId xmlns:a16="http://schemas.microsoft.com/office/drawing/2014/main" id="{00000000-0008-0000-0200-00008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144</xdr:row>
          <xdr:rowOff>0</xdr:rowOff>
        </xdr:from>
        <xdr:to>
          <xdr:col>9</xdr:col>
          <xdr:colOff>295275</xdr:colOff>
          <xdr:row>145</xdr:row>
          <xdr:rowOff>66675</xdr:rowOff>
        </xdr:to>
        <xdr:sp macro="" textlink="">
          <xdr:nvSpPr>
            <xdr:cNvPr id="13146759" name="Check Box 1671" hidden="1">
              <a:extLst>
                <a:ext uri="{63B3BB69-23CF-44E3-9099-C40C66FF867C}">
                  <a14:compatExt spid="_x0000_s13146759"/>
                </a:ext>
                <a:ext uri="{FF2B5EF4-FFF2-40B4-BE49-F238E27FC236}">
                  <a16:creationId xmlns:a16="http://schemas.microsoft.com/office/drawing/2014/main" id="{00000000-0008-0000-0200-00008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144</xdr:row>
          <xdr:rowOff>0</xdr:rowOff>
        </xdr:from>
        <xdr:to>
          <xdr:col>4</xdr:col>
          <xdr:colOff>295275</xdr:colOff>
          <xdr:row>145</xdr:row>
          <xdr:rowOff>66675</xdr:rowOff>
        </xdr:to>
        <xdr:sp macro="" textlink="">
          <xdr:nvSpPr>
            <xdr:cNvPr id="13146760" name="Check Box 1672" hidden="1">
              <a:extLst>
                <a:ext uri="{63B3BB69-23CF-44E3-9099-C40C66FF867C}">
                  <a14:compatExt spid="_x0000_s13146760"/>
                </a:ext>
                <a:ext uri="{FF2B5EF4-FFF2-40B4-BE49-F238E27FC236}">
                  <a16:creationId xmlns:a16="http://schemas.microsoft.com/office/drawing/2014/main" id="{00000000-0008-0000-0200-00008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143</xdr:row>
          <xdr:rowOff>0</xdr:rowOff>
        </xdr:from>
        <xdr:to>
          <xdr:col>9</xdr:col>
          <xdr:colOff>295275</xdr:colOff>
          <xdr:row>144</xdr:row>
          <xdr:rowOff>47625</xdr:rowOff>
        </xdr:to>
        <xdr:sp macro="" textlink="">
          <xdr:nvSpPr>
            <xdr:cNvPr id="13146767" name="Check Box 1679" hidden="1">
              <a:extLst>
                <a:ext uri="{63B3BB69-23CF-44E3-9099-C40C66FF867C}">
                  <a14:compatExt spid="_x0000_s13146767"/>
                </a:ext>
                <a:ext uri="{FF2B5EF4-FFF2-40B4-BE49-F238E27FC236}">
                  <a16:creationId xmlns:a16="http://schemas.microsoft.com/office/drawing/2014/main" id="{00000000-0008-0000-0200-00008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143</xdr:row>
          <xdr:rowOff>0</xdr:rowOff>
        </xdr:from>
        <xdr:to>
          <xdr:col>4</xdr:col>
          <xdr:colOff>295275</xdr:colOff>
          <xdr:row>144</xdr:row>
          <xdr:rowOff>47625</xdr:rowOff>
        </xdr:to>
        <xdr:sp macro="" textlink="">
          <xdr:nvSpPr>
            <xdr:cNvPr id="13146768" name="Check Box 1680" hidden="1">
              <a:extLst>
                <a:ext uri="{63B3BB69-23CF-44E3-9099-C40C66FF867C}">
                  <a14:compatExt spid="_x0000_s13146768"/>
                </a:ext>
                <a:ext uri="{FF2B5EF4-FFF2-40B4-BE49-F238E27FC236}">
                  <a16:creationId xmlns:a16="http://schemas.microsoft.com/office/drawing/2014/main" id="{00000000-0008-0000-0200-00009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142</xdr:row>
          <xdr:rowOff>0</xdr:rowOff>
        </xdr:from>
        <xdr:to>
          <xdr:col>9</xdr:col>
          <xdr:colOff>295275</xdr:colOff>
          <xdr:row>143</xdr:row>
          <xdr:rowOff>47625</xdr:rowOff>
        </xdr:to>
        <xdr:sp macro="" textlink="">
          <xdr:nvSpPr>
            <xdr:cNvPr id="13146771" name="Check Box 1683" hidden="1">
              <a:extLst>
                <a:ext uri="{63B3BB69-23CF-44E3-9099-C40C66FF867C}">
                  <a14:compatExt spid="_x0000_s13146771"/>
                </a:ext>
                <a:ext uri="{FF2B5EF4-FFF2-40B4-BE49-F238E27FC236}">
                  <a16:creationId xmlns:a16="http://schemas.microsoft.com/office/drawing/2014/main" id="{00000000-0008-0000-0200-00009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142</xdr:row>
          <xdr:rowOff>0</xdr:rowOff>
        </xdr:from>
        <xdr:to>
          <xdr:col>4</xdr:col>
          <xdr:colOff>295275</xdr:colOff>
          <xdr:row>143</xdr:row>
          <xdr:rowOff>47625</xdr:rowOff>
        </xdr:to>
        <xdr:sp macro="" textlink="">
          <xdr:nvSpPr>
            <xdr:cNvPr id="13146772" name="Check Box 1684" hidden="1">
              <a:extLst>
                <a:ext uri="{63B3BB69-23CF-44E3-9099-C40C66FF867C}">
                  <a14:compatExt spid="_x0000_s13146772"/>
                </a:ext>
                <a:ext uri="{FF2B5EF4-FFF2-40B4-BE49-F238E27FC236}">
                  <a16:creationId xmlns:a16="http://schemas.microsoft.com/office/drawing/2014/main" id="{00000000-0008-0000-0200-00009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141</xdr:row>
          <xdr:rowOff>0</xdr:rowOff>
        </xdr:from>
        <xdr:to>
          <xdr:col>9</xdr:col>
          <xdr:colOff>295275</xdr:colOff>
          <xdr:row>142</xdr:row>
          <xdr:rowOff>47625</xdr:rowOff>
        </xdr:to>
        <xdr:sp macro="" textlink="">
          <xdr:nvSpPr>
            <xdr:cNvPr id="13146779" name="Check Box 1691" hidden="1">
              <a:extLst>
                <a:ext uri="{63B3BB69-23CF-44E3-9099-C40C66FF867C}">
                  <a14:compatExt spid="_x0000_s13146779"/>
                </a:ext>
                <a:ext uri="{FF2B5EF4-FFF2-40B4-BE49-F238E27FC236}">
                  <a16:creationId xmlns:a16="http://schemas.microsoft.com/office/drawing/2014/main" id="{00000000-0008-0000-0200-00009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141</xdr:row>
          <xdr:rowOff>0</xdr:rowOff>
        </xdr:from>
        <xdr:to>
          <xdr:col>4</xdr:col>
          <xdr:colOff>295275</xdr:colOff>
          <xdr:row>142</xdr:row>
          <xdr:rowOff>47625</xdr:rowOff>
        </xdr:to>
        <xdr:sp macro="" textlink="">
          <xdr:nvSpPr>
            <xdr:cNvPr id="13146780" name="Check Box 1692" hidden="1">
              <a:extLst>
                <a:ext uri="{63B3BB69-23CF-44E3-9099-C40C66FF867C}">
                  <a14:compatExt spid="_x0000_s13146780"/>
                </a:ext>
                <a:ext uri="{FF2B5EF4-FFF2-40B4-BE49-F238E27FC236}">
                  <a16:creationId xmlns:a16="http://schemas.microsoft.com/office/drawing/2014/main" id="{00000000-0008-0000-0200-00009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140</xdr:row>
          <xdr:rowOff>0</xdr:rowOff>
        </xdr:from>
        <xdr:to>
          <xdr:col>9</xdr:col>
          <xdr:colOff>295275</xdr:colOff>
          <xdr:row>141</xdr:row>
          <xdr:rowOff>47625</xdr:rowOff>
        </xdr:to>
        <xdr:sp macro="" textlink="">
          <xdr:nvSpPr>
            <xdr:cNvPr id="13146783" name="Check Box 1695" hidden="1">
              <a:extLst>
                <a:ext uri="{63B3BB69-23CF-44E3-9099-C40C66FF867C}">
                  <a14:compatExt spid="_x0000_s13146783"/>
                </a:ext>
                <a:ext uri="{FF2B5EF4-FFF2-40B4-BE49-F238E27FC236}">
                  <a16:creationId xmlns:a16="http://schemas.microsoft.com/office/drawing/2014/main" id="{00000000-0008-0000-0200-00009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140</xdr:row>
          <xdr:rowOff>0</xdr:rowOff>
        </xdr:from>
        <xdr:to>
          <xdr:col>4</xdr:col>
          <xdr:colOff>295275</xdr:colOff>
          <xdr:row>141</xdr:row>
          <xdr:rowOff>47625</xdr:rowOff>
        </xdr:to>
        <xdr:sp macro="" textlink="">
          <xdr:nvSpPr>
            <xdr:cNvPr id="13146784" name="Check Box 1696" hidden="1">
              <a:extLst>
                <a:ext uri="{63B3BB69-23CF-44E3-9099-C40C66FF867C}">
                  <a14:compatExt spid="_x0000_s13146784"/>
                </a:ext>
                <a:ext uri="{FF2B5EF4-FFF2-40B4-BE49-F238E27FC236}">
                  <a16:creationId xmlns:a16="http://schemas.microsoft.com/office/drawing/2014/main" id="{00000000-0008-0000-0200-0000A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139</xdr:row>
          <xdr:rowOff>0</xdr:rowOff>
        </xdr:from>
        <xdr:to>
          <xdr:col>9</xdr:col>
          <xdr:colOff>295275</xdr:colOff>
          <xdr:row>140</xdr:row>
          <xdr:rowOff>47625</xdr:rowOff>
        </xdr:to>
        <xdr:sp macro="" textlink="">
          <xdr:nvSpPr>
            <xdr:cNvPr id="13146785" name="Check Box 1697" hidden="1">
              <a:extLst>
                <a:ext uri="{63B3BB69-23CF-44E3-9099-C40C66FF867C}">
                  <a14:compatExt spid="_x0000_s13146785"/>
                </a:ext>
                <a:ext uri="{FF2B5EF4-FFF2-40B4-BE49-F238E27FC236}">
                  <a16:creationId xmlns:a16="http://schemas.microsoft.com/office/drawing/2014/main" id="{00000000-0008-0000-0200-0000A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139</xdr:row>
          <xdr:rowOff>0</xdr:rowOff>
        </xdr:from>
        <xdr:to>
          <xdr:col>4</xdr:col>
          <xdr:colOff>295275</xdr:colOff>
          <xdr:row>140</xdr:row>
          <xdr:rowOff>47625</xdr:rowOff>
        </xdr:to>
        <xdr:sp macro="" textlink="">
          <xdr:nvSpPr>
            <xdr:cNvPr id="13146786" name="Check Box 1698" hidden="1">
              <a:extLst>
                <a:ext uri="{63B3BB69-23CF-44E3-9099-C40C66FF867C}">
                  <a14:compatExt spid="_x0000_s13146786"/>
                </a:ext>
                <a:ext uri="{FF2B5EF4-FFF2-40B4-BE49-F238E27FC236}">
                  <a16:creationId xmlns:a16="http://schemas.microsoft.com/office/drawing/2014/main" id="{00000000-0008-0000-0200-0000A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138</xdr:row>
          <xdr:rowOff>0</xdr:rowOff>
        </xdr:from>
        <xdr:to>
          <xdr:col>9</xdr:col>
          <xdr:colOff>295275</xdr:colOff>
          <xdr:row>139</xdr:row>
          <xdr:rowOff>47625</xdr:rowOff>
        </xdr:to>
        <xdr:sp macro="" textlink="">
          <xdr:nvSpPr>
            <xdr:cNvPr id="13146789" name="Check Box 1701" hidden="1">
              <a:extLst>
                <a:ext uri="{63B3BB69-23CF-44E3-9099-C40C66FF867C}">
                  <a14:compatExt spid="_x0000_s13146789"/>
                </a:ext>
                <a:ext uri="{FF2B5EF4-FFF2-40B4-BE49-F238E27FC236}">
                  <a16:creationId xmlns:a16="http://schemas.microsoft.com/office/drawing/2014/main" id="{00000000-0008-0000-0200-0000A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138</xdr:row>
          <xdr:rowOff>0</xdr:rowOff>
        </xdr:from>
        <xdr:to>
          <xdr:col>4</xdr:col>
          <xdr:colOff>295275</xdr:colOff>
          <xdr:row>139</xdr:row>
          <xdr:rowOff>47625</xdr:rowOff>
        </xdr:to>
        <xdr:sp macro="" textlink="">
          <xdr:nvSpPr>
            <xdr:cNvPr id="13146790" name="Check Box 1702" hidden="1">
              <a:extLst>
                <a:ext uri="{63B3BB69-23CF-44E3-9099-C40C66FF867C}">
                  <a14:compatExt spid="_x0000_s13146790"/>
                </a:ext>
                <a:ext uri="{FF2B5EF4-FFF2-40B4-BE49-F238E27FC236}">
                  <a16:creationId xmlns:a16="http://schemas.microsoft.com/office/drawing/2014/main" id="{00000000-0008-0000-0200-0000A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137</xdr:row>
          <xdr:rowOff>0</xdr:rowOff>
        </xdr:from>
        <xdr:to>
          <xdr:col>9</xdr:col>
          <xdr:colOff>295275</xdr:colOff>
          <xdr:row>138</xdr:row>
          <xdr:rowOff>47625</xdr:rowOff>
        </xdr:to>
        <xdr:sp macro="" textlink="">
          <xdr:nvSpPr>
            <xdr:cNvPr id="13146791" name="Check Box 1703" hidden="1">
              <a:extLst>
                <a:ext uri="{63B3BB69-23CF-44E3-9099-C40C66FF867C}">
                  <a14:compatExt spid="_x0000_s13146791"/>
                </a:ext>
                <a:ext uri="{FF2B5EF4-FFF2-40B4-BE49-F238E27FC236}">
                  <a16:creationId xmlns:a16="http://schemas.microsoft.com/office/drawing/2014/main" id="{00000000-0008-0000-0200-0000A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137</xdr:row>
          <xdr:rowOff>0</xdr:rowOff>
        </xdr:from>
        <xdr:to>
          <xdr:col>4</xdr:col>
          <xdr:colOff>295275</xdr:colOff>
          <xdr:row>138</xdr:row>
          <xdr:rowOff>47625</xdr:rowOff>
        </xdr:to>
        <xdr:sp macro="" textlink="">
          <xdr:nvSpPr>
            <xdr:cNvPr id="13146792" name="Check Box 1704" hidden="1">
              <a:extLst>
                <a:ext uri="{63B3BB69-23CF-44E3-9099-C40C66FF867C}">
                  <a14:compatExt spid="_x0000_s13146792"/>
                </a:ext>
                <a:ext uri="{FF2B5EF4-FFF2-40B4-BE49-F238E27FC236}">
                  <a16:creationId xmlns:a16="http://schemas.microsoft.com/office/drawing/2014/main" id="{00000000-0008-0000-0200-0000A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136</xdr:row>
          <xdr:rowOff>0</xdr:rowOff>
        </xdr:from>
        <xdr:to>
          <xdr:col>9</xdr:col>
          <xdr:colOff>295275</xdr:colOff>
          <xdr:row>137</xdr:row>
          <xdr:rowOff>47625</xdr:rowOff>
        </xdr:to>
        <xdr:sp macro="" textlink="">
          <xdr:nvSpPr>
            <xdr:cNvPr id="13146797" name="Check Box 1709" hidden="1">
              <a:extLst>
                <a:ext uri="{63B3BB69-23CF-44E3-9099-C40C66FF867C}">
                  <a14:compatExt spid="_x0000_s13146797"/>
                </a:ext>
                <a:ext uri="{FF2B5EF4-FFF2-40B4-BE49-F238E27FC236}">
                  <a16:creationId xmlns:a16="http://schemas.microsoft.com/office/drawing/2014/main" id="{00000000-0008-0000-0200-0000A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136</xdr:row>
          <xdr:rowOff>0</xdr:rowOff>
        </xdr:from>
        <xdr:to>
          <xdr:col>4</xdr:col>
          <xdr:colOff>295275</xdr:colOff>
          <xdr:row>137</xdr:row>
          <xdr:rowOff>47625</xdr:rowOff>
        </xdr:to>
        <xdr:sp macro="" textlink="">
          <xdr:nvSpPr>
            <xdr:cNvPr id="13146798" name="Check Box 1710" hidden="1">
              <a:extLst>
                <a:ext uri="{63B3BB69-23CF-44E3-9099-C40C66FF867C}">
                  <a14:compatExt spid="_x0000_s13146798"/>
                </a:ext>
                <a:ext uri="{FF2B5EF4-FFF2-40B4-BE49-F238E27FC236}">
                  <a16:creationId xmlns:a16="http://schemas.microsoft.com/office/drawing/2014/main" id="{00000000-0008-0000-0200-0000A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135</xdr:row>
          <xdr:rowOff>0</xdr:rowOff>
        </xdr:from>
        <xdr:to>
          <xdr:col>9</xdr:col>
          <xdr:colOff>295275</xdr:colOff>
          <xdr:row>136</xdr:row>
          <xdr:rowOff>47625</xdr:rowOff>
        </xdr:to>
        <xdr:sp macro="" textlink="">
          <xdr:nvSpPr>
            <xdr:cNvPr id="13146801" name="Check Box 1713" hidden="1">
              <a:extLst>
                <a:ext uri="{63B3BB69-23CF-44E3-9099-C40C66FF867C}">
                  <a14:compatExt spid="_x0000_s13146801"/>
                </a:ext>
                <a:ext uri="{FF2B5EF4-FFF2-40B4-BE49-F238E27FC236}">
                  <a16:creationId xmlns:a16="http://schemas.microsoft.com/office/drawing/2014/main" id="{00000000-0008-0000-0200-0000B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135</xdr:row>
          <xdr:rowOff>0</xdr:rowOff>
        </xdr:from>
        <xdr:to>
          <xdr:col>4</xdr:col>
          <xdr:colOff>295275</xdr:colOff>
          <xdr:row>136</xdr:row>
          <xdr:rowOff>47625</xdr:rowOff>
        </xdr:to>
        <xdr:sp macro="" textlink="">
          <xdr:nvSpPr>
            <xdr:cNvPr id="13146802" name="Check Box 1714" hidden="1">
              <a:extLst>
                <a:ext uri="{63B3BB69-23CF-44E3-9099-C40C66FF867C}">
                  <a14:compatExt spid="_x0000_s13146802"/>
                </a:ext>
                <a:ext uri="{FF2B5EF4-FFF2-40B4-BE49-F238E27FC236}">
                  <a16:creationId xmlns:a16="http://schemas.microsoft.com/office/drawing/2014/main" id="{00000000-0008-0000-0200-0000B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134</xdr:row>
          <xdr:rowOff>0</xdr:rowOff>
        </xdr:from>
        <xdr:to>
          <xdr:col>9</xdr:col>
          <xdr:colOff>295275</xdr:colOff>
          <xdr:row>135</xdr:row>
          <xdr:rowOff>47625</xdr:rowOff>
        </xdr:to>
        <xdr:sp macro="" textlink="">
          <xdr:nvSpPr>
            <xdr:cNvPr id="13146811" name="Check Box 1723" hidden="1">
              <a:extLst>
                <a:ext uri="{63B3BB69-23CF-44E3-9099-C40C66FF867C}">
                  <a14:compatExt spid="_x0000_s13146811"/>
                </a:ext>
                <a:ext uri="{FF2B5EF4-FFF2-40B4-BE49-F238E27FC236}">
                  <a16:creationId xmlns:a16="http://schemas.microsoft.com/office/drawing/2014/main" id="{00000000-0008-0000-0200-0000B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134</xdr:row>
          <xdr:rowOff>0</xdr:rowOff>
        </xdr:from>
        <xdr:to>
          <xdr:col>4</xdr:col>
          <xdr:colOff>295275</xdr:colOff>
          <xdr:row>135</xdr:row>
          <xdr:rowOff>47625</xdr:rowOff>
        </xdr:to>
        <xdr:sp macro="" textlink="">
          <xdr:nvSpPr>
            <xdr:cNvPr id="13146812" name="Check Box 1724" hidden="1">
              <a:extLst>
                <a:ext uri="{63B3BB69-23CF-44E3-9099-C40C66FF867C}">
                  <a14:compatExt spid="_x0000_s13146812"/>
                </a:ext>
                <a:ext uri="{FF2B5EF4-FFF2-40B4-BE49-F238E27FC236}">
                  <a16:creationId xmlns:a16="http://schemas.microsoft.com/office/drawing/2014/main" id="{00000000-0008-0000-0200-0000B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133</xdr:row>
          <xdr:rowOff>0</xdr:rowOff>
        </xdr:from>
        <xdr:to>
          <xdr:col>9</xdr:col>
          <xdr:colOff>295275</xdr:colOff>
          <xdr:row>134</xdr:row>
          <xdr:rowOff>47625</xdr:rowOff>
        </xdr:to>
        <xdr:sp macro="" textlink="">
          <xdr:nvSpPr>
            <xdr:cNvPr id="13146819" name="Check Box 1731" hidden="1">
              <a:extLst>
                <a:ext uri="{63B3BB69-23CF-44E3-9099-C40C66FF867C}">
                  <a14:compatExt spid="_x0000_s13146819"/>
                </a:ext>
                <a:ext uri="{FF2B5EF4-FFF2-40B4-BE49-F238E27FC236}">
                  <a16:creationId xmlns:a16="http://schemas.microsoft.com/office/drawing/2014/main" id="{00000000-0008-0000-0200-0000C3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133</xdr:row>
          <xdr:rowOff>0</xdr:rowOff>
        </xdr:from>
        <xdr:to>
          <xdr:col>4</xdr:col>
          <xdr:colOff>295275</xdr:colOff>
          <xdr:row>134</xdr:row>
          <xdr:rowOff>47625</xdr:rowOff>
        </xdr:to>
        <xdr:sp macro="" textlink="">
          <xdr:nvSpPr>
            <xdr:cNvPr id="13146820" name="Check Box 1732" hidden="1">
              <a:extLst>
                <a:ext uri="{63B3BB69-23CF-44E3-9099-C40C66FF867C}">
                  <a14:compatExt spid="_x0000_s13146820"/>
                </a:ext>
                <a:ext uri="{FF2B5EF4-FFF2-40B4-BE49-F238E27FC236}">
                  <a16:creationId xmlns:a16="http://schemas.microsoft.com/office/drawing/2014/main" id="{00000000-0008-0000-0200-0000C4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132</xdr:row>
          <xdr:rowOff>0</xdr:rowOff>
        </xdr:from>
        <xdr:to>
          <xdr:col>9</xdr:col>
          <xdr:colOff>295275</xdr:colOff>
          <xdr:row>133</xdr:row>
          <xdr:rowOff>47625</xdr:rowOff>
        </xdr:to>
        <xdr:sp macro="" textlink="">
          <xdr:nvSpPr>
            <xdr:cNvPr id="13146821" name="Check Box 1733" hidden="1">
              <a:extLst>
                <a:ext uri="{63B3BB69-23CF-44E3-9099-C40C66FF867C}">
                  <a14:compatExt spid="_x0000_s13146821"/>
                </a:ext>
                <a:ext uri="{FF2B5EF4-FFF2-40B4-BE49-F238E27FC236}">
                  <a16:creationId xmlns:a16="http://schemas.microsoft.com/office/drawing/2014/main" id="{00000000-0008-0000-0200-0000C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132</xdr:row>
          <xdr:rowOff>0</xdr:rowOff>
        </xdr:from>
        <xdr:to>
          <xdr:col>4</xdr:col>
          <xdr:colOff>295275</xdr:colOff>
          <xdr:row>133</xdr:row>
          <xdr:rowOff>47625</xdr:rowOff>
        </xdr:to>
        <xdr:sp macro="" textlink="">
          <xdr:nvSpPr>
            <xdr:cNvPr id="13146822" name="Check Box 1734" hidden="1">
              <a:extLst>
                <a:ext uri="{63B3BB69-23CF-44E3-9099-C40C66FF867C}">
                  <a14:compatExt spid="_x0000_s13146822"/>
                </a:ext>
                <a:ext uri="{FF2B5EF4-FFF2-40B4-BE49-F238E27FC236}">
                  <a16:creationId xmlns:a16="http://schemas.microsoft.com/office/drawing/2014/main" id="{00000000-0008-0000-0200-0000C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131</xdr:row>
          <xdr:rowOff>0</xdr:rowOff>
        </xdr:from>
        <xdr:to>
          <xdr:col>9</xdr:col>
          <xdr:colOff>295275</xdr:colOff>
          <xdr:row>132</xdr:row>
          <xdr:rowOff>47625</xdr:rowOff>
        </xdr:to>
        <xdr:sp macro="" textlink="">
          <xdr:nvSpPr>
            <xdr:cNvPr id="13146827" name="Check Box 1739" hidden="1">
              <a:extLst>
                <a:ext uri="{63B3BB69-23CF-44E3-9099-C40C66FF867C}">
                  <a14:compatExt spid="_x0000_s13146827"/>
                </a:ext>
                <a:ext uri="{FF2B5EF4-FFF2-40B4-BE49-F238E27FC236}">
                  <a16:creationId xmlns:a16="http://schemas.microsoft.com/office/drawing/2014/main" id="{00000000-0008-0000-0200-0000C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131</xdr:row>
          <xdr:rowOff>0</xdr:rowOff>
        </xdr:from>
        <xdr:to>
          <xdr:col>4</xdr:col>
          <xdr:colOff>295275</xdr:colOff>
          <xdr:row>132</xdr:row>
          <xdr:rowOff>47625</xdr:rowOff>
        </xdr:to>
        <xdr:sp macro="" textlink="">
          <xdr:nvSpPr>
            <xdr:cNvPr id="13146828" name="Check Box 1740" hidden="1">
              <a:extLst>
                <a:ext uri="{63B3BB69-23CF-44E3-9099-C40C66FF867C}">
                  <a14:compatExt spid="_x0000_s13146828"/>
                </a:ext>
                <a:ext uri="{FF2B5EF4-FFF2-40B4-BE49-F238E27FC236}">
                  <a16:creationId xmlns:a16="http://schemas.microsoft.com/office/drawing/2014/main" id="{00000000-0008-0000-0200-0000C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130</xdr:row>
          <xdr:rowOff>0</xdr:rowOff>
        </xdr:from>
        <xdr:to>
          <xdr:col>9</xdr:col>
          <xdr:colOff>295275</xdr:colOff>
          <xdr:row>131</xdr:row>
          <xdr:rowOff>47625</xdr:rowOff>
        </xdr:to>
        <xdr:sp macro="" textlink="">
          <xdr:nvSpPr>
            <xdr:cNvPr id="13146831" name="Check Box 1743" hidden="1">
              <a:extLst>
                <a:ext uri="{63B3BB69-23CF-44E3-9099-C40C66FF867C}">
                  <a14:compatExt spid="_x0000_s13146831"/>
                </a:ext>
                <a:ext uri="{FF2B5EF4-FFF2-40B4-BE49-F238E27FC236}">
                  <a16:creationId xmlns:a16="http://schemas.microsoft.com/office/drawing/2014/main" id="{00000000-0008-0000-0200-0000CF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130</xdr:row>
          <xdr:rowOff>0</xdr:rowOff>
        </xdr:from>
        <xdr:to>
          <xdr:col>4</xdr:col>
          <xdr:colOff>295275</xdr:colOff>
          <xdr:row>131</xdr:row>
          <xdr:rowOff>47625</xdr:rowOff>
        </xdr:to>
        <xdr:sp macro="" textlink="">
          <xdr:nvSpPr>
            <xdr:cNvPr id="13146832" name="Check Box 1744" hidden="1">
              <a:extLst>
                <a:ext uri="{63B3BB69-23CF-44E3-9099-C40C66FF867C}">
                  <a14:compatExt spid="_x0000_s13146832"/>
                </a:ext>
                <a:ext uri="{FF2B5EF4-FFF2-40B4-BE49-F238E27FC236}">
                  <a16:creationId xmlns:a16="http://schemas.microsoft.com/office/drawing/2014/main" id="{00000000-0008-0000-0200-0000D0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129</xdr:row>
          <xdr:rowOff>0</xdr:rowOff>
        </xdr:from>
        <xdr:to>
          <xdr:col>9</xdr:col>
          <xdr:colOff>295275</xdr:colOff>
          <xdr:row>130</xdr:row>
          <xdr:rowOff>47625</xdr:rowOff>
        </xdr:to>
        <xdr:sp macro="" textlink="">
          <xdr:nvSpPr>
            <xdr:cNvPr id="13146837" name="Check Box 1749" hidden="1">
              <a:extLst>
                <a:ext uri="{63B3BB69-23CF-44E3-9099-C40C66FF867C}">
                  <a14:compatExt spid="_x0000_s13146837"/>
                </a:ext>
                <a:ext uri="{FF2B5EF4-FFF2-40B4-BE49-F238E27FC236}">
                  <a16:creationId xmlns:a16="http://schemas.microsoft.com/office/drawing/2014/main" id="{00000000-0008-0000-0200-0000D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129</xdr:row>
          <xdr:rowOff>0</xdr:rowOff>
        </xdr:from>
        <xdr:to>
          <xdr:col>4</xdr:col>
          <xdr:colOff>295275</xdr:colOff>
          <xdr:row>130</xdr:row>
          <xdr:rowOff>47625</xdr:rowOff>
        </xdr:to>
        <xdr:sp macro="" textlink="">
          <xdr:nvSpPr>
            <xdr:cNvPr id="13146838" name="Check Box 1750" hidden="1">
              <a:extLst>
                <a:ext uri="{63B3BB69-23CF-44E3-9099-C40C66FF867C}">
                  <a14:compatExt spid="_x0000_s13146838"/>
                </a:ext>
                <a:ext uri="{FF2B5EF4-FFF2-40B4-BE49-F238E27FC236}">
                  <a16:creationId xmlns:a16="http://schemas.microsoft.com/office/drawing/2014/main" id="{00000000-0008-0000-0200-0000D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128</xdr:row>
          <xdr:rowOff>0</xdr:rowOff>
        </xdr:from>
        <xdr:to>
          <xdr:col>9</xdr:col>
          <xdr:colOff>295275</xdr:colOff>
          <xdr:row>129</xdr:row>
          <xdr:rowOff>47625</xdr:rowOff>
        </xdr:to>
        <xdr:sp macro="" textlink="">
          <xdr:nvSpPr>
            <xdr:cNvPr id="13146839" name="Check Box 1751" hidden="1">
              <a:extLst>
                <a:ext uri="{63B3BB69-23CF-44E3-9099-C40C66FF867C}">
                  <a14:compatExt spid="_x0000_s13146839"/>
                </a:ext>
                <a:ext uri="{FF2B5EF4-FFF2-40B4-BE49-F238E27FC236}">
                  <a16:creationId xmlns:a16="http://schemas.microsoft.com/office/drawing/2014/main" id="{00000000-0008-0000-0200-0000D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128</xdr:row>
          <xdr:rowOff>0</xdr:rowOff>
        </xdr:from>
        <xdr:to>
          <xdr:col>4</xdr:col>
          <xdr:colOff>295275</xdr:colOff>
          <xdr:row>129</xdr:row>
          <xdr:rowOff>47625</xdr:rowOff>
        </xdr:to>
        <xdr:sp macro="" textlink="">
          <xdr:nvSpPr>
            <xdr:cNvPr id="13146840" name="Check Box 1752" hidden="1">
              <a:extLst>
                <a:ext uri="{63B3BB69-23CF-44E3-9099-C40C66FF867C}">
                  <a14:compatExt spid="_x0000_s13146840"/>
                </a:ext>
                <a:ext uri="{FF2B5EF4-FFF2-40B4-BE49-F238E27FC236}">
                  <a16:creationId xmlns:a16="http://schemas.microsoft.com/office/drawing/2014/main" id="{00000000-0008-0000-0200-0000D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127</xdr:row>
          <xdr:rowOff>0</xdr:rowOff>
        </xdr:from>
        <xdr:to>
          <xdr:col>9</xdr:col>
          <xdr:colOff>295275</xdr:colOff>
          <xdr:row>128</xdr:row>
          <xdr:rowOff>47625</xdr:rowOff>
        </xdr:to>
        <xdr:sp macro="" textlink="">
          <xdr:nvSpPr>
            <xdr:cNvPr id="13146843" name="Check Box 1755" hidden="1">
              <a:extLst>
                <a:ext uri="{63B3BB69-23CF-44E3-9099-C40C66FF867C}">
                  <a14:compatExt spid="_x0000_s13146843"/>
                </a:ext>
                <a:ext uri="{FF2B5EF4-FFF2-40B4-BE49-F238E27FC236}">
                  <a16:creationId xmlns:a16="http://schemas.microsoft.com/office/drawing/2014/main" id="{00000000-0008-0000-0200-0000D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127</xdr:row>
          <xdr:rowOff>0</xdr:rowOff>
        </xdr:from>
        <xdr:to>
          <xdr:col>4</xdr:col>
          <xdr:colOff>295275</xdr:colOff>
          <xdr:row>128</xdr:row>
          <xdr:rowOff>47625</xdr:rowOff>
        </xdr:to>
        <xdr:sp macro="" textlink="">
          <xdr:nvSpPr>
            <xdr:cNvPr id="13146844" name="Check Box 1756" hidden="1">
              <a:extLst>
                <a:ext uri="{63B3BB69-23CF-44E3-9099-C40C66FF867C}">
                  <a14:compatExt spid="_x0000_s13146844"/>
                </a:ext>
                <a:ext uri="{FF2B5EF4-FFF2-40B4-BE49-F238E27FC236}">
                  <a16:creationId xmlns:a16="http://schemas.microsoft.com/office/drawing/2014/main" id="{00000000-0008-0000-0200-0000D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126</xdr:row>
          <xdr:rowOff>0</xdr:rowOff>
        </xdr:from>
        <xdr:to>
          <xdr:col>9</xdr:col>
          <xdr:colOff>295275</xdr:colOff>
          <xdr:row>127</xdr:row>
          <xdr:rowOff>47625</xdr:rowOff>
        </xdr:to>
        <xdr:sp macro="" textlink="">
          <xdr:nvSpPr>
            <xdr:cNvPr id="13146849" name="Check Box 1761" hidden="1">
              <a:extLst>
                <a:ext uri="{63B3BB69-23CF-44E3-9099-C40C66FF867C}">
                  <a14:compatExt spid="_x0000_s13146849"/>
                </a:ext>
                <a:ext uri="{FF2B5EF4-FFF2-40B4-BE49-F238E27FC236}">
                  <a16:creationId xmlns:a16="http://schemas.microsoft.com/office/drawing/2014/main" id="{00000000-0008-0000-0200-0000E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126</xdr:row>
          <xdr:rowOff>0</xdr:rowOff>
        </xdr:from>
        <xdr:to>
          <xdr:col>4</xdr:col>
          <xdr:colOff>295275</xdr:colOff>
          <xdr:row>127</xdr:row>
          <xdr:rowOff>47625</xdr:rowOff>
        </xdr:to>
        <xdr:sp macro="" textlink="">
          <xdr:nvSpPr>
            <xdr:cNvPr id="13146850" name="Check Box 1762" hidden="1">
              <a:extLst>
                <a:ext uri="{63B3BB69-23CF-44E3-9099-C40C66FF867C}">
                  <a14:compatExt spid="_x0000_s13146850"/>
                </a:ext>
                <a:ext uri="{FF2B5EF4-FFF2-40B4-BE49-F238E27FC236}">
                  <a16:creationId xmlns:a16="http://schemas.microsoft.com/office/drawing/2014/main" id="{00000000-0008-0000-0200-0000E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125</xdr:row>
          <xdr:rowOff>0</xdr:rowOff>
        </xdr:from>
        <xdr:to>
          <xdr:col>9</xdr:col>
          <xdr:colOff>295275</xdr:colOff>
          <xdr:row>126</xdr:row>
          <xdr:rowOff>47625</xdr:rowOff>
        </xdr:to>
        <xdr:sp macro="" textlink="">
          <xdr:nvSpPr>
            <xdr:cNvPr id="13146855" name="Check Box 1767" hidden="1">
              <a:extLst>
                <a:ext uri="{63B3BB69-23CF-44E3-9099-C40C66FF867C}">
                  <a14:compatExt spid="_x0000_s13146855"/>
                </a:ext>
                <a:ext uri="{FF2B5EF4-FFF2-40B4-BE49-F238E27FC236}">
                  <a16:creationId xmlns:a16="http://schemas.microsoft.com/office/drawing/2014/main" id="{00000000-0008-0000-0200-0000E7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125</xdr:row>
          <xdr:rowOff>0</xdr:rowOff>
        </xdr:from>
        <xdr:to>
          <xdr:col>4</xdr:col>
          <xdr:colOff>295275</xdr:colOff>
          <xdr:row>126</xdr:row>
          <xdr:rowOff>47625</xdr:rowOff>
        </xdr:to>
        <xdr:sp macro="" textlink="">
          <xdr:nvSpPr>
            <xdr:cNvPr id="13146856" name="Check Box 1768" hidden="1">
              <a:extLst>
                <a:ext uri="{63B3BB69-23CF-44E3-9099-C40C66FF867C}">
                  <a14:compatExt spid="_x0000_s13146856"/>
                </a:ext>
                <a:ext uri="{FF2B5EF4-FFF2-40B4-BE49-F238E27FC236}">
                  <a16:creationId xmlns:a16="http://schemas.microsoft.com/office/drawing/2014/main" id="{00000000-0008-0000-0200-0000E8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124</xdr:row>
          <xdr:rowOff>0</xdr:rowOff>
        </xdr:from>
        <xdr:to>
          <xdr:col>9</xdr:col>
          <xdr:colOff>295275</xdr:colOff>
          <xdr:row>125</xdr:row>
          <xdr:rowOff>47625</xdr:rowOff>
        </xdr:to>
        <xdr:sp macro="" textlink="">
          <xdr:nvSpPr>
            <xdr:cNvPr id="13146857" name="Check Box 1769" hidden="1">
              <a:extLst>
                <a:ext uri="{63B3BB69-23CF-44E3-9099-C40C66FF867C}">
                  <a14:compatExt spid="_x0000_s13146857"/>
                </a:ext>
                <a:ext uri="{FF2B5EF4-FFF2-40B4-BE49-F238E27FC236}">
                  <a16:creationId xmlns:a16="http://schemas.microsoft.com/office/drawing/2014/main" id="{00000000-0008-0000-0200-0000E9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124</xdr:row>
          <xdr:rowOff>0</xdr:rowOff>
        </xdr:from>
        <xdr:to>
          <xdr:col>4</xdr:col>
          <xdr:colOff>295275</xdr:colOff>
          <xdr:row>125</xdr:row>
          <xdr:rowOff>47625</xdr:rowOff>
        </xdr:to>
        <xdr:sp macro="" textlink="">
          <xdr:nvSpPr>
            <xdr:cNvPr id="13146858" name="Check Box 1770" hidden="1">
              <a:extLst>
                <a:ext uri="{63B3BB69-23CF-44E3-9099-C40C66FF867C}">
                  <a14:compatExt spid="_x0000_s13146858"/>
                </a:ext>
                <a:ext uri="{FF2B5EF4-FFF2-40B4-BE49-F238E27FC236}">
                  <a16:creationId xmlns:a16="http://schemas.microsoft.com/office/drawing/2014/main" id="{00000000-0008-0000-0200-0000E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123</xdr:row>
          <xdr:rowOff>0</xdr:rowOff>
        </xdr:from>
        <xdr:to>
          <xdr:col>9</xdr:col>
          <xdr:colOff>295275</xdr:colOff>
          <xdr:row>124</xdr:row>
          <xdr:rowOff>47625</xdr:rowOff>
        </xdr:to>
        <xdr:sp macro="" textlink="">
          <xdr:nvSpPr>
            <xdr:cNvPr id="13146859" name="Check Box 1771" hidden="1">
              <a:extLst>
                <a:ext uri="{63B3BB69-23CF-44E3-9099-C40C66FF867C}">
                  <a14:compatExt spid="_x0000_s13146859"/>
                </a:ext>
                <a:ext uri="{FF2B5EF4-FFF2-40B4-BE49-F238E27FC236}">
                  <a16:creationId xmlns:a16="http://schemas.microsoft.com/office/drawing/2014/main" id="{00000000-0008-0000-0200-0000EB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123</xdr:row>
          <xdr:rowOff>0</xdr:rowOff>
        </xdr:from>
        <xdr:to>
          <xdr:col>4</xdr:col>
          <xdr:colOff>295275</xdr:colOff>
          <xdr:row>124</xdr:row>
          <xdr:rowOff>47625</xdr:rowOff>
        </xdr:to>
        <xdr:sp macro="" textlink="">
          <xdr:nvSpPr>
            <xdr:cNvPr id="13146860" name="Check Box 1772" hidden="1">
              <a:extLst>
                <a:ext uri="{63B3BB69-23CF-44E3-9099-C40C66FF867C}">
                  <a14:compatExt spid="_x0000_s13146860"/>
                </a:ext>
                <a:ext uri="{FF2B5EF4-FFF2-40B4-BE49-F238E27FC236}">
                  <a16:creationId xmlns:a16="http://schemas.microsoft.com/office/drawing/2014/main" id="{00000000-0008-0000-0200-0000EC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122</xdr:row>
          <xdr:rowOff>0</xdr:rowOff>
        </xdr:from>
        <xdr:to>
          <xdr:col>9</xdr:col>
          <xdr:colOff>295275</xdr:colOff>
          <xdr:row>123</xdr:row>
          <xdr:rowOff>47625</xdr:rowOff>
        </xdr:to>
        <xdr:sp macro="" textlink="">
          <xdr:nvSpPr>
            <xdr:cNvPr id="13146861" name="Check Box 1773" hidden="1">
              <a:extLst>
                <a:ext uri="{63B3BB69-23CF-44E3-9099-C40C66FF867C}">
                  <a14:compatExt spid="_x0000_s13146861"/>
                </a:ext>
                <a:ext uri="{FF2B5EF4-FFF2-40B4-BE49-F238E27FC236}">
                  <a16:creationId xmlns:a16="http://schemas.microsoft.com/office/drawing/2014/main" id="{00000000-0008-0000-0200-0000E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122</xdr:row>
          <xdr:rowOff>0</xdr:rowOff>
        </xdr:from>
        <xdr:to>
          <xdr:col>4</xdr:col>
          <xdr:colOff>295275</xdr:colOff>
          <xdr:row>123</xdr:row>
          <xdr:rowOff>47625</xdr:rowOff>
        </xdr:to>
        <xdr:sp macro="" textlink="">
          <xdr:nvSpPr>
            <xdr:cNvPr id="13146862" name="Check Box 1774" hidden="1">
              <a:extLst>
                <a:ext uri="{63B3BB69-23CF-44E3-9099-C40C66FF867C}">
                  <a14:compatExt spid="_x0000_s13146862"/>
                </a:ext>
                <a:ext uri="{FF2B5EF4-FFF2-40B4-BE49-F238E27FC236}">
                  <a16:creationId xmlns:a16="http://schemas.microsoft.com/office/drawing/2014/main" id="{00000000-0008-0000-0200-0000E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121</xdr:row>
          <xdr:rowOff>0</xdr:rowOff>
        </xdr:from>
        <xdr:to>
          <xdr:col>9</xdr:col>
          <xdr:colOff>295275</xdr:colOff>
          <xdr:row>122</xdr:row>
          <xdr:rowOff>47625</xdr:rowOff>
        </xdr:to>
        <xdr:sp macro="" textlink="">
          <xdr:nvSpPr>
            <xdr:cNvPr id="13146865" name="Check Box 1777" hidden="1">
              <a:extLst>
                <a:ext uri="{63B3BB69-23CF-44E3-9099-C40C66FF867C}">
                  <a14:compatExt spid="_x0000_s13146865"/>
                </a:ext>
                <a:ext uri="{FF2B5EF4-FFF2-40B4-BE49-F238E27FC236}">
                  <a16:creationId xmlns:a16="http://schemas.microsoft.com/office/drawing/2014/main" id="{00000000-0008-0000-0200-0000F1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121</xdr:row>
          <xdr:rowOff>0</xdr:rowOff>
        </xdr:from>
        <xdr:to>
          <xdr:col>4</xdr:col>
          <xdr:colOff>295275</xdr:colOff>
          <xdr:row>122</xdr:row>
          <xdr:rowOff>47625</xdr:rowOff>
        </xdr:to>
        <xdr:sp macro="" textlink="">
          <xdr:nvSpPr>
            <xdr:cNvPr id="13146866" name="Check Box 1778" hidden="1">
              <a:extLst>
                <a:ext uri="{63B3BB69-23CF-44E3-9099-C40C66FF867C}">
                  <a14:compatExt spid="_x0000_s13146866"/>
                </a:ext>
                <a:ext uri="{FF2B5EF4-FFF2-40B4-BE49-F238E27FC236}">
                  <a16:creationId xmlns:a16="http://schemas.microsoft.com/office/drawing/2014/main" id="{00000000-0008-0000-0200-0000F2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120</xdr:row>
          <xdr:rowOff>0</xdr:rowOff>
        </xdr:from>
        <xdr:to>
          <xdr:col>9</xdr:col>
          <xdr:colOff>295275</xdr:colOff>
          <xdr:row>121</xdr:row>
          <xdr:rowOff>47625</xdr:rowOff>
        </xdr:to>
        <xdr:sp macro="" textlink="">
          <xdr:nvSpPr>
            <xdr:cNvPr id="13146869" name="Check Box 1781" hidden="1">
              <a:extLst>
                <a:ext uri="{63B3BB69-23CF-44E3-9099-C40C66FF867C}">
                  <a14:compatExt spid="_x0000_s13146869"/>
                </a:ext>
                <a:ext uri="{FF2B5EF4-FFF2-40B4-BE49-F238E27FC236}">
                  <a16:creationId xmlns:a16="http://schemas.microsoft.com/office/drawing/2014/main" id="{00000000-0008-0000-0200-0000F5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120</xdr:row>
          <xdr:rowOff>0</xdr:rowOff>
        </xdr:from>
        <xdr:to>
          <xdr:col>4</xdr:col>
          <xdr:colOff>295275</xdr:colOff>
          <xdr:row>121</xdr:row>
          <xdr:rowOff>47625</xdr:rowOff>
        </xdr:to>
        <xdr:sp macro="" textlink="">
          <xdr:nvSpPr>
            <xdr:cNvPr id="13146870" name="Check Box 1782" hidden="1">
              <a:extLst>
                <a:ext uri="{63B3BB69-23CF-44E3-9099-C40C66FF867C}">
                  <a14:compatExt spid="_x0000_s13146870"/>
                </a:ext>
                <a:ext uri="{FF2B5EF4-FFF2-40B4-BE49-F238E27FC236}">
                  <a16:creationId xmlns:a16="http://schemas.microsoft.com/office/drawing/2014/main" id="{00000000-0008-0000-0200-0000F6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119</xdr:row>
          <xdr:rowOff>0</xdr:rowOff>
        </xdr:from>
        <xdr:to>
          <xdr:col>9</xdr:col>
          <xdr:colOff>295275</xdr:colOff>
          <xdr:row>120</xdr:row>
          <xdr:rowOff>47625</xdr:rowOff>
        </xdr:to>
        <xdr:sp macro="" textlink="">
          <xdr:nvSpPr>
            <xdr:cNvPr id="13146873" name="Check Box 1785" hidden="1">
              <a:extLst>
                <a:ext uri="{63B3BB69-23CF-44E3-9099-C40C66FF867C}">
                  <a14:compatExt spid="_x0000_s13146873"/>
                </a:ext>
                <a:ext uri="{FF2B5EF4-FFF2-40B4-BE49-F238E27FC236}">
                  <a16:creationId xmlns:a16="http://schemas.microsoft.com/office/drawing/2014/main" id="{00000000-0008-0000-0200-0000F9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119</xdr:row>
          <xdr:rowOff>0</xdr:rowOff>
        </xdr:from>
        <xdr:to>
          <xdr:col>4</xdr:col>
          <xdr:colOff>295275</xdr:colOff>
          <xdr:row>120</xdr:row>
          <xdr:rowOff>47625</xdr:rowOff>
        </xdr:to>
        <xdr:sp macro="" textlink="">
          <xdr:nvSpPr>
            <xdr:cNvPr id="13146874" name="Check Box 1786" hidden="1">
              <a:extLst>
                <a:ext uri="{63B3BB69-23CF-44E3-9099-C40C66FF867C}">
                  <a14:compatExt spid="_x0000_s13146874"/>
                </a:ext>
                <a:ext uri="{FF2B5EF4-FFF2-40B4-BE49-F238E27FC236}">
                  <a16:creationId xmlns:a16="http://schemas.microsoft.com/office/drawing/2014/main" id="{00000000-0008-0000-0200-0000FA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118</xdr:row>
          <xdr:rowOff>0</xdr:rowOff>
        </xdr:from>
        <xdr:to>
          <xdr:col>9</xdr:col>
          <xdr:colOff>295275</xdr:colOff>
          <xdr:row>119</xdr:row>
          <xdr:rowOff>47625</xdr:rowOff>
        </xdr:to>
        <xdr:sp macro="" textlink="">
          <xdr:nvSpPr>
            <xdr:cNvPr id="13146877" name="Check Box 1789" hidden="1">
              <a:extLst>
                <a:ext uri="{63B3BB69-23CF-44E3-9099-C40C66FF867C}">
                  <a14:compatExt spid="_x0000_s13146877"/>
                </a:ext>
                <a:ext uri="{FF2B5EF4-FFF2-40B4-BE49-F238E27FC236}">
                  <a16:creationId xmlns:a16="http://schemas.microsoft.com/office/drawing/2014/main" id="{00000000-0008-0000-0200-0000FD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118</xdr:row>
          <xdr:rowOff>0</xdr:rowOff>
        </xdr:from>
        <xdr:to>
          <xdr:col>4</xdr:col>
          <xdr:colOff>295275</xdr:colOff>
          <xdr:row>119</xdr:row>
          <xdr:rowOff>47625</xdr:rowOff>
        </xdr:to>
        <xdr:sp macro="" textlink="">
          <xdr:nvSpPr>
            <xdr:cNvPr id="13146878" name="Check Box 1790" hidden="1">
              <a:extLst>
                <a:ext uri="{63B3BB69-23CF-44E3-9099-C40C66FF867C}">
                  <a14:compatExt spid="_x0000_s13146878"/>
                </a:ext>
                <a:ext uri="{FF2B5EF4-FFF2-40B4-BE49-F238E27FC236}">
                  <a16:creationId xmlns:a16="http://schemas.microsoft.com/office/drawing/2014/main" id="{00000000-0008-0000-0200-0000FE9A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117</xdr:row>
          <xdr:rowOff>0</xdr:rowOff>
        </xdr:from>
        <xdr:to>
          <xdr:col>9</xdr:col>
          <xdr:colOff>295275</xdr:colOff>
          <xdr:row>118</xdr:row>
          <xdr:rowOff>47625</xdr:rowOff>
        </xdr:to>
        <xdr:sp macro="" textlink="">
          <xdr:nvSpPr>
            <xdr:cNvPr id="13146883" name="Check Box 1795" hidden="1">
              <a:extLst>
                <a:ext uri="{63B3BB69-23CF-44E3-9099-C40C66FF867C}">
                  <a14:compatExt spid="_x0000_s13146883"/>
                </a:ext>
                <a:ext uri="{FF2B5EF4-FFF2-40B4-BE49-F238E27FC236}">
                  <a16:creationId xmlns:a16="http://schemas.microsoft.com/office/drawing/2014/main" id="{00000000-0008-0000-0200-00000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117</xdr:row>
          <xdr:rowOff>0</xdr:rowOff>
        </xdr:from>
        <xdr:to>
          <xdr:col>4</xdr:col>
          <xdr:colOff>295275</xdr:colOff>
          <xdr:row>118</xdr:row>
          <xdr:rowOff>47625</xdr:rowOff>
        </xdr:to>
        <xdr:sp macro="" textlink="">
          <xdr:nvSpPr>
            <xdr:cNvPr id="13146884" name="Check Box 1796" hidden="1">
              <a:extLst>
                <a:ext uri="{63B3BB69-23CF-44E3-9099-C40C66FF867C}">
                  <a14:compatExt spid="_x0000_s13146884"/>
                </a:ext>
                <a:ext uri="{FF2B5EF4-FFF2-40B4-BE49-F238E27FC236}">
                  <a16:creationId xmlns:a16="http://schemas.microsoft.com/office/drawing/2014/main" id="{00000000-0008-0000-0200-00000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116</xdr:row>
          <xdr:rowOff>0</xdr:rowOff>
        </xdr:from>
        <xdr:to>
          <xdr:col>9</xdr:col>
          <xdr:colOff>295275</xdr:colOff>
          <xdr:row>117</xdr:row>
          <xdr:rowOff>47625</xdr:rowOff>
        </xdr:to>
        <xdr:sp macro="" textlink="">
          <xdr:nvSpPr>
            <xdr:cNvPr id="13146889" name="Check Box 1801" hidden="1">
              <a:extLst>
                <a:ext uri="{63B3BB69-23CF-44E3-9099-C40C66FF867C}">
                  <a14:compatExt spid="_x0000_s13146889"/>
                </a:ext>
                <a:ext uri="{FF2B5EF4-FFF2-40B4-BE49-F238E27FC236}">
                  <a16:creationId xmlns:a16="http://schemas.microsoft.com/office/drawing/2014/main" id="{00000000-0008-0000-0200-00000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4</xdr:col>
          <xdr:colOff>295275</xdr:colOff>
          <xdr:row>117</xdr:row>
          <xdr:rowOff>47625</xdr:rowOff>
        </xdr:to>
        <xdr:sp macro="" textlink="">
          <xdr:nvSpPr>
            <xdr:cNvPr id="13146890" name="Check Box 1802" hidden="1">
              <a:extLst>
                <a:ext uri="{63B3BB69-23CF-44E3-9099-C40C66FF867C}">
                  <a14:compatExt spid="_x0000_s13146890"/>
                </a:ext>
                <a:ext uri="{FF2B5EF4-FFF2-40B4-BE49-F238E27FC236}">
                  <a16:creationId xmlns:a16="http://schemas.microsoft.com/office/drawing/2014/main" id="{00000000-0008-0000-0200-00000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115</xdr:row>
          <xdr:rowOff>0</xdr:rowOff>
        </xdr:from>
        <xdr:to>
          <xdr:col>9</xdr:col>
          <xdr:colOff>295275</xdr:colOff>
          <xdr:row>116</xdr:row>
          <xdr:rowOff>47625</xdr:rowOff>
        </xdr:to>
        <xdr:sp macro="" textlink="">
          <xdr:nvSpPr>
            <xdr:cNvPr id="13146891" name="Check Box 1803" hidden="1">
              <a:extLst>
                <a:ext uri="{63B3BB69-23CF-44E3-9099-C40C66FF867C}">
                  <a14:compatExt spid="_x0000_s13146891"/>
                </a:ext>
                <a:ext uri="{FF2B5EF4-FFF2-40B4-BE49-F238E27FC236}">
                  <a16:creationId xmlns:a16="http://schemas.microsoft.com/office/drawing/2014/main" id="{00000000-0008-0000-0200-00000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0</xdr:rowOff>
        </xdr:from>
        <xdr:to>
          <xdr:col>4</xdr:col>
          <xdr:colOff>295275</xdr:colOff>
          <xdr:row>116</xdr:row>
          <xdr:rowOff>47625</xdr:rowOff>
        </xdr:to>
        <xdr:sp macro="" textlink="">
          <xdr:nvSpPr>
            <xdr:cNvPr id="13146892" name="Check Box 1804" hidden="1">
              <a:extLst>
                <a:ext uri="{63B3BB69-23CF-44E3-9099-C40C66FF867C}">
                  <a14:compatExt spid="_x0000_s13146892"/>
                </a:ext>
                <a:ext uri="{FF2B5EF4-FFF2-40B4-BE49-F238E27FC236}">
                  <a16:creationId xmlns:a16="http://schemas.microsoft.com/office/drawing/2014/main" id="{00000000-0008-0000-0200-00000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114</xdr:row>
          <xdr:rowOff>0</xdr:rowOff>
        </xdr:from>
        <xdr:to>
          <xdr:col>9</xdr:col>
          <xdr:colOff>295275</xdr:colOff>
          <xdr:row>115</xdr:row>
          <xdr:rowOff>47625</xdr:rowOff>
        </xdr:to>
        <xdr:sp macro="" textlink="">
          <xdr:nvSpPr>
            <xdr:cNvPr id="13146893" name="Check Box 1805" hidden="1">
              <a:extLst>
                <a:ext uri="{63B3BB69-23CF-44E3-9099-C40C66FF867C}">
                  <a14:compatExt spid="_x0000_s13146893"/>
                </a:ext>
                <a:ext uri="{FF2B5EF4-FFF2-40B4-BE49-F238E27FC236}">
                  <a16:creationId xmlns:a16="http://schemas.microsoft.com/office/drawing/2014/main" id="{00000000-0008-0000-0200-00000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114</xdr:row>
          <xdr:rowOff>0</xdr:rowOff>
        </xdr:from>
        <xdr:to>
          <xdr:col>4</xdr:col>
          <xdr:colOff>295275</xdr:colOff>
          <xdr:row>115</xdr:row>
          <xdr:rowOff>47625</xdr:rowOff>
        </xdr:to>
        <xdr:sp macro="" textlink="">
          <xdr:nvSpPr>
            <xdr:cNvPr id="13146894" name="Check Box 1806" hidden="1">
              <a:extLst>
                <a:ext uri="{63B3BB69-23CF-44E3-9099-C40C66FF867C}">
                  <a14:compatExt spid="_x0000_s13146894"/>
                </a:ext>
                <a:ext uri="{FF2B5EF4-FFF2-40B4-BE49-F238E27FC236}">
                  <a16:creationId xmlns:a16="http://schemas.microsoft.com/office/drawing/2014/main" id="{00000000-0008-0000-0200-00000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113</xdr:row>
          <xdr:rowOff>0</xdr:rowOff>
        </xdr:from>
        <xdr:to>
          <xdr:col>9</xdr:col>
          <xdr:colOff>295275</xdr:colOff>
          <xdr:row>114</xdr:row>
          <xdr:rowOff>47625</xdr:rowOff>
        </xdr:to>
        <xdr:sp macro="" textlink="">
          <xdr:nvSpPr>
            <xdr:cNvPr id="13146895" name="Check Box 1807" hidden="1">
              <a:extLst>
                <a:ext uri="{63B3BB69-23CF-44E3-9099-C40C66FF867C}">
                  <a14:compatExt spid="_x0000_s13146895"/>
                </a:ext>
                <a:ext uri="{FF2B5EF4-FFF2-40B4-BE49-F238E27FC236}">
                  <a16:creationId xmlns:a16="http://schemas.microsoft.com/office/drawing/2014/main" id="{00000000-0008-0000-0200-00000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113</xdr:row>
          <xdr:rowOff>0</xdr:rowOff>
        </xdr:from>
        <xdr:to>
          <xdr:col>4</xdr:col>
          <xdr:colOff>295275</xdr:colOff>
          <xdr:row>114</xdr:row>
          <xdr:rowOff>47625</xdr:rowOff>
        </xdr:to>
        <xdr:sp macro="" textlink="">
          <xdr:nvSpPr>
            <xdr:cNvPr id="13146896" name="Check Box 1808" hidden="1">
              <a:extLst>
                <a:ext uri="{63B3BB69-23CF-44E3-9099-C40C66FF867C}">
                  <a14:compatExt spid="_x0000_s13146896"/>
                </a:ext>
                <a:ext uri="{FF2B5EF4-FFF2-40B4-BE49-F238E27FC236}">
                  <a16:creationId xmlns:a16="http://schemas.microsoft.com/office/drawing/2014/main" id="{00000000-0008-0000-0200-00001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112</xdr:row>
          <xdr:rowOff>0</xdr:rowOff>
        </xdr:from>
        <xdr:to>
          <xdr:col>9</xdr:col>
          <xdr:colOff>295275</xdr:colOff>
          <xdr:row>113</xdr:row>
          <xdr:rowOff>47625</xdr:rowOff>
        </xdr:to>
        <xdr:sp macro="" textlink="">
          <xdr:nvSpPr>
            <xdr:cNvPr id="13146899" name="Check Box 1811" hidden="1">
              <a:extLst>
                <a:ext uri="{63B3BB69-23CF-44E3-9099-C40C66FF867C}">
                  <a14:compatExt spid="_x0000_s13146899"/>
                </a:ext>
                <a:ext uri="{FF2B5EF4-FFF2-40B4-BE49-F238E27FC236}">
                  <a16:creationId xmlns:a16="http://schemas.microsoft.com/office/drawing/2014/main" id="{00000000-0008-0000-0200-00001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112</xdr:row>
          <xdr:rowOff>0</xdr:rowOff>
        </xdr:from>
        <xdr:to>
          <xdr:col>4</xdr:col>
          <xdr:colOff>295275</xdr:colOff>
          <xdr:row>113</xdr:row>
          <xdr:rowOff>47625</xdr:rowOff>
        </xdr:to>
        <xdr:sp macro="" textlink="">
          <xdr:nvSpPr>
            <xdr:cNvPr id="13146900" name="Check Box 1812" hidden="1">
              <a:extLst>
                <a:ext uri="{63B3BB69-23CF-44E3-9099-C40C66FF867C}">
                  <a14:compatExt spid="_x0000_s13146900"/>
                </a:ext>
                <a:ext uri="{FF2B5EF4-FFF2-40B4-BE49-F238E27FC236}">
                  <a16:creationId xmlns:a16="http://schemas.microsoft.com/office/drawing/2014/main" id="{00000000-0008-0000-0200-00001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111</xdr:row>
          <xdr:rowOff>0</xdr:rowOff>
        </xdr:from>
        <xdr:to>
          <xdr:col>9</xdr:col>
          <xdr:colOff>295275</xdr:colOff>
          <xdr:row>112</xdr:row>
          <xdr:rowOff>47625</xdr:rowOff>
        </xdr:to>
        <xdr:sp macro="" textlink="">
          <xdr:nvSpPr>
            <xdr:cNvPr id="13146901" name="Check Box 1813" hidden="1">
              <a:extLst>
                <a:ext uri="{63B3BB69-23CF-44E3-9099-C40C66FF867C}">
                  <a14:compatExt spid="_x0000_s13146901"/>
                </a:ext>
                <a:ext uri="{FF2B5EF4-FFF2-40B4-BE49-F238E27FC236}">
                  <a16:creationId xmlns:a16="http://schemas.microsoft.com/office/drawing/2014/main" id="{00000000-0008-0000-0200-00001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111</xdr:row>
          <xdr:rowOff>0</xdr:rowOff>
        </xdr:from>
        <xdr:to>
          <xdr:col>4</xdr:col>
          <xdr:colOff>295275</xdr:colOff>
          <xdr:row>112</xdr:row>
          <xdr:rowOff>47625</xdr:rowOff>
        </xdr:to>
        <xdr:sp macro="" textlink="">
          <xdr:nvSpPr>
            <xdr:cNvPr id="13146902" name="Check Box 1814" hidden="1">
              <a:extLst>
                <a:ext uri="{63B3BB69-23CF-44E3-9099-C40C66FF867C}">
                  <a14:compatExt spid="_x0000_s13146902"/>
                </a:ext>
                <a:ext uri="{FF2B5EF4-FFF2-40B4-BE49-F238E27FC236}">
                  <a16:creationId xmlns:a16="http://schemas.microsoft.com/office/drawing/2014/main" id="{00000000-0008-0000-0200-00001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110</xdr:row>
          <xdr:rowOff>0</xdr:rowOff>
        </xdr:from>
        <xdr:to>
          <xdr:col>9</xdr:col>
          <xdr:colOff>295275</xdr:colOff>
          <xdr:row>111</xdr:row>
          <xdr:rowOff>47625</xdr:rowOff>
        </xdr:to>
        <xdr:sp macro="" textlink="">
          <xdr:nvSpPr>
            <xdr:cNvPr id="13146907" name="Check Box 1819" hidden="1">
              <a:extLst>
                <a:ext uri="{63B3BB69-23CF-44E3-9099-C40C66FF867C}">
                  <a14:compatExt spid="_x0000_s13146907"/>
                </a:ext>
                <a:ext uri="{FF2B5EF4-FFF2-40B4-BE49-F238E27FC236}">
                  <a16:creationId xmlns:a16="http://schemas.microsoft.com/office/drawing/2014/main" id="{00000000-0008-0000-0200-00001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4</xdr:col>
          <xdr:colOff>295275</xdr:colOff>
          <xdr:row>111</xdr:row>
          <xdr:rowOff>47625</xdr:rowOff>
        </xdr:to>
        <xdr:sp macro="" textlink="">
          <xdr:nvSpPr>
            <xdr:cNvPr id="13146908" name="Check Box 1820" hidden="1">
              <a:extLst>
                <a:ext uri="{63B3BB69-23CF-44E3-9099-C40C66FF867C}">
                  <a14:compatExt spid="_x0000_s13146908"/>
                </a:ext>
                <a:ext uri="{FF2B5EF4-FFF2-40B4-BE49-F238E27FC236}">
                  <a16:creationId xmlns:a16="http://schemas.microsoft.com/office/drawing/2014/main" id="{00000000-0008-0000-0200-00001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109</xdr:row>
          <xdr:rowOff>0</xdr:rowOff>
        </xdr:from>
        <xdr:to>
          <xdr:col>9</xdr:col>
          <xdr:colOff>295275</xdr:colOff>
          <xdr:row>110</xdr:row>
          <xdr:rowOff>47625</xdr:rowOff>
        </xdr:to>
        <xdr:sp macro="" textlink="">
          <xdr:nvSpPr>
            <xdr:cNvPr id="13146911" name="Check Box 1823" hidden="1">
              <a:extLst>
                <a:ext uri="{63B3BB69-23CF-44E3-9099-C40C66FF867C}">
                  <a14:compatExt spid="_x0000_s13146911"/>
                </a:ext>
                <a:ext uri="{FF2B5EF4-FFF2-40B4-BE49-F238E27FC236}">
                  <a16:creationId xmlns:a16="http://schemas.microsoft.com/office/drawing/2014/main" id="{00000000-0008-0000-0200-00001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4</xdr:col>
          <xdr:colOff>295275</xdr:colOff>
          <xdr:row>110</xdr:row>
          <xdr:rowOff>47625</xdr:rowOff>
        </xdr:to>
        <xdr:sp macro="" textlink="">
          <xdr:nvSpPr>
            <xdr:cNvPr id="13146912" name="Check Box 1824" hidden="1">
              <a:extLst>
                <a:ext uri="{63B3BB69-23CF-44E3-9099-C40C66FF867C}">
                  <a14:compatExt spid="_x0000_s13146912"/>
                </a:ext>
                <a:ext uri="{FF2B5EF4-FFF2-40B4-BE49-F238E27FC236}">
                  <a16:creationId xmlns:a16="http://schemas.microsoft.com/office/drawing/2014/main" id="{00000000-0008-0000-0200-00002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108</xdr:row>
          <xdr:rowOff>0</xdr:rowOff>
        </xdr:from>
        <xdr:to>
          <xdr:col>9</xdr:col>
          <xdr:colOff>295275</xdr:colOff>
          <xdr:row>109</xdr:row>
          <xdr:rowOff>47625</xdr:rowOff>
        </xdr:to>
        <xdr:sp macro="" textlink="">
          <xdr:nvSpPr>
            <xdr:cNvPr id="13146913" name="Check Box 1825" hidden="1">
              <a:extLst>
                <a:ext uri="{63B3BB69-23CF-44E3-9099-C40C66FF867C}">
                  <a14:compatExt spid="_x0000_s13146913"/>
                </a:ext>
                <a:ext uri="{FF2B5EF4-FFF2-40B4-BE49-F238E27FC236}">
                  <a16:creationId xmlns:a16="http://schemas.microsoft.com/office/drawing/2014/main" id="{00000000-0008-0000-0200-00002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108</xdr:row>
          <xdr:rowOff>0</xdr:rowOff>
        </xdr:from>
        <xdr:to>
          <xdr:col>4</xdr:col>
          <xdr:colOff>295275</xdr:colOff>
          <xdr:row>109</xdr:row>
          <xdr:rowOff>47625</xdr:rowOff>
        </xdr:to>
        <xdr:sp macro="" textlink="">
          <xdr:nvSpPr>
            <xdr:cNvPr id="13146914" name="Check Box 1826" hidden="1">
              <a:extLst>
                <a:ext uri="{63B3BB69-23CF-44E3-9099-C40C66FF867C}">
                  <a14:compatExt spid="_x0000_s13146914"/>
                </a:ext>
                <a:ext uri="{FF2B5EF4-FFF2-40B4-BE49-F238E27FC236}">
                  <a16:creationId xmlns:a16="http://schemas.microsoft.com/office/drawing/2014/main" id="{00000000-0008-0000-0200-00002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107</xdr:row>
          <xdr:rowOff>0</xdr:rowOff>
        </xdr:from>
        <xdr:to>
          <xdr:col>9</xdr:col>
          <xdr:colOff>295275</xdr:colOff>
          <xdr:row>108</xdr:row>
          <xdr:rowOff>47625</xdr:rowOff>
        </xdr:to>
        <xdr:sp macro="" textlink="">
          <xdr:nvSpPr>
            <xdr:cNvPr id="13146917" name="Check Box 1829" hidden="1">
              <a:extLst>
                <a:ext uri="{63B3BB69-23CF-44E3-9099-C40C66FF867C}">
                  <a14:compatExt spid="_x0000_s13146917"/>
                </a:ext>
                <a:ext uri="{FF2B5EF4-FFF2-40B4-BE49-F238E27FC236}">
                  <a16:creationId xmlns:a16="http://schemas.microsoft.com/office/drawing/2014/main" id="{00000000-0008-0000-0200-00002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295275</xdr:colOff>
          <xdr:row>108</xdr:row>
          <xdr:rowOff>47625</xdr:rowOff>
        </xdr:to>
        <xdr:sp macro="" textlink="">
          <xdr:nvSpPr>
            <xdr:cNvPr id="13146918" name="Check Box 1830" hidden="1">
              <a:extLst>
                <a:ext uri="{63B3BB69-23CF-44E3-9099-C40C66FF867C}">
                  <a14:compatExt spid="_x0000_s13146918"/>
                </a:ext>
                <a:ext uri="{FF2B5EF4-FFF2-40B4-BE49-F238E27FC236}">
                  <a16:creationId xmlns:a16="http://schemas.microsoft.com/office/drawing/2014/main" id="{00000000-0008-0000-0200-00002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9</xdr:col>
          <xdr:colOff>295275</xdr:colOff>
          <xdr:row>107</xdr:row>
          <xdr:rowOff>47625</xdr:rowOff>
        </xdr:to>
        <xdr:sp macro="" textlink="">
          <xdr:nvSpPr>
            <xdr:cNvPr id="13146919" name="Check Box 1831" hidden="1">
              <a:extLst>
                <a:ext uri="{63B3BB69-23CF-44E3-9099-C40C66FF867C}">
                  <a14:compatExt spid="_x0000_s13146919"/>
                </a:ext>
                <a:ext uri="{FF2B5EF4-FFF2-40B4-BE49-F238E27FC236}">
                  <a16:creationId xmlns:a16="http://schemas.microsoft.com/office/drawing/2014/main" id="{00000000-0008-0000-0200-00002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295275</xdr:colOff>
          <xdr:row>107</xdr:row>
          <xdr:rowOff>47625</xdr:rowOff>
        </xdr:to>
        <xdr:sp macro="" textlink="">
          <xdr:nvSpPr>
            <xdr:cNvPr id="13146920" name="Check Box 1832" hidden="1">
              <a:extLst>
                <a:ext uri="{63B3BB69-23CF-44E3-9099-C40C66FF867C}">
                  <a14:compatExt spid="_x0000_s13146920"/>
                </a:ext>
                <a:ext uri="{FF2B5EF4-FFF2-40B4-BE49-F238E27FC236}">
                  <a16:creationId xmlns:a16="http://schemas.microsoft.com/office/drawing/2014/main" id="{00000000-0008-0000-0200-00002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105</xdr:row>
          <xdr:rowOff>0</xdr:rowOff>
        </xdr:from>
        <xdr:to>
          <xdr:col>9</xdr:col>
          <xdr:colOff>295275</xdr:colOff>
          <xdr:row>106</xdr:row>
          <xdr:rowOff>47625</xdr:rowOff>
        </xdr:to>
        <xdr:sp macro="" textlink="">
          <xdr:nvSpPr>
            <xdr:cNvPr id="13146925" name="Check Box 1837" hidden="1">
              <a:extLst>
                <a:ext uri="{63B3BB69-23CF-44E3-9099-C40C66FF867C}">
                  <a14:compatExt spid="_x0000_s13146925"/>
                </a:ext>
                <a:ext uri="{FF2B5EF4-FFF2-40B4-BE49-F238E27FC236}">
                  <a16:creationId xmlns:a16="http://schemas.microsoft.com/office/drawing/2014/main" id="{00000000-0008-0000-0200-00002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295275</xdr:colOff>
          <xdr:row>106</xdr:row>
          <xdr:rowOff>47625</xdr:rowOff>
        </xdr:to>
        <xdr:sp macro="" textlink="">
          <xdr:nvSpPr>
            <xdr:cNvPr id="13146926" name="Check Box 1838" hidden="1">
              <a:extLst>
                <a:ext uri="{63B3BB69-23CF-44E3-9099-C40C66FF867C}">
                  <a14:compatExt spid="_x0000_s13146926"/>
                </a:ext>
                <a:ext uri="{FF2B5EF4-FFF2-40B4-BE49-F238E27FC236}">
                  <a16:creationId xmlns:a16="http://schemas.microsoft.com/office/drawing/2014/main" id="{00000000-0008-0000-0200-00002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104</xdr:row>
          <xdr:rowOff>0</xdr:rowOff>
        </xdr:from>
        <xdr:to>
          <xdr:col>9</xdr:col>
          <xdr:colOff>295275</xdr:colOff>
          <xdr:row>105</xdr:row>
          <xdr:rowOff>47625</xdr:rowOff>
        </xdr:to>
        <xdr:sp macro="" textlink="">
          <xdr:nvSpPr>
            <xdr:cNvPr id="13146927" name="Check Box 1839" hidden="1">
              <a:extLst>
                <a:ext uri="{63B3BB69-23CF-44E3-9099-C40C66FF867C}">
                  <a14:compatExt spid="_x0000_s13146927"/>
                </a:ext>
                <a:ext uri="{FF2B5EF4-FFF2-40B4-BE49-F238E27FC236}">
                  <a16:creationId xmlns:a16="http://schemas.microsoft.com/office/drawing/2014/main" id="{00000000-0008-0000-0200-00002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4</xdr:col>
          <xdr:colOff>295275</xdr:colOff>
          <xdr:row>105</xdr:row>
          <xdr:rowOff>47625</xdr:rowOff>
        </xdr:to>
        <xdr:sp macro="" textlink="">
          <xdr:nvSpPr>
            <xdr:cNvPr id="13146928" name="Check Box 1840" hidden="1">
              <a:extLst>
                <a:ext uri="{63B3BB69-23CF-44E3-9099-C40C66FF867C}">
                  <a14:compatExt spid="_x0000_s13146928"/>
                </a:ext>
                <a:ext uri="{FF2B5EF4-FFF2-40B4-BE49-F238E27FC236}">
                  <a16:creationId xmlns:a16="http://schemas.microsoft.com/office/drawing/2014/main" id="{00000000-0008-0000-0200-00003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103</xdr:row>
          <xdr:rowOff>0</xdr:rowOff>
        </xdr:from>
        <xdr:to>
          <xdr:col>9</xdr:col>
          <xdr:colOff>295275</xdr:colOff>
          <xdr:row>104</xdr:row>
          <xdr:rowOff>47625</xdr:rowOff>
        </xdr:to>
        <xdr:sp macro="" textlink="">
          <xdr:nvSpPr>
            <xdr:cNvPr id="13146931" name="Check Box 1843" hidden="1">
              <a:extLst>
                <a:ext uri="{63B3BB69-23CF-44E3-9099-C40C66FF867C}">
                  <a14:compatExt spid="_x0000_s13146931"/>
                </a:ext>
                <a:ext uri="{FF2B5EF4-FFF2-40B4-BE49-F238E27FC236}">
                  <a16:creationId xmlns:a16="http://schemas.microsoft.com/office/drawing/2014/main" id="{00000000-0008-0000-0200-00003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103</xdr:row>
          <xdr:rowOff>0</xdr:rowOff>
        </xdr:from>
        <xdr:to>
          <xdr:col>4</xdr:col>
          <xdr:colOff>295275</xdr:colOff>
          <xdr:row>104</xdr:row>
          <xdr:rowOff>47625</xdr:rowOff>
        </xdr:to>
        <xdr:sp macro="" textlink="">
          <xdr:nvSpPr>
            <xdr:cNvPr id="13146932" name="Check Box 1844" hidden="1">
              <a:extLst>
                <a:ext uri="{63B3BB69-23CF-44E3-9099-C40C66FF867C}">
                  <a14:compatExt spid="_x0000_s13146932"/>
                </a:ext>
                <a:ext uri="{FF2B5EF4-FFF2-40B4-BE49-F238E27FC236}">
                  <a16:creationId xmlns:a16="http://schemas.microsoft.com/office/drawing/2014/main" id="{00000000-0008-0000-0200-00003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102</xdr:row>
          <xdr:rowOff>0</xdr:rowOff>
        </xdr:from>
        <xdr:to>
          <xdr:col>9</xdr:col>
          <xdr:colOff>295275</xdr:colOff>
          <xdr:row>103</xdr:row>
          <xdr:rowOff>47625</xdr:rowOff>
        </xdr:to>
        <xdr:sp macro="" textlink="">
          <xdr:nvSpPr>
            <xdr:cNvPr id="13146933" name="Check Box 1845" hidden="1">
              <a:extLst>
                <a:ext uri="{63B3BB69-23CF-44E3-9099-C40C66FF867C}">
                  <a14:compatExt spid="_x0000_s13146933"/>
                </a:ext>
                <a:ext uri="{FF2B5EF4-FFF2-40B4-BE49-F238E27FC236}">
                  <a16:creationId xmlns:a16="http://schemas.microsoft.com/office/drawing/2014/main" id="{00000000-0008-0000-0200-00003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295275</xdr:colOff>
          <xdr:row>103</xdr:row>
          <xdr:rowOff>47625</xdr:rowOff>
        </xdr:to>
        <xdr:sp macro="" textlink="">
          <xdr:nvSpPr>
            <xdr:cNvPr id="13146934" name="Check Box 1846" hidden="1">
              <a:extLst>
                <a:ext uri="{63B3BB69-23CF-44E3-9099-C40C66FF867C}">
                  <a14:compatExt spid="_x0000_s13146934"/>
                </a:ext>
                <a:ext uri="{FF2B5EF4-FFF2-40B4-BE49-F238E27FC236}">
                  <a16:creationId xmlns:a16="http://schemas.microsoft.com/office/drawing/2014/main" id="{00000000-0008-0000-0200-00003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101</xdr:row>
          <xdr:rowOff>0</xdr:rowOff>
        </xdr:from>
        <xdr:to>
          <xdr:col>9</xdr:col>
          <xdr:colOff>295275</xdr:colOff>
          <xdr:row>102</xdr:row>
          <xdr:rowOff>47625</xdr:rowOff>
        </xdr:to>
        <xdr:sp macro="" textlink="">
          <xdr:nvSpPr>
            <xdr:cNvPr id="13146941" name="Check Box 1853" hidden="1">
              <a:extLst>
                <a:ext uri="{63B3BB69-23CF-44E3-9099-C40C66FF867C}">
                  <a14:compatExt spid="_x0000_s13146941"/>
                </a:ext>
                <a:ext uri="{FF2B5EF4-FFF2-40B4-BE49-F238E27FC236}">
                  <a16:creationId xmlns:a16="http://schemas.microsoft.com/office/drawing/2014/main" id="{00000000-0008-0000-0200-00003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295275</xdr:colOff>
          <xdr:row>102</xdr:row>
          <xdr:rowOff>47625</xdr:rowOff>
        </xdr:to>
        <xdr:sp macro="" textlink="">
          <xdr:nvSpPr>
            <xdr:cNvPr id="13146942" name="Check Box 1854" hidden="1">
              <a:extLst>
                <a:ext uri="{63B3BB69-23CF-44E3-9099-C40C66FF867C}">
                  <a14:compatExt spid="_x0000_s13146942"/>
                </a:ext>
                <a:ext uri="{FF2B5EF4-FFF2-40B4-BE49-F238E27FC236}">
                  <a16:creationId xmlns:a16="http://schemas.microsoft.com/office/drawing/2014/main" id="{00000000-0008-0000-0200-00003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100</xdr:row>
          <xdr:rowOff>0</xdr:rowOff>
        </xdr:from>
        <xdr:to>
          <xdr:col>9</xdr:col>
          <xdr:colOff>295275</xdr:colOff>
          <xdr:row>101</xdr:row>
          <xdr:rowOff>47625</xdr:rowOff>
        </xdr:to>
        <xdr:sp macro="" textlink="">
          <xdr:nvSpPr>
            <xdr:cNvPr id="13146943" name="Check Box 1855" hidden="1">
              <a:extLst>
                <a:ext uri="{63B3BB69-23CF-44E3-9099-C40C66FF867C}">
                  <a14:compatExt spid="_x0000_s13146943"/>
                </a:ext>
                <a:ext uri="{FF2B5EF4-FFF2-40B4-BE49-F238E27FC236}">
                  <a16:creationId xmlns:a16="http://schemas.microsoft.com/office/drawing/2014/main" id="{00000000-0008-0000-0200-00003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295275</xdr:colOff>
          <xdr:row>101</xdr:row>
          <xdr:rowOff>47625</xdr:rowOff>
        </xdr:to>
        <xdr:sp macro="" textlink="">
          <xdr:nvSpPr>
            <xdr:cNvPr id="13146944" name="Check Box 1856" hidden="1">
              <a:extLst>
                <a:ext uri="{63B3BB69-23CF-44E3-9099-C40C66FF867C}">
                  <a14:compatExt spid="_x0000_s13146944"/>
                </a:ext>
                <a:ext uri="{FF2B5EF4-FFF2-40B4-BE49-F238E27FC236}">
                  <a16:creationId xmlns:a16="http://schemas.microsoft.com/office/drawing/2014/main" id="{00000000-0008-0000-0200-00004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99</xdr:row>
          <xdr:rowOff>0</xdr:rowOff>
        </xdr:from>
        <xdr:to>
          <xdr:col>9</xdr:col>
          <xdr:colOff>295275</xdr:colOff>
          <xdr:row>100</xdr:row>
          <xdr:rowOff>47625</xdr:rowOff>
        </xdr:to>
        <xdr:sp macro="" textlink="">
          <xdr:nvSpPr>
            <xdr:cNvPr id="13146947" name="Check Box 1859" hidden="1">
              <a:extLst>
                <a:ext uri="{63B3BB69-23CF-44E3-9099-C40C66FF867C}">
                  <a14:compatExt spid="_x0000_s13146947"/>
                </a:ext>
                <a:ext uri="{FF2B5EF4-FFF2-40B4-BE49-F238E27FC236}">
                  <a16:creationId xmlns:a16="http://schemas.microsoft.com/office/drawing/2014/main" id="{00000000-0008-0000-0200-00004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295275</xdr:colOff>
          <xdr:row>100</xdr:row>
          <xdr:rowOff>47625</xdr:rowOff>
        </xdr:to>
        <xdr:sp macro="" textlink="">
          <xdr:nvSpPr>
            <xdr:cNvPr id="13146948" name="Check Box 1860" hidden="1">
              <a:extLst>
                <a:ext uri="{63B3BB69-23CF-44E3-9099-C40C66FF867C}">
                  <a14:compatExt spid="_x0000_s13146948"/>
                </a:ext>
                <a:ext uri="{FF2B5EF4-FFF2-40B4-BE49-F238E27FC236}">
                  <a16:creationId xmlns:a16="http://schemas.microsoft.com/office/drawing/2014/main" id="{00000000-0008-0000-0200-00004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98</xdr:row>
          <xdr:rowOff>0</xdr:rowOff>
        </xdr:from>
        <xdr:to>
          <xdr:col>9</xdr:col>
          <xdr:colOff>295275</xdr:colOff>
          <xdr:row>99</xdr:row>
          <xdr:rowOff>47625</xdr:rowOff>
        </xdr:to>
        <xdr:sp macro="" textlink="">
          <xdr:nvSpPr>
            <xdr:cNvPr id="13146955" name="Check Box 1867" hidden="1">
              <a:extLst>
                <a:ext uri="{63B3BB69-23CF-44E3-9099-C40C66FF867C}">
                  <a14:compatExt spid="_x0000_s13146955"/>
                </a:ext>
                <a:ext uri="{FF2B5EF4-FFF2-40B4-BE49-F238E27FC236}">
                  <a16:creationId xmlns:a16="http://schemas.microsoft.com/office/drawing/2014/main" id="{00000000-0008-0000-0200-00004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98</xdr:row>
          <xdr:rowOff>0</xdr:rowOff>
        </xdr:from>
        <xdr:to>
          <xdr:col>4</xdr:col>
          <xdr:colOff>295275</xdr:colOff>
          <xdr:row>99</xdr:row>
          <xdr:rowOff>47625</xdr:rowOff>
        </xdr:to>
        <xdr:sp macro="" textlink="">
          <xdr:nvSpPr>
            <xdr:cNvPr id="13146956" name="Check Box 1868" hidden="1">
              <a:extLst>
                <a:ext uri="{63B3BB69-23CF-44E3-9099-C40C66FF867C}">
                  <a14:compatExt spid="_x0000_s13146956"/>
                </a:ext>
                <a:ext uri="{FF2B5EF4-FFF2-40B4-BE49-F238E27FC236}">
                  <a16:creationId xmlns:a16="http://schemas.microsoft.com/office/drawing/2014/main" id="{00000000-0008-0000-0200-00004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97</xdr:row>
          <xdr:rowOff>0</xdr:rowOff>
        </xdr:from>
        <xdr:to>
          <xdr:col>9</xdr:col>
          <xdr:colOff>295275</xdr:colOff>
          <xdr:row>98</xdr:row>
          <xdr:rowOff>47625</xdr:rowOff>
        </xdr:to>
        <xdr:sp macro="" textlink="">
          <xdr:nvSpPr>
            <xdr:cNvPr id="13146961" name="Check Box 1873" hidden="1">
              <a:extLst>
                <a:ext uri="{63B3BB69-23CF-44E3-9099-C40C66FF867C}">
                  <a14:compatExt spid="_x0000_s13146961"/>
                </a:ext>
                <a:ext uri="{FF2B5EF4-FFF2-40B4-BE49-F238E27FC236}">
                  <a16:creationId xmlns:a16="http://schemas.microsoft.com/office/drawing/2014/main" id="{00000000-0008-0000-0200-00005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97</xdr:row>
          <xdr:rowOff>0</xdr:rowOff>
        </xdr:from>
        <xdr:to>
          <xdr:col>4</xdr:col>
          <xdr:colOff>295275</xdr:colOff>
          <xdr:row>98</xdr:row>
          <xdr:rowOff>47625</xdr:rowOff>
        </xdr:to>
        <xdr:sp macro="" textlink="">
          <xdr:nvSpPr>
            <xdr:cNvPr id="13146962" name="Check Box 1874" hidden="1">
              <a:extLst>
                <a:ext uri="{63B3BB69-23CF-44E3-9099-C40C66FF867C}">
                  <a14:compatExt spid="_x0000_s13146962"/>
                </a:ext>
                <a:ext uri="{FF2B5EF4-FFF2-40B4-BE49-F238E27FC236}">
                  <a16:creationId xmlns:a16="http://schemas.microsoft.com/office/drawing/2014/main" id="{00000000-0008-0000-0200-00005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96</xdr:row>
          <xdr:rowOff>0</xdr:rowOff>
        </xdr:from>
        <xdr:to>
          <xdr:col>9</xdr:col>
          <xdr:colOff>295275</xdr:colOff>
          <xdr:row>97</xdr:row>
          <xdr:rowOff>47625</xdr:rowOff>
        </xdr:to>
        <xdr:sp macro="" textlink="">
          <xdr:nvSpPr>
            <xdr:cNvPr id="13146963" name="Check Box 1875" hidden="1">
              <a:extLst>
                <a:ext uri="{63B3BB69-23CF-44E3-9099-C40C66FF867C}">
                  <a14:compatExt spid="_x0000_s13146963"/>
                </a:ext>
                <a:ext uri="{FF2B5EF4-FFF2-40B4-BE49-F238E27FC236}">
                  <a16:creationId xmlns:a16="http://schemas.microsoft.com/office/drawing/2014/main" id="{00000000-0008-0000-0200-00005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295275</xdr:colOff>
          <xdr:row>97</xdr:row>
          <xdr:rowOff>47625</xdr:rowOff>
        </xdr:to>
        <xdr:sp macro="" textlink="">
          <xdr:nvSpPr>
            <xdr:cNvPr id="13146964" name="Check Box 1876" hidden="1">
              <a:extLst>
                <a:ext uri="{63B3BB69-23CF-44E3-9099-C40C66FF867C}">
                  <a14:compatExt spid="_x0000_s13146964"/>
                </a:ext>
                <a:ext uri="{FF2B5EF4-FFF2-40B4-BE49-F238E27FC236}">
                  <a16:creationId xmlns:a16="http://schemas.microsoft.com/office/drawing/2014/main" id="{00000000-0008-0000-0200-00005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95</xdr:row>
          <xdr:rowOff>0</xdr:rowOff>
        </xdr:from>
        <xdr:to>
          <xdr:col>9</xdr:col>
          <xdr:colOff>295275</xdr:colOff>
          <xdr:row>96</xdr:row>
          <xdr:rowOff>47625</xdr:rowOff>
        </xdr:to>
        <xdr:sp macro="" textlink="">
          <xdr:nvSpPr>
            <xdr:cNvPr id="13146967" name="Check Box 1879" hidden="1">
              <a:extLst>
                <a:ext uri="{63B3BB69-23CF-44E3-9099-C40C66FF867C}">
                  <a14:compatExt spid="_x0000_s13146967"/>
                </a:ext>
                <a:ext uri="{FF2B5EF4-FFF2-40B4-BE49-F238E27FC236}">
                  <a16:creationId xmlns:a16="http://schemas.microsoft.com/office/drawing/2014/main" id="{00000000-0008-0000-0200-00005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295275</xdr:colOff>
          <xdr:row>96</xdr:row>
          <xdr:rowOff>47625</xdr:rowOff>
        </xdr:to>
        <xdr:sp macro="" textlink="">
          <xdr:nvSpPr>
            <xdr:cNvPr id="13146968" name="Check Box 1880" hidden="1">
              <a:extLst>
                <a:ext uri="{63B3BB69-23CF-44E3-9099-C40C66FF867C}">
                  <a14:compatExt spid="_x0000_s13146968"/>
                </a:ext>
                <a:ext uri="{FF2B5EF4-FFF2-40B4-BE49-F238E27FC236}">
                  <a16:creationId xmlns:a16="http://schemas.microsoft.com/office/drawing/2014/main" id="{00000000-0008-0000-0200-00005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94</xdr:row>
          <xdr:rowOff>0</xdr:rowOff>
        </xdr:from>
        <xdr:to>
          <xdr:col>9</xdr:col>
          <xdr:colOff>295275</xdr:colOff>
          <xdr:row>95</xdr:row>
          <xdr:rowOff>47625</xdr:rowOff>
        </xdr:to>
        <xdr:sp macro="" textlink="">
          <xdr:nvSpPr>
            <xdr:cNvPr id="13146975" name="Check Box 1887" hidden="1">
              <a:extLst>
                <a:ext uri="{63B3BB69-23CF-44E3-9099-C40C66FF867C}">
                  <a14:compatExt spid="_x0000_s13146975"/>
                </a:ext>
                <a:ext uri="{FF2B5EF4-FFF2-40B4-BE49-F238E27FC236}">
                  <a16:creationId xmlns:a16="http://schemas.microsoft.com/office/drawing/2014/main" id="{00000000-0008-0000-0200-00005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295275</xdr:colOff>
          <xdr:row>95</xdr:row>
          <xdr:rowOff>47625</xdr:rowOff>
        </xdr:to>
        <xdr:sp macro="" textlink="">
          <xdr:nvSpPr>
            <xdr:cNvPr id="13146976" name="Check Box 1888" hidden="1">
              <a:extLst>
                <a:ext uri="{63B3BB69-23CF-44E3-9099-C40C66FF867C}">
                  <a14:compatExt spid="_x0000_s13146976"/>
                </a:ext>
                <a:ext uri="{FF2B5EF4-FFF2-40B4-BE49-F238E27FC236}">
                  <a16:creationId xmlns:a16="http://schemas.microsoft.com/office/drawing/2014/main" id="{00000000-0008-0000-0200-00006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93</xdr:row>
          <xdr:rowOff>0</xdr:rowOff>
        </xdr:from>
        <xdr:to>
          <xdr:col>9</xdr:col>
          <xdr:colOff>295275</xdr:colOff>
          <xdr:row>94</xdr:row>
          <xdr:rowOff>47625</xdr:rowOff>
        </xdr:to>
        <xdr:sp macro="" textlink="">
          <xdr:nvSpPr>
            <xdr:cNvPr id="13146977" name="Check Box 1889" hidden="1">
              <a:extLst>
                <a:ext uri="{63B3BB69-23CF-44E3-9099-C40C66FF867C}">
                  <a14:compatExt spid="_x0000_s13146977"/>
                </a:ext>
                <a:ext uri="{FF2B5EF4-FFF2-40B4-BE49-F238E27FC236}">
                  <a16:creationId xmlns:a16="http://schemas.microsoft.com/office/drawing/2014/main" id="{00000000-0008-0000-0200-00006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295275</xdr:colOff>
          <xdr:row>94</xdr:row>
          <xdr:rowOff>47625</xdr:rowOff>
        </xdr:to>
        <xdr:sp macro="" textlink="">
          <xdr:nvSpPr>
            <xdr:cNvPr id="13146978" name="Check Box 1890" hidden="1">
              <a:extLst>
                <a:ext uri="{63B3BB69-23CF-44E3-9099-C40C66FF867C}">
                  <a14:compatExt spid="_x0000_s13146978"/>
                </a:ext>
                <a:ext uri="{FF2B5EF4-FFF2-40B4-BE49-F238E27FC236}">
                  <a16:creationId xmlns:a16="http://schemas.microsoft.com/office/drawing/2014/main" id="{00000000-0008-0000-0200-00006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92</xdr:row>
          <xdr:rowOff>0</xdr:rowOff>
        </xdr:from>
        <xdr:to>
          <xdr:col>9</xdr:col>
          <xdr:colOff>295275</xdr:colOff>
          <xdr:row>93</xdr:row>
          <xdr:rowOff>47625</xdr:rowOff>
        </xdr:to>
        <xdr:sp macro="" textlink="">
          <xdr:nvSpPr>
            <xdr:cNvPr id="13146979" name="Check Box 1891" hidden="1">
              <a:extLst>
                <a:ext uri="{63B3BB69-23CF-44E3-9099-C40C66FF867C}">
                  <a14:compatExt spid="_x0000_s13146979"/>
                </a:ext>
                <a:ext uri="{FF2B5EF4-FFF2-40B4-BE49-F238E27FC236}">
                  <a16:creationId xmlns:a16="http://schemas.microsoft.com/office/drawing/2014/main" id="{00000000-0008-0000-0200-00006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295275</xdr:colOff>
          <xdr:row>93</xdr:row>
          <xdr:rowOff>47625</xdr:rowOff>
        </xdr:to>
        <xdr:sp macro="" textlink="">
          <xdr:nvSpPr>
            <xdr:cNvPr id="13146980" name="Check Box 1892" hidden="1">
              <a:extLst>
                <a:ext uri="{63B3BB69-23CF-44E3-9099-C40C66FF867C}">
                  <a14:compatExt spid="_x0000_s13146980"/>
                </a:ext>
                <a:ext uri="{FF2B5EF4-FFF2-40B4-BE49-F238E27FC236}">
                  <a16:creationId xmlns:a16="http://schemas.microsoft.com/office/drawing/2014/main" id="{00000000-0008-0000-0200-00006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91</xdr:row>
          <xdr:rowOff>0</xdr:rowOff>
        </xdr:from>
        <xdr:to>
          <xdr:col>9</xdr:col>
          <xdr:colOff>295275</xdr:colOff>
          <xdr:row>92</xdr:row>
          <xdr:rowOff>47625</xdr:rowOff>
        </xdr:to>
        <xdr:sp macro="" textlink="">
          <xdr:nvSpPr>
            <xdr:cNvPr id="13146981" name="Check Box 1893" hidden="1">
              <a:extLst>
                <a:ext uri="{63B3BB69-23CF-44E3-9099-C40C66FF867C}">
                  <a14:compatExt spid="_x0000_s13146981"/>
                </a:ext>
                <a:ext uri="{FF2B5EF4-FFF2-40B4-BE49-F238E27FC236}">
                  <a16:creationId xmlns:a16="http://schemas.microsoft.com/office/drawing/2014/main" id="{00000000-0008-0000-0200-00006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295275</xdr:colOff>
          <xdr:row>92</xdr:row>
          <xdr:rowOff>47625</xdr:rowOff>
        </xdr:to>
        <xdr:sp macro="" textlink="">
          <xdr:nvSpPr>
            <xdr:cNvPr id="13146982" name="Check Box 1894" hidden="1">
              <a:extLst>
                <a:ext uri="{63B3BB69-23CF-44E3-9099-C40C66FF867C}">
                  <a14:compatExt spid="_x0000_s13146982"/>
                </a:ext>
                <a:ext uri="{FF2B5EF4-FFF2-40B4-BE49-F238E27FC236}">
                  <a16:creationId xmlns:a16="http://schemas.microsoft.com/office/drawing/2014/main" id="{00000000-0008-0000-0200-00006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90</xdr:row>
          <xdr:rowOff>0</xdr:rowOff>
        </xdr:from>
        <xdr:to>
          <xdr:col>9</xdr:col>
          <xdr:colOff>295275</xdr:colOff>
          <xdr:row>91</xdr:row>
          <xdr:rowOff>47625</xdr:rowOff>
        </xdr:to>
        <xdr:sp macro="" textlink="">
          <xdr:nvSpPr>
            <xdr:cNvPr id="13146985" name="Check Box 1897" hidden="1">
              <a:extLst>
                <a:ext uri="{63B3BB69-23CF-44E3-9099-C40C66FF867C}">
                  <a14:compatExt spid="_x0000_s13146985"/>
                </a:ext>
                <a:ext uri="{FF2B5EF4-FFF2-40B4-BE49-F238E27FC236}">
                  <a16:creationId xmlns:a16="http://schemas.microsoft.com/office/drawing/2014/main" id="{00000000-0008-0000-0200-00006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295275</xdr:colOff>
          <xdr:row>91</xdr:row>
          <xdr:rowOff>47625</xdr:rowOff>
        </xdr:to>
        <xdr:sp macro="" textlink="">
          <xdr:nvSpPr>
            <xdr:cNvPr id="13146986" name="Check Box 1898" hidden="1">
              <a:extLst>
                <a:ext uri="{63B3BB69-23CF-44E3-9099-C40C66FF867C}">
                  <a14:compatExt spid="_x0000_s13146986"/>
                </a:ext>
                <a:ext uri="{FF2B5EF4-FFF2-40B4-BE49-F238E27FC236}">
                  <a16:creationId xmlns:a16="http://schemas.microsoft.com/office/drawing/2014/main" id="{00000000-0008-0000-0200-00006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89</xdr:row>
          <xdr:rowOff>0</xdr:rowOff>
        </xdr:from>
        <xdr:to>
          <xdr:col>9</xdr:col>
          <xdr:colOff>295275</xdr:colOff>
          <xdr:row>90</xdr:row>
          <xdr:rowOff>47625</xdr:rowOff>
        </xdr:to>
        <xdr:sp macro="" textlink="">
          <xdr:nvSpPr>
            <xdr:cNvPr id="13146987" name="Check Box 1899" hidden="1">
              <a:extLst>
                <a:ext uri="{63B3BB69-23CF-44E3-9099-C40C66FF867C}">
                  <a14:compatExt spid="_x0000_s13146987"/>
                </a:ext>
                <a:ext uri="{FF2B5EF4-FFF2-40B4-BE49-F238E27FC236}">
                  <a16:creationId xmlns:a16="http://schemas.microsoft.com/office/drawing/2014/main" id="{00000000-0008-0000-0200-00006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295275</xdr:colOff>
          <xdr:row>90</xdr:row>
          <xdr:rowOff>47625</xdr:rowOff>
        </xdr:to>
        <xdr:sp macro="" textlink="">
          <xdr:nvSpPr>
            <xdr:cNvPr id="13146988" name="Check Box 1900" hidden="1">
              <a:extLst>
                <a:ext uri="{63B3BB69-23CF-44E3-9099-C40C66FF867C}">
                  <a14:compatExt spid="_x0000_s13146988"/>
                </a:ext>
                <a:ext uri="{FF2B5EF4-FFF2-40B4-BE49-F238E27FC236}">
                  <a16:creationId xmlns:a16="http://schemas.microsoft.com/office/drawing/2014/main" id="{00000000-0008-0000-0200-00006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88</xdr:row>
          <xdr:rowOff>0</xdr:rowOff>
        </xdr:from>
        <xdr:to>
          <xdr:col>9</xdr:col>
          <xdr:colOff>295275</xdr:colOff>
          <xdr:row>89</xdr:row>
          <xdr:rowOff>47625</xdr:rowOff>
        </xdr:to>
        <xdr:sp macro="" textlink="">
          <xdr:nvSpPr>
            <xdr:cNvPr id="13146989" name="Check Box 1901" hidden="1">
              <a:extLst>
                <a:ext uri="{63B3BB69-23CF-44E3-9099-C40C66FF867C}">
                  <a14:compatExt spid="_x0000_s13146989"/>
                </a:ext>
                <a:ext uri="{FF2B5EF4-FFF2-40B4-BE49-F238E27FC236}">
                  <a16:creationId xmlns:a16="http://schemas.microsoft.com/office/drawing/2014/main" id="{00000000-0008-0000-0200-00006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295275</xdr:colOff>
          <xdr:row>89</xdr:row>
          <xdr:rowOff>47625</xdr:rowOff>
        </xdr:to>
        <xdr:sp macro="" textlink="">
          <xdr:nvSpPr>
            <xdr:cNvPr id="13146990" name="Check Box 1902" hidden="1">
              <a:extLst>
                <a:ext uri="{63B3BB69-23CF-44E3-9099-C40C66FF867C}">
                  <a14:compatExt spid="_x0000_s13146990"/>
                </a:ext>
                <a:ext uri="{FF2B5EF4-FFF2-40B4-BE49-F238E27FC236}">
                  <a16:creationId xmlns:a16="http://schemas.microsoft.com/office/drawing/2014/main" id="{00000000-0008-0000-0200-00006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87</xdr:row>
          <xdr:rowOff>0</xdr:rowOff>
        </xdr:from>
        <xdr:to>
          <xdr:col>9</xdr:col>
          <xdr:colOff>295275</xdr:colOff>
          <xdr:row>88</xdr:row>
          <xdr:rowOff>47625</xdr:rowOff>
        </xdr:to>
        <xdr:sp macro="" textlink="">
          <xdr:nvSpPr>
            <xdr:cNvPr id="13146991" name="Check Box 1903" hidden="1">
              <a:extLst>
                <a:ext uri="{63B3BB69-23CF-44E3-9099-C40C66FF867C}">
                  <a14:compatExt spid="_x0000_s13146991"/>
                </a:ext>
                <a:ext uri="{FF2B5EF4-FFF2-40B4-BE49-F238E27FC236}">
                  <a16:creationId xmlns:a16="http://schemas.microsoft.com/office/drawing/2014/main" id="{00000000-0008-0000-0200-00006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87</xdr:row>
          <xdr:rowOff>0</xdr:rowOff>
        </xdr:from>
        <xdr:to>
          <xdr:col>4</xdr:col>
          <xdr:colOff>295275</xdr:colOff>
          <xdr:row>88</xdr:row>
          <xdr:rowOff>47625</xdr:rowOff>
        </xdr:to>
        <xdr:sp macro="" textlink="">
          <xdr:nvSpPr>
            <xdr:cNvPr id="13146992" name="Check Box 1904" hidden="1">
              <a:extLst>
                <a:ext uri="{63B3BB69-23CF-44E3-9099-C40C66FF867C}">
                  <a14:compatExt spid="_x0000_s13146992"/>
                </a:ext>
                <a:ext uri="{FF2B5EF4-FFF2-40B4-BE49-F238E27FC236}">
                  <a16:creationId xmlns:a16="http://schemas.microsoft.com/office/drawing/2014/main" id="{00000000-0008-0000-0200-00007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86</xdr:row>
          <xdr:rowOff>0</xdr:rowOff>
        </xdr:from>
        <xdr:to>
          <xdr:col>9</xdr:col>
          <xdr:colOff>295275</xdr:colOff>
          <xdr:row>87</xdr:row>
          <xdr:rowOff>47625</xdr:rowOff>
        </xdr:to>
        <xdr:sp macro="" textlink="">
          <xdr:nvSpPr>
            <xdr:cNvPr id="13146993" name="Check Box 1905" hidden="1">
              <a:extLst>
                <a:ext uri="{63B3BB69-23CF-44E3-9099-C40C66FF867C}">
                  <a14:compatExt spid="_x0000_s13146993"/>
                </a:ext>
                <a:ext uri="{FF2B5EF4-FFF2-40B4-BE49-F238E27FC236}">
                  <a16:creationId xmlns:a16="http://schemas.microsoft.com/office/drawing/2014/main" id="{00000000-0008-0000-0200-00007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0</xdr:rowOff>
        </xdr:from>
        <xdr:to>
          <xdr:col>4</xdr:col>
          <xdr:colOff>295275</xdr:colOff>
          <xdr:row>87</xdr:row>
          <xdr:rowOff>47625</xdr:rowOff>
        </xdr:to>
        <xdr:sp macro="" textlink="">
          <xdr:nvSpPr>
            <xdr:cNvPr id="13146994" name="Check Box 1906" hidden="1">
              <a:extLst>
                <a:ext uri="{63B3BB69-23CF-44E3-9099-C40C66FF867C}">
                  <a14:compatExt spid="_x0000_s13146994"/>
                </a:ext>
                <a:ext uri="{FF2B5EF4-FFF2-40B4-BE49-F238E27FC236}">
                  <a16:creationId xmlns:a16="http://schemas.microsoft.com/office/drawing/2014/main" id="{00000000-0008-0000-0200-00007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85</xdr:row>
          <xdr:rowOff>0</xdr:rowOff>
        </xdr:from>
        <xdr:to>
          <xdr:col>9</xdr:col>
          <xdr:colOff>295275</xdr:colOff>
          <xdr:row>86</xdr:row>
          <xdr:rowOff>47625</xdr:rowOff>
        </xdr:to>
        <xdr:sp macro="" textlink="">
          <xdr:nvSpPr>
            <xdr:cNvPr id="13146995" name="Check Box 1907" hidden="1">
              <a:extLst>
                <a:ext uri="{63B3BB69-23CF-44E3-9099-C40C66FF867C}">
                  <a14:compatExt spid="_x0000_s13146995"/>
                </a:ext>
                <a:ext uri="{FF2B5EF4-FFF2-40B4-BE49-F238E27FC236}">
                  <a16:creationId xmlns:a16="http://schemas.microsoft.com/office/drawing/2014/main" id="{00000000-0008-0000-0200-00007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4</xdr:col>
          <xdr:colOff>295275</xdr:colOff>
          <xdr:row>86</xdr:row>
          <xdr:rowOff>47625</xdr:rowOff>
        </xdr:to>
        <xdr:sp macro="" textlink="">
          <xdr:nvSpPr>
            <xdr:cNvPr id="13146996" name="Check Box 1908" hidden="1">
              <a:extLst>
                <a:ext uri="{63B3BB69-23CF-44E3-9099-C40C66FF867C}">
                  <a14:compatExt spid="_x0000_s13146996"/>
                </a:ext>
                <a:ext uri="{FF2B5EF4-FFF2-40B4-BE49-F238E27FC236}">
                  <a16:creationId xmlns:a16="http://schemas.microsoft.com/office/drawing/2014/main" id="{00000000-0008-0000-0200-00007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84</xdr:row>
          <xdr:rowOff>0</xdr:rowOff>
        </xdr:from>
        <xdr:to>
          <xdr:col>9</xdr:col>
          <xdr:colOff>295275</xdr:colOff>
          <xdr:row>85</xdr:row>
          <xdr:rowOff>47625</xdr:rowOff>
        </xdr:to>
        <xdr:sp macro="" textlink="">
          <xdr:nvSpPr>
            <xdr:cNvPr id="13147005" name="Check Box 1917" hidden="1">
              <a:extLst>
                <a:ext uri="{63B3BB69-23CF-44E3-9099-C40C66FF867C}">
                  <a14:compatExt spid="_x0000_s13147005"/>
                </a:ext>
                <a:ext uri="{FF2B5EF4-FFF2-40B4-BE49-F238E27FC236}">
                  <a16:creationId xmlns:a16="http://schemas.microsoft.com/office/drawing/2014/main" id="{00000000-0008-0000-0200-00007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295275</xdr:colOff>
          <xdr:row>85</xdr:row>
          <xdr:rowOff>47625</xdr:rowOff>
        </xdr:to>
        <xdr:sp macro="" textlink="">
          <xdr:nvSpPr>
            <xdr:cNvPr id="13147006" name="Check Box 1918" hidden="1">
              <a:extLst>
                <a:ext uri="{63B3BB69-23CF-44E3-9099-C40C66FF867C}">
                  <a14:compatExt spid="_x0000_s13147006"/>
                </a:ext>
                <a:ext uri="{FF2B5EF4-FFF2-40B4-BE49-F238E27FC236}">
                  <a16:creationId xmlns:a16="http://schemas.microsoft.com/office/drawing/2014/main" id="{00000000-0008-0000-0200-00007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83</xdr:row>
          <xdr:rowOff>0</xdr:rowOff>
        </xdr:from>
        <xdr:to>
          <xdr:col>9</xdr:col>
          <xdr:colOff>295275</xdr:colOff>
          <xdr:row>84</xdr:row>
          <xdr:rowOff>47625</xdr:rowOff>
        </xdr:to>
        <xdr:sp macro="" textlink="">
          <xdr:nvSpPr>
            <xdr:cNvPr id="13147007" name="Check Box 1919" hidden="1">
              <a:extLst>
                <a:ext uri="{63B3BB69-23CF-44E3-9099-C40C66FF867C}">
                  <a14:compatExt spid="_x0000_s13147007"/>
                </a:ext>
                <a:ext uri="{FF2B5EF4-FFF2-40B4-BE49-F238E27FC236}">
                  <a16:creationId xmlns:a16="http://schemas.microsoft.com/office/drawing/2014/main" id="{00000000-0008-0000-0200-00007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295275</xdr:colOff>
          <xdr:row>84</xdr:row>
          <xdr:rowOff>47625</xdr:rowOff>
        </xdr:to>
        <xdr:sp macro="" textlink="">
          <xdr:nvSpPr>
            <xdr:cNvPr id="13147008" name="Check Box 1920" hidden="1">
              <a:extLst>
                <a:ext uri="{63B3BB69-23CF-44E3-9099-C40C66FF867C}">
                  <a14:compatExt spid="_x0000_s13147008"/>
                </a:ext>
                <a:ext uri="{FF2B5EF4-FFF2-40B4-BE49-F238E27FC236}">
                  <a16:creationId xmlns:a16="http://schemas.microsoft.com/office/drawing/2014/main" id="{00000000-0008-0000-0200-00008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82</xdr:row>
          <xdr:rowOff>0</xdr:rowOff>
        </xdr:from>
        <xdr:to>
          <xdr:col>9</xdr:col>
          <xdr:colOff>295275</xdr:colOff>
          <xdr:row>83</xdr:row>
          <xdr:rowOff>47625</xdr:rowOff>
        </xdr:to>
        <xdr:sp macro="" textlink="">
          <xdr:nvSpPr>
            <xdr:cNvPr id="13147011" name="Check Box 1923" hidden="1">
              <a:extLst>
                <a:ext uri="{63B3BB69-23CF-44E3-9099-C40C66FF867C}">
                  <a14:compatExt spid="_x0000_s13147011"/>
                </a:ext>
                <a:ext uri="{FF2B5EF4-FFF2-40B4-BE49-F238E27FC236}">
                  <a16:creationId xmlns:a16="http://schemas.microsoft.com/office/drawing/2014/main" id="{00000000-0008-0000-0200-00008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295275</xdr:colOff>
          <xdr:row>83</xdr:row>
          <xdr:rowOff>47625</xdr:rowOff>
        </xdr:to>
        <xdr:sp macro="" textlink="">
          <xdr:nvSpPr>
            <xdr:cNvPr id="13147012" name="Check Box 1924" hidden="1">
              <a:extLst>
                <a:ext uri="{63B3BB69-23CF-44E3-9099-C40C66FF867C}">
                  <a14:compatExt spid="_x0000_s13147012"/>
                </a:ext>
                <a:ext uri="{FF2B5EF4-FFF2-40B4-BE49-F238E27FC236}">
                  <a16:creationId xmlns:a16="http://schemas.microsoft.com/office/drawing/2014/main" id="{00000000-0008-0000-0200-00008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81</xdr:row>
          <xdr:rowOff>0</xdr:rowOff>
        </xdr:from>
        <xdr:to>
          <xdr:col>9</xdr:col>
          <xdr:colOff>295275</xdr:colOff>
          <xdr:row>82</xdr:row>
          <xdr:rowOff>47625</xdr:rowOff>
        </xdr:to>
        <xdr:sp macro="" textlink="">
          <xdr:nvSpPr>
            <xdr:cNvPr id="13147013" name="Check Box 1925" hidden="1">
              <a:extLst>
                <a:ext uri="{63B3BB69-23CF-44E3-9099-C40C66FF867C}">
                  <a14:compatExt spid="_x0000_s13147013"/>
                </a:ext>
                <a:ext uri="{FF2B5EF4-FFF2-40B4-BE49-F238E27FC236}">
                  <a16:creationId xmlns:a16="http://schemas.microsoft.com/office/drawing/2014/main" id="{00000000-0008-0000-0200-00008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295275</xdr:colOff>
          <xdr:row>82</xdr:row>
          <xdr:rowOff>47625</xdr:rowOff>
        </xdr:to>
        <xdr:sp macro="" textlink="">
          <xdr:nvSpPr>
            <xdr:cNvPr id="13147014" name="Check Box 1926" hidden="1">
              <a:extLst>
                <a:ext uri="{63B3BB69-23CF-44E3-9099-C40C66FF867C}">
                  <a14:compatExt spid="_x0000_s13147014"/>
                </a:ext>
                <a:ext uri="{FF2B5EF4-FFF2-40B4-BE49-F238E27FC236}">
                  <a16:creationId xmlns:a16="http://schemas.microsoft.com/office/drawing/2014/main" id="{00000000-0008-0000-0200-00008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80</xdr:row>
          <xdr:rowOff>0</xdr:rowOff>
        </xdr:from>
        <xdr:to>
          <xdr:col>9</xdr:col>
          <xdr:colOff>295275</xdr:colOff>
          <xdr:row>81</xdr:row>
          <xdr:rowOff>47625</xdr:rowOff>
        </xdr:to>
        <xdr:sp macro="" textlink="">
          <xdr:nvSpPr>
            <xdr:cNvPr id="13147015" name="Check Box 1927" hidden="1">
              <a:extLst>
                <a:ext uri="{63B3BB69-23CF-44E3-9099-C40C66FF867C}">
                  <a14:compatExt spid="_x0000_s13147015"/>
                </a:ext>
                <a:ext uri="{FF2B5EF4-FFF2-40B4-BE49-F238E27FC236}">
                  <a16:creationId xmlns:a16="http://schemas.microsoft.com/office/drawing/2014/main" id="{00000000-0008-0000-0200-00008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295275</xdr:colOff>
          <xdr:row>81</xdr:row>
          <xdr:rowOff>47625</xdr:rowOff>
        </xdr:to>
        <xdr:sp macro="" textlink="">
          <xdr:nvSpPr>
            <xdr:cNvPr id="13147016" name="Check Box 1928" hidden="1">
              <a:extLst>
                <a:ext uri="{63B3BB69-23CF-44E3-9099-C40C66FF867C}">
                  <a14:compatExt spid="_x0000_s13147016"/>
                </a:ext>
                <a:ext uri="{FF2B5EF4-FFF2-40B4-BE49-F238E27FC236}">
                  <a16:creationId xmlns:a16="http://schemas.microsoft.com/office/drawing/2014/main" id="{00000000-0008-0000-0200-00008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79</xdr:row>
          <xdr:rowOff>0</xdr:rowOff>
        </xdr:from>
        <xdr:to>
          <xdr:col>9</xdr:col>
          <xdr:colOff>295275</xdr:colOff>
          <xdr:row>80</xdr:row>
          <xdr:rowOff>47625</xdr:rowOff>
        </xdr:to>
        <xdr:sp macro="" textlink="">
          <xdr:nvSpPr>
            <xdr:cNvPr id="13147017" name="Check Box 1929" hidden="1">
              <a:extLst>
                <a:ext uri="{63B3BB69-23CF-44E3-9099-C40C66FF867C}">
                  <a14:compatExt spid="_x0000_s13147017"/>
                </a:ext>
                <a:ext uri="{FF2B5EF4-FFF2-40B4-BE49-F238E27FC236}">
                  <a16:creationId xmlns:a16="http://schemas.microsoft.com/office/drawing/2014/main" id="{00000000-0008-0000-0200-00008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295275</xdr:colOff>
          <xdr:row>80</xdr:row>
          <xdr:rowOff>47625</xdr:rowOff>
        </xdr:to>
        <xdr:sp macro="" textlink="">
          <xdr:nvSpPr>
            <xdr:cNvPr id="13147018" name="Check Box 1930" hidden="1">
              <a:extLst>
                <a:ext uri="{63B3BB69-23CF-44E3-9099-C40C66FF867C}">
                  <a14:compatExt spid="_x0000_s13147018"/>
                </a:ext>
                <a:ext uri="{FF2B5EF4-FFF2-40B4-BE49-F238E27FC236}">
                  <a16:creationId xmlns:a16="http://schemas.microsoft.com/office/drawing/2014/main" id="{00000000-0008-0000-0200-00008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78</xdr:row>
          <xdr:rowOff>0</xdr:rowOff>
        </xdr:from>
        <xdr:to>
          <xdr:col>9</xdr:col>
          <xdr:colOff>295275</xdr:colOff>
          <xdr:row>79</xdr:row>
          <xdr:rowOff>47625</xdr:rowOff>
        </xdr:to>
        <xdr:sp macro="" textlink="">
          <xdr:nvSpPr>
            <xdr:cNvPr id="13147019" name="Check Box 1931" hidden="1">
              <a:extLst>
                <a:ext uri="{63B3BB69-23CF-44E3-9099-C40C66FF867C}">
                  <a14:compatExt spid="_x0000_s13147019"/>
                </a:ext>
                <a:ext uri="{FF2B5EF4-FFF2-40B4-BE49-F238E27FC236}">
                  <a16:creationId xmlns:a16="http://schemas.microsoft.com/office/drawing/2014/main" id="{00000000-0008-0000-0200-00008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4</xdr:col>
          <xdr:colOff>295275</xdr:colOff>
          <xdr:row>79</xdr:row>
          <xdr:rowOff>47625</xdr:rowOff>
        </xdr:to>
        <xdr:sp macro="" textlink="">
          <xdr:nvSpPr>
            <xdr:cNvPr id="13147020" name="Check Box 1932" hidden="1">
              <a:extLst>
                <a:ext uri="{63B3BB69-23CF-44E3-9099-C40C66FF867C}">
                  <a14:compatExt spid="_x0000_s13147020"/>
                </a:ext>
                <a:ext uri="{FF2B5EF4-FFF2-40B4-BE49-F238E27FC236}">
                  <a16:creationId xmlns:a16="http://schemas.microsoft.com/office/drawing/2014/main" id="{00000000-0008-0000-0200-00008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77</xdr:row>
          <xdr:rowOff>0</xdr:rowOff>
        </xdr:from>
        <xdr:to>
          <xdr:col>9</xdr:col>
          <xdr:colOff>295275</xdr:colOff>
          <xdr:row>78</xdr:row>
          <xdr:rowOff>47625</xdr:rowOff>
        </xdr:to>
        <xdr:sp macro="" textlink="">
          <xdr:nvSpPr>
            <xdr:cNvPr id="13147021" name="Check Box 1933" hidden="1">
              <a:extLst>
                <a:ext uri="{63B3BB69-23CF-44E3-9099-C40C66FF867C}">
                  <a14:compatExt spid="_x0000_s13147021"/>
                </a:ext>
                <a:ext uri="{FF2B5EF4-FFF2-40B4-BE49-F238E27FC236}">
                  <a16:creationId xmlns:a16="http://schemas.microsoft.com/office/drawing/2014/main" id="{00000000-0008-0000-0200-00008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4</xdr:col>
          <xdr:colOff>295275</xdr:colOff>
          <xdr:row>78</xdr:row>
          <xdr:rowOff>47625</xdr:rowOff>
        </xdr:to>
        <xdr:sp macro="" textlink="">
          <xdr:nvSpPr>
            <xdr:cNvPr id="13147022" name="Check Box 1934" hidden="1">
              <a:extLst>
                <a:ext uri="{63B3BB69-23CF-44E3-9099-C40C66FF867C}">
                  <a14:compatExt spid="_x0000_s13147022"/>
                </a:ext>
                <a:ext uri="{FF2B5EF4-FFF2-40B4-BE49-F238E27FC236}">
                  <a16:creationId xmlns:a16="http://schemas.microsoft.com/office/drawing/2014/main" id="{00000000-0008-0000-0200-00008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76</xdr:row>
          <xdr:rowOff>0</xdr:rowOff>
        </xdr:from>
        <xdr:to>
          <xdr:col>9</xdr:col>
          <xdr:colOff>295275</xdr:colOff>
          <xdr:row>77</xdr:row>
          <xdr:rowOff>47625</xdr:rowOff>
        </xdr:to>
        <xdr:sp macro="" textlink="">
          <xdr:nvSpPr>
            <xdr:cNvPr id="13147023" name="Check Box 1935" hidden="1">
              <a:extLst>
                <a:ext uri="{63B3BB69-23CF-44E3-9099-C40C66FF867C}">
                  <a14:compatExt spid="_x0000_s13147023"/>
                </a:ext>
                <a:ext uri="{FF2B5EF4-FFF2-40B4-BE49-F238E27FC236}">
                  <a16:creationId xmlns:a16="http://schemas.microsoft.com/office/drawing/2014/main" id="{00000000-0008-0000-0200-00008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4</xdr:col>
          <xdr:colOff>295275</xdr:colOff>
          <xdr:row>77</xdr:row>
          <xdr:rowOff>47625</xdr:rowOff>
        </xdr:to>
        <xdr:sp macro="" textlink="">
          <xdr:nvSpPr>
            <xdr:cNvPr id="13147024" name="Check Box 1936" hidden="1">
              <a:extLst>
                <a:ext uri="{63B3BB69-23CF-44E3-9099-C40C66FF867C}">
                  <a14:compatExt spid="_x0000_s13147024"/>
                </a:ext>
                <a:ext uri="{FF2B5EF4-FFF2-40B4-BE49-F238E27FC236}">
                  <a16:creationId xmlns:a16="http://schemas.microsoft.com/office/drawing/2014/main" id="{00000000-0008-0000-0200-00009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75</xdr:row>
          <xdr:rowOff>0</xdr:rowOff>
        </xdr:from>
        <xdr:to>
          <xdr:col>9</xdr:col>
          <xdr:colOff>295275</xdr:colOff>
          <xdr:row>76</xdr:row>
          <xdr:rowOff>47625</xdr:rowOff>
        </xdr:to>
        <xdr:sp macro="" textlink="">
          <xdr:nvSpPr>
            <xdr:cNvPr id="13147025" name="Check Box 1937" hidden="1">
              <a:extLst>
                <a:ext uri="{63B3BB69-23CF-44E3-9099-C40C66FF867C}">
                  <a14:compatExt spid="_x0000_s13147025"/>
                </a:ext>
                <a:ext uri="{FF2B5EF4-FFF2-40B4-BE49-F238E27FC236}">
                  <a16:creationId xmlns:a16="http://schemas.microsoft.com/office/drawing/2014/main" id="{00000000-0008-0000-0200-00009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295275</xdr:colOff>
          <xdr:row>76</xdr:row>
          <xdr:rowOff>47625</xdr:rowOff>
        </xdr:to>
        <xdr:sp macro="" textlink="">
          <xdr:nvSpPr>
            <xdr:cNvPr id="13147026" name="Check Box 1938" hidden="1">
              <a:extLst>
                <a:ext uri="{63B3BB69-23CF-44E3-9099-C40C66FF867C}">
                  <a14:compatExt spid="_x0000_s13147026"/>
                </a:ext>
                <a:ext uri="{FF2B5EF4-FFF2-40B4-BE49-F238E27FC236}">
                  <a16:creationId xmlns:a16="http://schemas.microsoft.com/office/drawing/2014/main" id="{00000000-0008-0000-0200-00009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74</xdr:row>
          <xdr:rowOff>0</xdr:rowOff>
        </xdr:from>
        <xdr:to>
          <xdr:col>9</xdr:col>
          <xdr:colOff>295275</xdr:colOff>
          <xdr:row>75</xdr:row>
          <xdr:rowOff>47625</xdr:rowOff>
        </xdr:to>
        <xdr:sp macro="" textlink="">
          <xdr:nvSpPr>
            <xdr:cNvPr id="13147027" name="Check Box 1939" hidden="1">
              <a:extLst>
                <a:ext uri="{63B3BB69-23CF-44E3-9099-C40C66FF867C}">
                  <a14:compatExt spid="_x0000_s13147027"/>
                </a:ext>
                <a:ext uri="{FF2B5EF4-FFF2-40B4-BE49-F238E27FC236}">
                  <a16:creationId xmlns:a16="http://schemas.microsoft.com/office/drawing/2014/main" id="{00000000-0008-0000-0200-00009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295275</xdr:colOff>
          <xdr:row>75</xdr:row>
          <xdr:rowOff>47625</xdr:rowOff>
        </xdr:to>
        <xdr:sp macro="" textlink="">
          <xdr:nvSpPr>
            <xdr:cNvPr id="13147028" name="Check Box 1940" hidden="1">
              <a:extLst>
                <a:ext uri="{63B3BB69-23CF-44E3-9099-C40C66FF867C}">
                  <a14:compatExt spid="_x0000_s13147028"/>
                </a:ext>
                <a:ext uri="{FF2B5EF4-FFF2-40B4-BE49-F238E27FC236}">
                  <a16:creationId xmlns:a16="http://schemas.microsoft.com/office/drawing/2014/main" id="{00000000-0008-0000-0200-00009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73</xdr:row>
          <xdr:rowOff>0</xdr:rowOff>
        </xdr:from>
        <xdr:to>
          <xdr:col>9</xdr:col>
          <xdr:colOff>295275</xdr:colOff>
          <xdr:row>74</xdr:row>
          <xdr:rowOff>47625</xdr:rowOff>
        </xdr:to>
        <xdr:sp macro="" textlink="">
          <xdr:nvSpPr>
            <xdr:cNvPr id="13147029" name="Check Box 1941" hidden="1">
              <a:extLst>
                <a:ext uri="{63B3BB69-23CF-44E3-9099-C40C66FF867C}">
                  <a14:compatExt spid="_x0000_s13147029"/>
                </a:ext>
                <a:ext uri="{FF2B5EF4-FFF2-40B4-BE49-F238E27FC236}">
                  <a16:creationId xmlns:a16="http://schemas.microsoft.com/office/drawing/2014/main" id="{00000000-0008-0000-0200-00009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295275</xdr:colOff>
          <xdr:row>74</xdr:row>
          <xdr:rowOff>47625</xdr:rowOff>
        </xdr:to>
        <xdr:sp macro="" textlink="">
          <xdr:nvSpPr>
            <xdr:cNvPr id="13147030" name="Check Box 1942" hidden="1">
              <a:extLst>
                <a:ext uri="{63B3BB69-23CF-44E3-9099-C40C66FF867C}">
                  <a14:compatExt spid="_x0000_s13147030"/>
                </a:ext>
                <a:ext uri="{FF2B5EF4-FFF2-40B4-BE49-F238E27FC236}">
                  <a16:creationId xmlns:a16="http://schemas.microsoft.com/office/drawing/2014/main" id="{00000000-0008-0000-0200-00009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72</xdr:row>
          <xdr:rowOff>0</xdr:rowOff>
        </xdr:from>
        <xdr:to>
          <xdr:col>9</xdr:col>
          <xdr:colOff>295275</xdr:colOff>
          <xdr:row>73</xdr:row>
          <xdr:rowOff>47625</xdr:rowOff>
        </xdr:to>
        <xdr:sp macro="" textlink="">
          <xdr:nvSpPr>
            <xdr:cNvPr id="13147031" name="Check Box 1943" hidden="1">
              <a:extLst>
                <a:ext uri="{63B3BB69-23CF-44E3-9099-C40C66FF867C}">
                  <a14:compatExt spid="_x0000_s13147031"/>
                </a:ext>
                <a:ext uri="{FF2B5EF4-FFF2-40B4-BE49-F238E27FC236}">
                  <a16:creationId xmlns:a16="http://schemas.microsoft.com/office/drawing/2014/main" id="{00000000-0008-0000-0200-00009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295275</xdr:colOff>
          <xdr:row>73</xdr:row>
          <xdr:rowOff>47625</xdr:rowOff>
        </xdr:to>
        <xdr:sp macro="" textlink="">
          <xdr:nvSpPr>
            <xdr:cNvPr id="13147032" name="Check Box 1944" hidden="1">
              <a:extLst>
                <a:ext uri="{63B3BB69-23CF-44E3-9099-C40C66FF867C}">
                  <a14:compatExt spid="_x0000_s13147032"/>
                </a:ext>
                <a:ext uri="{FF2B5EF4-FFF2-40B4-BE49-F238E27FC236}">
                  <a16:creationId xmlns:a16="http://schemas.microsoft.com/office/drawing/2014/main" id="{00000000-0008-0000-0200-00009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71</xdr:row>
          <xdr:rowOff>0</xdr:rowOff>
        </xdr:from>
        <xdr:to>
          <xdr:col>9</xdr:col>
          <xdr:colOff>295275</xdr:colOff>
          <xdr:row>72</xdr:row>
          <xdr:rowOff>47625</xdr:rowOff>
        </xdr:to>
        <xdr:sp macro="" textlink="">
          <xdr:nvSpPr>
            <xdr:cNvPr id="13147033" name="Check Box 1945" hidden="1">
              <a:extLst>
                <a:ext uri="{63B3BB69-23CF-44E3-9099-C40C66FF867C}">
                  <a14:compatExt spid="_x0000_s13147033"/>
                </a:ext>
                <a:ext uri="{FF2B5EF4-FFF2-40B4-BE49-F238E27FC236}">
                  <a16:creationId xmlns:a16="http://schemas.microsoft.com/office/drawing/2014/main" id="{00000000-0008-0000-0200-00009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295275</xdr:colOff>
          <xdr:row>72</xdr:row>
          <xdr:rowOff>47625</xdr:rowOff>
        </xdr:to>
        <xdr:sp macro="" textlink="">
          <xdr:nvSpPr>
            <xdr:cNvPr id="13147034" name="Check Box 1946" hidden="1">
              <a:extLst>
                <a:ext uri="{63B3BB69-23CF-44E3-9099-C40C66FF867C}">
                  <a14:compatExt spid="_x0000_s13147034"/>
                </a:ext>
                <a:ext uri="{FF2B5EF4-FFF2-40B4-BE49-F238E27FC236}">
                  <a16:creationId xmlns:a16="http://schemas.microsoft.com/office/drawing/2014/main" id="{00000000-0008-0000-0200-00009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70</xdr:row>
          <xdr:rowOff>0</xdr:rowOff>
        </xdr:from>
        <xdr:to>
          <xdr:col>9</xdr:col>
          <xdr:colOff>295275</xdr:colOff>
          <xdr:row>71</xdr:row>
          <xdr:rowOff>47625</xdr:rowOff>
        </xdr:to>
        <xdr:sp macro="" textlink="">
          <xdr:nvSpPr>
            <xdr:cNvPr id="13147035" name="Check Box 1947" hidden="1">
              <a:extLst>
                <a:ext uri="{63B3BB69-23CF-44E3-9099-C40C66FF867C}">
                  <a14:compatExt spid="_x0000_s13147035"/>
                </a:ext>
                <a:ext uri="{FF2B5EF4-FFF2-40B4-BE49-F238E27FC236}">
                  <a16:creationId xmlns:a16="http://schemas.microsoft.com/office/drawing/2014/main" id="{00000000-0008-0000-0200-00009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4</xdr:col>
          <xdr:colOff>295275</xdr:colOff>
          <xdr:row>71</xdr:row>
          <xdr:rowOff>47625</xdr:rowOff>
        </xdr:to>
        <xdr:sp macro="" textlink="">
          <xdr:nvSpPr>
            <xdr:cNvPr id="13147036" name="Check Box 1948" hidden="1">
              <a:extLst>
                <a:ext uri="{63B3BB69-23CF-44E3-9099-C40C66FF867C}">
                  <a14:compatExt spid="_x0000_s13147036"/>
                </a:ext>
                <a:ext uri="{FF2B5EF4-FFF2-40B4-BE49-F238E27FC236}">
                  <a16:creationId xmlns:a16="http://schemas.microsoft.com/office/drawing/2014/main" id="{00000000-0008-0000-0200-00009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69</xdr:row>
          <xdr:rowOff>0</xdr:rowOff>
        </xdr:from>
        <xdr:to>
          <xdr:col>9</xdr:col>
          <xdr:colOff>295275</xdr:colOff>
          <xdr:row>70</xdr:row>
          <xdr:rowOff>66675</xdr:rowOff>
        </xdr:to>
        <xdr:sp macro="" textlink="">
          <xdr:nvSpPr>
            <xdr:cNvPr id="13147037" name="Check Box 1949" hidden="1">
              <a:extLst>
                <a:ext uri="{63B3BB69-23CF-44E3-9099-C40C66FF867C}">
                  <a14:compatExt spid="_x0000_s13147037"/>
                </a:ext>
                <a:ext uri="{FF2B5EF4-FFF2-40B4-BE49-F238E27FC236}">
                  <a16:creationId xmlns:a16="http://schemas.microsoft.com/office/drawing/2014/main" id="{00000000-0008-0000-0200-00009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4</xdr:col>
          <xdr:colOff>295275</xdr:colOff>
          <xdr:row>70</xdr:row>
          <xdr:rowOff>66675</xdr:rowOff>
        </xdr:to>
        <xdr:sp macro="" textlink="">
          <xdr:nvSpPr>
            <xdr:cNvPr id="13147038" name="Check Box 1950" hidden="1">
              <a:extLst>
                <a:ext uri="{63B3BB69-23CF-44E3-9099-C40C66FF867C}">
                  <a14:compatExt spid="_x0000_s13147038"/>
                </a:ext>
                <a:ext uri="{FF2B5EF4-FFF2-40B4-BE49-F238E27FC236}">
                  <a16:creationId xmlns:a16="http://schemas.microsoft.com/office/drawing/2014/main" id="{00000000-0008-0000-0200-00009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68</xdr:row>
          <xdr:rowOff>0</xdr:rowOff>
        </xdr:from>
        <xdr:to>
          <xdr:col>9</xdr:col>
          <xdr:colOff>295275</xdr:colOff>
          <xdr:row>69</xdr:row>
          <xdr:rowOff>47625</xdr:rowOff>
        </xdr:to>
        <xdr:sp macro="" textlink="">
          <xdr:nvSpPr>
            <xdr:cNvPr id="13147041" name="Check Box 1953" hidden="1">
              <a:extLst>
                <a:ext uri="{63B3BB69-23CF-44E3-9099-C40C66FF867C}">
                  <a14:compatExt spid="_x0000_s13147041"/>
                </a:ext>
                <a:ext uri="{FF2B5EF4-FFF2-40B4-BE49-F238E27FC236}">
                  <a16:creationId xmlns:a16="http://schemas.microsoft.com/office/drawing/2014/main" id="{00000000-0008-0000-0200-0000A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295275</xdr:colOff>
          <xdr:row>69</xdr:row>
          <xdr:rowOff>47625</xdr:rowOff>
        </xdr:to>
        <xdr:sp macro="" textlink="">
          <xdr:nvSpPr>
            <xdr:cNvPr id="13147042" name="Check Box 1954" hidden="1">
              <a:extLst>
                <a:ext uri="{63B3BB69-23CF-44E3-9099-C40C66FF867C}">
                  <a14:compatExt spid="_x0000_s13147042"/>
                </a:ext>
                <a:ext uri="{FF2B5EF4-FFF2-40B4-BE49-F238E27FC236}">
                  <a16:creationId xmlns:a16="http://schemas.microsoft.com/office/drawing/2014/main" id="{00000000-0008-0000-0200-0000A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67</xdr:row>
          <xdr:rowOff>0</xdr:rowOff>
        </xdr:from>
        <xdr:to>
          <xdr:col>9</xdr:col>
          <xdr:colOff>295275</xdr:colOff>
          <xdr:row>68</xdr:row>
          <xdr:rowOff>47625</xdr:rowOff>
        </xdr:to>
        <xdr:sp macro="" textlink="">
          <xdr:nvSpPr>
            <xdr:cNvPr id="13147045" name="Check Box 1957" hidden="1">
              <a:extLst>
                <a:ext uri="{63B3BB69-23CF-44E3-9099-C40C66FF867C}">
                  <a14:compatExt spid="_x0000_s13147045"/>
                </a:ext>
                <a:ext uri="{FF2B5EF4-FFF2-40B4-BE49-F238E27FC236}">
                  <a16:creationId xmlns:a16="http://schemas.microsoft.com/office/drawing/2014/main" id="{00000000-0008-0000-0200-0000A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295275</xdr:colOff>
          <xdr:row>68</xdr:row>
          <xdr:rowOff>47625</xdr:rowOff>
        </xdr:to>
        <xdr:sp macro="" textlink="">
          <xdr:nvSpPr>
            <xdr:cNvPr id="13147046" name="Check Box 1958" hidden="1">
              <a:extLst>
                <a:ext uri="{63B3BB69-23CF-44E3-9099-C40C66FF867C}">
                  <a14:compatExt spid="_x0000_s13147046"/>
                </a:ext>
                <a:ext uri="{FF2B5EF4-FFF2-40B4-BE49-F238E27FC236}">
                  <a16:creationId xmlns:a16="http://schemas.microsoft.com/office/drawing/2014/main" id="{00000000-0008-0000-0200-0000A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66</xdr:row>
          <xdr:rowOff>0</xdr:rowOff>
        </xdr:from>
        <xdr:to>
          <xdr:col>9</xdr:col>
          <xdr:colOff>295275</xdr:colOff>
          <xdr:row>67</xdr:row>
          <xdr:rowOff>47625</xdr:rowOff>
        </xdr:to>
        <xdr:sp macro="" textlink="">
          <xdr:nvSpPr>
            <xdr:cNvPr id="13147047" name="Check Box 1959" hidden="1">
              <a:extLst>
                <a:ext uri="{63B3BB69-23CF-44E3-9099-C40C66FF867C}">
                  <a14:compatExt spid="_x0000_s13147047"/>
                </a:ext>
                <a:ext uri="{FF2B5EF4-FFF2-40B4-BE49-F238E27FC236}">
                  <a16:creationId xmlns:a16="http://schemas.microsoft.com/office/drawing/2014/main" id="{00000000-0008-0000-0200-0000A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295275</xdr:colOff>
          <xdr:row>67</xdr:row>
          <xdr:rowOff>47625</xdr:rowOff>
        </xdr:to>
        <xdr:sp macro="" textlink="">
          <xdr:nvSpPr>
            <xdr:cNvPr id="13147048" name="Check Box 1960" hidden="1">
              <a:extLst>
                <a:ext uri="{63B3BB69-23CF-44E3-9099-C40C66FF867C}">
                  <a14:compatExt spid="_x0000_s13147048"/>
                </a:ext>
                <a:ext uri="{FF2B5EF4-FFF2-40B4-BE49-F238E27FC236}">
                  <a16:creationId xmlns:a16="http://schemas.microsoft.com/office/drawing/2014/main" id="{00000000-0008-0000-0200-0000A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65</xdr:row>
          <xdr:rowOff>0</xdr:rowOff>
        </xdr:from>
        <xdr:to>
          <xdr:col>9</xdr:col>
          <xdr:colOff>295275</xdr:colOff>
          <xdr:row>66</xdr:row>
          <xdr:rowOff>47625</xdr:rowOff>
        </xdr:to>
        <xdr:sp macro="" textlink="">
          <xdr:nvSpPr>
            <xdr:cNvPr id="13147051" name="Check Box 1963" hidden="1">
              <a:extLst>
                <a:ext uri="{63B3BB69-23CF-44E3-9099-C40C66FF867C}">
                  <a14:compatExt spid="_x0000_s13147051"/>
                </a:ext>
                <a:ext uri="{FF2B5EF4-FFF2-40B4-BE49-F238E27FC236}">
                  <a16:creationId xmlns:a16="http://schemas.microsoft.com/office/drawing/2014/main" id="{00000000-0008-0000-0200-0000A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295275</xdr:colOff>
          <xdr:row>66</xdr:row>
          <xdr:rowOff>47625</xdr:rowOff>
        </xdr:to>
        <xdr:sp macro="" textlink="">
          <xdr:nvSpPr>
            <xdr:cNvPr id="13147052" name="Check Box 1964" hidden="1">
              <a:extLst>
                <a:ext uri="{63B3BB69-23CF-44E3-9099-C40C66FF867C}">
                  <a14:compatExt spid="_x0000_s13147052"/>
                </a:ext>
                <a:ext uri="{FF2B5EF4-FFF2-40B4-BE49-F238E27FC236}">
                  <a16:creationId xmlns:a16="http://schemas.microsoft.com/office/drawing/2014/main" id="{00000000-0008-0000-0200-0000A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64</xdr:row>
          <xdr:rowOff>0</xdr:rowOff>
        </xdr:from>
        <xdr:to>
          <xdr:col>9</xdr:col>
          <xdr:colOff>295275</xdr:colOff>
          <xdr:row>65</xdr:row>
          <xdr:rowOff>47625</xdr:rowOff>
        </xdr:to>
        <xdr:sp macro="" textlink="">
          <xdr:nvSpPr>
            <xdr:cNvPr id="13147053" name="Check Box 1965" hidden="1">
              <a:extLst>
                <a:ext uri="{63B3BB69-23CF-44E3-9099-C40C66FF867C}">
                  <a14:compatExt spid="_x0000_s13147053"/>
                </a:ext>
                <a:ext uri="{FF2B5EF4-FFF2-40B4-BE49-F238E27FC236}">
                  <a16:creationId xmlns:a16="http://schemas.microsoft.com/office/drawing/2014/main" id="{00000000-0008-0000-0200-0000A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295275</xdr:colOff>
          <xdr:row>65</xdr:row>
          <xdr:rowOff>47625</xdr:rowOff>
        </xdr:to>
        <xdr:sp macro="" textlink="">
          <xdr:nvSpPr>
            <xdr:cNvPr id="13147054" name="Check Box 1966" hidden="1">
              <a:extLst>
                <a:ext uri="{63B3BB69-23CF-44E3-9099-C40C66FF867C}">
                  <a14:compatExt spid="_x0000_s13147054"/>
                </a:ext>
                <a:ext uri="{FF2B5EF4-FFF2-40B4-BE49-F238E27FC236}">
                  <a16:creationId xmlns:a16="http://schemas.microsoft.com/office/drawing/2014/main" id="{00000000-0008-0000-0200-0000A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63</xdr:row>
          <xdr:rowOff>0</xdr:rowOff>
        </xdr:from>
        <xdr:to>
          <xdr:col>9</xdr:col>
          <xdr:colOff>295275</xdr:colOff>
          <xdr:row>64</xdr:row>
          <xdr:rowOff>47625</xdr:rowOff>
        </xdr:to>
        <xdr:sp macro="" textlink="">
          <xdr:nvSpPr>
            <xdr:cNvPr id="13147055" name="Check Box 1967" hidden="1">
              <a:extLst>
                <a:ext uri="{63B3BB69-23CF-44E3-9099-C40C66FF867C}">
                  <a14:compatExt spid="_x0000_s13147055"/>
                </a:ext>
                <a:ext uri="{FF2B5EF4-FFF2-40B4-BE49-F238E27FC236}">
                  <a16:creationId xmlns:a16="http://schemas.microsoft.com/office/drawing/2014/main" id="{00000000-0008-0000-0200-0000A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295275</xdr:colOff>
          <xdr:row>64</xdr:row>
          <xdr:rowOff>47625</xdr:rowOff>
        </xdr:to>
        <xdr:sp macro="" textlink="">
          <xdr:nvSpPr>
            <xdr:cNvPr id="13147056" name="Check Box 1968" hidden="1">
              <a:extLst>
                <a:ext uri="{63B3BB69-23CF-44E3-9099-C40C66FF867C}">
                  <a14:compatExt spid="_x0000_s13147056"/>
                </a:ext>
                <a:ext uri="{FF2B5EF4-FFF2-40B4-BE49-F238E27FC236}">
                  <a16:creationId xmlns:a16="http://schemas.microsoft.com/office/drawing/2014/main" id="{00000000-0008-0000-0200-0000B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62</xdr:row>
          <xdr:rowOff>0</xdr:rowOff>
        </xdr:from>
        <xdr:to>
          <xdr:col>9</xdr:col>
          <xdr:colOff>295275</xdr:colOff>
          <xdr:row>63</xdr:row>
          <xdr:rowOff>47625</xdr:rowOff>
        </xdr:to>
        <xdr:sp macro="" textlink="">
          <xdr:nvSpPr>
            <xdr:cNvPr id="13147057" name="Check Box 1969" hidden="1">
              <a:extLst>
                <a:ext uri="{63B3BB69-23CF-44E3-9099-C40C66FF867C}">
                  <a14:compatExt spid="_x0000_s13147057"/>
                </a:ext>
                <a:ext uri="{FF2B5EF4-FFF2-40B4-BE49-F238E27FC236}">
                  <a16:creationId xmlns:a16="http://schemas.microsoft.com/office/drawing/2014/main" id="{00000000-0008-0000-0200-0000B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295275</xdr:colOff>
          <xdr:row>63</xdr:row>
          <xdr:rowOff>47625</xdr:rowOff>
        </xdr:to>
        <xdr:sp macro="" textlink="">
          <xdr:nvSpPr>
            <xdr:cNvPr id="13147058" name="Check Box 1970" hidden="1">
              <a:extLst>
                <a:ext uri="{63B3BB69-23CF-44E3-9099-C40C66FF867C}">
                  <a14:compatExt spid="_x0000_s13147058"/>
                </a:ext>
                <a:ext uri="{FF2B5EF4-FFF2-40B4-BE49-F238E27FC236}">
                  <a16:creationId xmlns:a16="http://schemas.microsoft.com/office/drawing/2014/main" id="{00000000-0008-0000-0200-0000B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61</xdr:row>
          <xdr:rowOff>0</xdr:rowOff>
        </xdr:from>
        <xdr:to>
          <xdr:col>9</xdr:col>
          <xdr:colOff>295275</xdr:colOff>
          <xdr:row>62</xdr:row>
          <xdr:rowOff>47625</xdr:rowOff>
        </xdr:to>
        <xdr:sp macro="" textlink="">
          <xdr:nvSpPr>
            <xdr:cNvPr id="13147059" name="Check Box 1971" hidden="1">
              <a:extLst>
                <a:ext uri="{63B3BB69-23CF-44E3-9099-C40C66FF867C}">
                  <a14:compatExt spid="_x0000_s13147059"/>
                </a:ext>
                <a:ext uri="{FF2B5EF4-FFF2-40B4-BE49-F238E27FC236}">
                  <a16:creationId xmlns:a16="http://schemas.microsoft.com/office/drawing/2014/main" id="{00000000-0008-0000-0200-0000B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4</xdr:col>
          <xdr:colOff>295275</xdr:colOff>
          <xdr:row>62</xdr:row>
          <xdr:rowOff>47625</xdr:rowOff>
        </xdr:to>
        <xdr:sp macro="" textlink="">
          <xdr:nvSpPr>
            <xdr:cNvPr id="13147060" name="Check Box 1972" hidden="1">
              <a:extLst>
                <a:ext uri="{63B3BB69-23CF-44E3-9099-C40C66FF867C}">
                  <a14:compatExt spid="_x0000_s13147060"/>
                </a:ext>
                <a:ext uri="{FF2B5EF4-FFF2-40B4-BE49-F238E27FC236}">
                  <a16:creationId xmlns:a16="http://schemas.microsoft.com/office/drawing/2014/main" id="{00000000-0008-0000-0200-0000B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60</xdr:row>
          <xdr:rowOff>0</xdr:rowOff>
        </xdr:from>
        <xdr:to>
          <xdr:col>9</xdr:col>
          <xdr:colOff>295275</xdr:colOff>
          <xdr:row>61</xdr:row>
          <xdr:rowOff>47625</xdr:rowOff>
        </xdr:to>
        <xdr:sp macro="" textlink="">
          <xdr:nvSpPr>
            <xdr:cNvPr id="13147061" name="Check Box 1973" hidden="1">
              <a:extLst>
                <a:ext uri="{63B3BB69-23CF-44E3-9099-C40C66FF867C}">
                  <a14:compatExt spid="_x0000_s13147061"/>
                </a:ext>
                <a:ext uri="{FF2B5EF4-FFF2-40B4-BE49-F238E27FC236}">
                  <a16:creationId xmlns:a16="http://schemas.microsoft.com/office/drawing/2014/main" id="{00000000-0008-0000-0200-0000B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295275</xdr:colOff>
          <xdr:row>61</xdr:row>
          <xdr:rowOff>47625</xdr:rowOff>
        </xdr:to>
        <xdr:sp macro="" textlink="">
          <xdr:nvSpPr>
            <xdr:cNvPr id="13147062" name="Check Box 1974" hidden="1">
              <a:extLst>
                <a:ext uri="{63B3BB69-23CF-44E3-9099-C40C66FF867C}">
                  <a14:compatExt spid="_x0000_s13147062"/>
                </a:ext>
                <a:ext uri="{FF2B5EF4-FFF2-40B4-BE49-F238E27FC236}">
                  <a16:creationId xmlns:a16="http://schemas.microsoft.com/office/drawing/2014/main" id="{00000000-0008-0000-0200-0000B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59</xdr:row>
          <xdr:rowOff>0</xdr:rowOff>
        </xdr:from>
        <xdr:to>
          <xdr:col>9</xdr:col>
          <xdr:colOff>295275</xdr:colOff>
          <xdr:row>60</xdr:row>
          <xdr:rowOff>47625</xdr:rowOff>
        </xdr:to>
        <xdr:sp macro="" textlink="">
          <xdr:nvSpPr>
            <xdr:cNvPr id="13147063" name="Check Box 1975" hidden="1">
              <a:extLst>
                <a:ext uri="{63B3BB69-23CF-44E3-9099-C40C66FF867C}">
                  <a14:compatExt spid="_x0000_s13147063"/>
                </a:ext>
                <a:ext uri="{FF2B5EF4-FFF2-40B4-BE49-F238E27FC236}">
                  <a16:creationId xmlns:a16="http://schemas.microsoft.com/office/drawing/2014/main" id="{00000000-0008-0000-0200-0000B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295275</xdr:colOff>
          <xdr:row>60</xdr:row>
          <xdr:rowOff>47625</xdr:rowOff>
        </xdr:to>
        <xdr:sp macro="" textlink="">
          <xdr:nvSpPr>
            <xdr:cNvPr id="13147064" name="Check Box 1976" hidden="1">
              <a:extLst>
                <a:ext uri="{63B3BB69-23CF-44E3-9099-C40C66FF867C}">
                  <a14:compatExt spid="_x0000_s13147064"/>
                </a:ext>
                <a:ext uri="{FF2B5EF4-FFF2-40B4-BE49-F238E27FC236}">
                  <a16:creationId xmlns:a16="http://schemas.microsoft.com/office/drawing/2014/main" id="{00000000-0008-0000-0200-0000B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58</xdr:row>
          <xdr:rowOff>0</xdr:rowOff>
        </xdr:from>
        <xdr:to>
          <xdr:col>9</xdr:col>
          <xdr:colOff>295275</xdr:colOff>
          <xdr:row>59</xdr:row>
          <xdr:rowOff>66675</xdr:rowOff>
        </xdr:to>
        <xdr:sp macro="" textlink="">
          <xdr:nvSpPr>
            <xdr:cNvPr id="13147065" name="Check Box 1977" hidden="1">
              <a:extLst>
                <a:ext uri="{63B3BB69-23CF-44E3-9099-C40C66FF867C}">
                  <a14:compatExt spid="_x0000_s13147065"/>
                </a:ext>
                <a:ext uri="{FF2B5EF4-FFF2-40B4-BE49-F238E27FC236}">
                  <a16:creationId xmlns:a16="http://schemas.microsoft.com/office/drawing/2014/main" id="{00000000-0008-0000-0200-0000B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295275</xdr:colOff>
          <xdr:row>59</xdr:row>
          <xdr:rowOff>66675</xdr:rowOff>
        </xdr:to>
        <xdr:sp macro="" textlink="">
          <xdr:nvSpPr>
            <xdr:cNvPr id="13147066" name="Check Box 1978" hidden="1">
              <a:extLst>
                <a:ext uri="{63B3BB69-23CF-44E3-9099-C40C66FF867C}">
                  <a14:compatExt spid="_x0000_s13147066"/>
                </a:ext>
                <a:ext uri="{FF2B5EF4-FFF2-40B4-BE49-F238E27FC236}">
                  <a16:creationId xmlns:a16="http://schemas.microsoft.com/office/drawing/2014/main" id="{00000000-0008-0000-0200-0000B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57</xdr:row>
          <xdr:rowOff>0</xdr:rowOff>
        </xdr:from>
        <xdr:to>
          <xdr:col>9</xdr:col>
          <xdr:colOff>295275</xdr:colOff>
          <xdr:row>58</xdr:row>
          <xdr:rowOff>47625</xdr:rowOff>
        </xdr:to>
        <xdr:sp macro="" textlink="">
          <xdr:nvSpPr>
            <xdr:cNvPr id="13147069" name="Check Box 1981" hidden="1">
              <a:extLst>
                <a:ext uri="{63B3BB69-23CF-44E3-9099-C40C66FF867C}">
                  <a14:compatExt spid="_x0000_s13147069"/>
                </a:ext>
                <a:ext uri="{FF2B5EF4-FFF2-40B4-BE49-F238E27FC236}">
                  <a16:creationId xmlns:a16="http://schemas.microsoft.com/office/drawing/2014/main" id="{00000000-0008-0000-0200-0000B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295275</xdr:colOff>
          <xdr:row>58</xdr:row>
          <xdr:rowOff>47625</xdr:rowOff>
        </xdr:to>
        <xdr:sp macro="" textlink="">
          <xdr:nvSpPr>
            <xdr:cNvPr id="13147070" name="Check Box 1982" hidden="1">
              <a:extLst>
                <a:ext uri="{63B3BB69-23CF-44E3-9099-C40C66FF867C}">
                  <a14:compatExt spid="_x0000_s13147070"/>
                </a:ext>
                <a:ext uri="{FF2B5EF4-FFF2-40B4-BE49-F238E27FC236}">
                  <a16:creationId xmlns:a16="http://schemas.microsoft.com/office/drawing/2014/main" id="{00000000-0008-0000-0200-0000B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56</xdr:row>
          <xdr:rowOff>0</xdr:rowOff>
        </xdr:from>
        <xdr:to>
          <xdr:col>9</xdr:col>
          <xdr:colOff>295275</xdr:colOff>
          <xdr:row>57</xdr:row>
          <xdr:rowOff>47625</xdr:rowOff>
        </xdr:to>
        <xdr:sp macro="" textlink="">
          <xdr:nvSpPr>
            <xdr:cNvPr id="13147071" name="Check Box 1983" hidden="1">
              <a:extLst>
                <a:ext uri="{63B3BB69-23CF-44E3-9099-C40C66FF867C}">
                  <a14:compatExt spid="_x0000_s13147071"/>
                </a:ext>
                <a:ext uri="{FF2B5EF4-FFF2-40B4-BE49-F238E27FC236}">
                  <a16:creationId xmlns:a16="http://schemas.microsoft.com/office/drawing/2014/main" id="{00000000-0008-0000-0200-0000B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295275</xdr:colOff>
          <xdr:row>57</xdr:row>
          <xdr:rowOff>47625</xdr:rowOff>
        </xdr:to>
        <xdr:sp macro="" textlink="">
          <xdr:nvSpPr>
            <xdr:cNvPr id="13147072" name="Check Box 1984" hidden="1">
              <a:extLst>
                <a:ext uri="{63B3BB69-23CF-44E3-9099-C40C66FF867C}">
                  <a14:compatExt spid="_x0000_s13147072"/>
                </a:ext>
                <a:ext uri="{FF2B5EF4-FFF2-40B4-BE49-F238E27FC236}">
                  <a16:creationId xmlns:a16="http://schemas.microsoft.com/office/drawing/2014/main" id="{00000000-0008-0000-0200-0000C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55</xdr:row>
          <xdr:rowOff>0</xdr:rowOff>
        </xdr:from>
        <xdr:to>
          <xdr:col>9</xdr:col>
          <xdr:colOff>295275</xdr:colOff>
          <xdr:row>56</xdr:row>
          <xdr:rowOff>47625</xdr:rowOff>
        </xdr:to>
        <xdr:sp macro="" textlink="">
          <xdr:nvSpPr>
            <xdr:cNvPr id="13147075" name="Check Box 1987" hidden="1">
              <a:extLst>
                <a:ext uri="{63B3BB69-23CF-44E3-9099-C40C66FF867C}">
                  <a14:compatExt spid="_x0000_s13147075"/>
                </a:ext>
                <a:ext uri="{FF2B5EF4-FFF2-40B4-BE49-F238E27FC236}">
                  <a16:creationId xmlns:a16="http://schemas.microsoft.com/office/drawing/2014/main" id="{00000000-0008-0000-0200-0000C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295275</xdr:colOff>
          <xdr:row>56</xdr:row>
          <xdr:rowOff>47625</xdr:rowOff>
        </xdr:to>
        <xdr:sp macro="" textlink="">
          <xdr:nvSpPr>
            <xdr:cNvPr id="13147076" name="Check Box 1988" hidden="1">
              <a:extLst>
                <a:ext uri="{63B3BB69-23CF-44E3-9099-C40C66FF867C}">
                  <a14:compatExt spid="_x0000_s13147076"/>
                </a:ext>
                <a:ext uri="{FF2B5EF4-FFF2-40B4-BE49-F238E27FC236}">
                  <a16:creationId xmlns:a16="http://schemas.microsoft.com/office/drawing/2014/main" id="{00000000-0008-0000-0200-0000C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54</xdr:row>
          <xdr:rowOff>0</xdr:rowOff>
        </xdr:from>
        <xdr:to>
          <xdr:col>9</xdr:col>
          <xdr:colOff>295275</xdr:colOff>
          <xdr:row>55</xdr:row>
          <xdr:rowOff>47625</xdr:rowOff>
        </xdr:to>
        <xdr:sp macro="" textlink="">
          <xdr:nvSpPr>
            <xdr:cNvPr id="13147079" name="Check Box 1991" hidden="1">
              <a:extLst>
                <a:ext uri="{63B3BB69-23CF-44E3-9099-C40C66FF867C}">
                  <a14:compatExt spid="_x0000_s13147079"/>
                </a:ext>
                <a:ext uri="{FF2B5EF4-FFF2-40B4-BE49-F238E27FC236}">
                  <a16:creationId xmlns:a16="http://schemas.microsoft.com/office/drawing/2014/main" id="{00000000-0008-0000-0200-0000C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295275</xdr:colOff>
          <xdr:row>55</xdr:row>
          <xdr:rowOff>47625</xdr:rowOff>
        </xdr:to>
        <xdr:sp macro="" textlink="">
          <xdr:nvSpPr>
            <xdr:cNvPr id="13147080" name="Check Box 1992" hidden="1">
              <a:extLst>
                <a:ext uri="{63B3BB69-23CF-44E3-9099-C40C66FF867C}">
                  <a14:compatExt spid="_x0000_s13147080"/>
                </a:ext>
                <a:ext uri="{FF2B5EF4-FFF2-40B4-BE49-F238E27FC236}">
                  <a16:creationId xmlns:a16="http://schemas.microsoft.com/office/drawing/2014/main" id="{00000000-0008-0000-0200-0000C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53</xdr:row>
          <xdr:rowOff>0</xdr:rowOff>
        </xdr:from>
        <xdr:to>
          <xdr:col>9</xdr:col>
          <xdr:colOff>295275</xdr:colOff>
          <xdr:row>54</xdr:row>
          <xdr:rowOff>47625</xdr:rowOff>
        </xdr:to>
        <xdr:sp macro="" textlink="">
          <xdr:nvSpPr>
            <xdr:cNvPr id="13147087" name="Check Box 1999" hidden="1">
              <a:extLst>
                <a:ext uri="{63B3BB69-23CF-44E3-9099-C40C66FF867C}">
                  <a14:compatExt spid="_x0000_s13147087"/>
                </a:ext>
                <a:ext uri="{FF2B5EF4-FFF2-40B4-BE49-F238E27FC236}">
                  <a16:creationId xmlns:a16="http://schemas.microsoft.com/office/drawing/2014/main" id="{00000000-0008-0000-0200-0000C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295275</xdr:colOff>
          <xdr:row>54</xdr:row>
          <xdr:rowOff>47625</xdr:rowOff>
        </xdr:to>
        <xdr:sp macro="" textlink="">
          <xdr:nvSpPr>
            <xdr:cNvPr id="13147088" name="Check Box 2000" hidden="1">
              <a:extLst>
                <a:ext uri="{63B3BB69-23CF-44E3-9099-C40C66FF867C}">
                  <a14:compatExt spid="_x0000_s13147088"/>
                </a:ext>
                <a:ext uri="{FF2B5EF4-FFF2-40B4-BE49-F238E27FC236}">
                  <a16:creationId xmlns:a16="http://schemas.microsoft.com/office/drawing/2014/main" id="{00000000-0008-0000-0200-0000D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52</xdr:row>
          <xdr:rowOff>0</xdr:rowOff>
        </xdr:from>
        <xdr:to>
          <xdr:col>9</xdr:col>
          <xdr:colOff>295275</xdr:colOff>
          <xdr:row>53</xdr:row>
          <xdr:rowOff>47625</xdr:rowOff>
        </xdr:to>
        <xdr:sp macro="" textlink="">
          <xdr:nvSpPr>
            <xdr:cNvPr id="13147089" name="Check Box 2001" hidden="1">
              <a:extLst>
                <a:ext uri="{63B3BB69-23CF-44E3-9099-C40C66FF867C}">
                  <a14:compatExt spid="_x0000_s13147089"/>
                </a:ext>
                <a:ext uri="{FF2B5EF4-FFF2-40B4-BE49-F238E27FC236}">
                  <a16:creationId xmlns:a16="http://schemas.microsoft.com/office/drawing/2014/main" id="{00000000-0008-0000-0200-0000D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295275</xdr:colOff>
          <xdr:row>53</xdr:row>
          <xdr:rowOff>47625</xdr:rowOff>
        </xdr:to>
        <xdr:sp macro="" textlink="">
          <xdr:nvSpPr>
            <xdr:cNvPr id="13147090" name="Check Box 2002" hidden="1">
              <a:extLst>
                <a:ext uri="{63B3BB69-23CF-44E3-9099-C40C66FF867C}">
                  <a14:compatExt spid="_x0000_s13147090"/>
                </a:ext>
                <a:ext uri="{FF2B5EF4-FFF2-40B4-BE49-F238E27FC236}">
                  <a16:creationId xmlns:a16="http://schemas.microsoft.com/office/drawing/2014/main" id="{00000000-0008-0000-0200-0000D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51</xdr:row>
          <xdr:rowOff>0</xdr:rowOff>
        </xdr:from>
        <xdr:to>
          <xdr:col>9</xdr:col>
          <xdr:colOff>295275</xdr:colOff>
          <xdr:row>52</xdr:row>
          <xdr:rowOff>47625</xdr:rowOff>
        </xdr:to>
        <xdr:sp macro="" textlink="">
          <xdr:nvSpPr>
            <xdr:cNvPr id="13147091" name="Check Box 2003" hidden="1">
              <a:extLst>
                <a:ext uri="{63B3BB69-23CF-44E3-9099-C40C66FF867C}">
                  <a14:compatExt spid="_x0000_s13147091"/>
                </a:ext>
                <a:ext uri="{FF2B5EF4-FFF2-40B4-BE49-F238E27FC236}">
                  <a16:creationId xmlns:a16="http://schemas.microsoft.com/office/drawing/2014/main" id="{00000000-0008-0000-0200-0000D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295275</xdr:colOff>
          <xdr:row>52</xdr:row>
          <xdr:rowOff>47625</xdr:rowOff>
        </xdr:to>
        <xdr:sp macro="" textlink="">
          <xdr:nvSpPr>
            <xdr:cNvPr id="13147092" name="Check Box 2004" hidden="1">
              <a:extLst>
                <a:ext uri="{63B3BB69-23CF-44E3-9099-C40C66FF867C}">
                  <a14:compatExt spid="_x0000_s13147092"/>
                </a:ext>
                <a:ext uri="{FF2B5EF4-FFF2-40B4-BE49-F238E27FC236}">
                  <a16:creationId xmlns:a16="http://schemas.microsoft.com/office/drawing/2014/main" id="{00000000-0008-0000-0200-0000D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49</xdr:row>
          <xdr:rowOff>0</xdr:rowOff>
        </xdr:from>
        <xdr:to>
          <xdr:col>9</xdr:col>
          <xdr:colOff>295275</xdr:colOff>
          <xdr:row>50</xdr:row>
          <xdr:rowOff>47625</xdr:rowOff>
        </xdr:to>
        <xdr:sp macro="" textlink="">
          <xdr:nvSpPr>
            <xdr:cNvPr id="13147095" name="Check Box 2007" hidden="1">
              <a:extLst>
                <a:ext uri="{63B3BB69-23CF-44E3-9099-C40C66FF867C}">
                  <a14:compatExt spid="_x0000_s13147095"/>
                </a:ext>
                <a:ext uri="{FF2B5EF4-FFF2-40B4-BE49-F238E27FC236}">
                  <a16:creationId xmlns:a16="http://schemas.microsoft.com/office/drawing/2014/main" id="{00000000-0008-0000-0200-0000D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4</xdr:col>
          <xdr:colOff>295275</xdr:colOff>
          <xdr:row>50</xdr:row>
          <xdr:rowOff>47625</xdr:rowOff>
        </xdr:to>
        <xdr:sp macro="" textlink="">
          <xdr:nvSpPr>
            <xdr:cNvPr id="13147096" name="Check Box 2008" hidden="1">
              <a:extLst>
                <a:ext uri="{63B3BB69-23CF-44E3-9099-C40C66FF867C}">
                  <a14:compatExt spid="_x0000_s13147096"/>
                </a:ext>
                <a:ext uri="{FF2B5EF4-FFF2-40B4-BE49-F238E27FC236}">
                  <a16:creationId xmlns:a16="http://schemas.microsoft.com/office/drawing/2014/main" id="{00000000-0008-0000-0200-0000D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48</xdr:row>
          <xdr:rowOff>0</xdr:rowOff>
        </xdr:from>
        <xdr:to>
          <xdr:col>9</xdr:col>
          <xdr:colOff>295275</xdr:colOff>
          <xdr:row>49</xdr:row>
          <xdr:rowOff>47625</xdr:rowOff>
        </xdr:to>
        <xdr:sp macro="" textlink="">
          <xdr:nvSpPr>
            <xdr:cNvPr id="13147097" name="Check Box 2009" hidden="1">
              <a:extLst>
                <a:ext uri="{63B3BB69-23CF-44E3-9099-C40C66FF867C}">
                  <a14:compatExt spid="_x0000_s13147097"/>
                </a:ext>
                <a:ext uri="{FF2B5EF4-FFF2-40B4-BE49-F238E27FC236}">
                  <a16:creationId xmlns:a16="http://schemas.microsoft.com/office/drawing/2014/main" id="{00000000-0008-0000-0200-0000D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295275</xdr:colOff>
          <xdr:row>49</xdr:row>
          <xdr:rowOff>47625</xdr:rowOff>
        </xdr:to>
        <xdr:sp macro="" textlink="">
          <xdr:nvSpPr>
            <xdr:cNvPr id="13147098" name="Check Box 2010" hidden="1">
              <a:extLst>
                <a:ext uri="{63B3BB69-23CF-44E3-9099-C40C66FF867C}">
                  <a14:compatExt spid="_x0000_s13147098"/>
                </a:ext>
                <a:ext uri="{FF2B5EF4-FFF2-40B4-BE49-F238E27FC236}">
                  <a16:creationId xmlns:a16="http://schemas.microsoft.com/office/drawing/2014/main" id="{00000000-0008-0000-0200-0000D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47</xdr:row>
          <xdr:rowOff>0</xdr:rowOff>
        </xdr:from>
        <xdr:to>
          <xdr:col>9</xdr:col>
          <xdr:colOff>295275</xdr:colOff>
          <xdr:row>48</xdr:row>
          <xdr:rowOff>47625</xdr:rowOff>
        </xdr:to>
        <xdr:sp macro="" textlink="">
          <xdr:nvSpPr>
            <xdr:cNvPr id="13147099" name="Check Box 2011" hidden="1">
              <a:extLst>
                <a:ext uri="{63B3BB69-23CF-44E3-9099-C40C66FF867C}">
                  <a14:compatExt spid="_x0000_s13147099"/>
                </a:ext>
                <a:ext uri="{FF2B5EF4-FFF2-40B4-BE49-F238E27FC236}">
                  <a16:creationId xmlns:a16="http://schemas.microsoft.com/office/drawing/2014/main" id="{00000000-0008-0000-0200-0000D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295275</xdr:colOff>
          <xdr:row>48</xdr:row>
          <xdr:rowOff>47625</xdr:rowOff>
        </xdr:to>
        <xdr:sp macro="" textlink="">
          <xdr:nvSpPr>
            <xdr:cNvPr id="13147100" name="Check Box 2012" hidden="1">
              <a:extLst>
                <a:ext uri="{63B3BB69-23CF-44E3-9099-C40C66FF867C}">
                  <a14:compatExt spid="_x0000_s13147100"/>
                </a:ext>
                <a:ext uri="{FF2B5EF4-FFF2-40B4-BE49-F238E27FC236}">
                  <a16:creationId xmlns:a16="http://schemas.microsoft.com/office/drawing/2014/main" id="{00000000-0008-0000-0200-0000D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46</xdr:row>
          <xdr:rowOff>0</xdr:rowOff>
        </xdr:from>
        <xdr:to>
          <xdr:col>9</xdr:col>
          <xdr:colOff>295275</xdr:colOff>
          <xdr:row>47</xdr:row>
          <xdr:rowOff>47625</xdr:rowOff>
        </xdr:to>
        <xdr:sp macro="" textlink="">
          <xdr:nvSpPr>
            <xdr:cNvPr id="13147101" name="Check Box 2013" hidden="1">
              <a:extLst>
                <a:ext uri="{63B3BB69-23CF-44E3-9099-C40C66FF867C}">
                  <a14:compatExt spid="_x0000_s13147101"/>
                </a:ext>
                <a:ext uri="{FF2B5EF4-FFF2-40B4-BE49-F238E27FC236}">
                  <a16:creationId xmlns:a16="http://schemas.microsoft.com/office/drawing/2014/main" id="{00000000-0008-0000-0200-0000D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295275</xdr:colOff>
          <xdr:row>47</xdr:row>
          <xdr:rowOff>47625</xdr:rowOff>
        </xdr:to>
        <xdr:sp macro="" textlink="">
          <xdr:nvSpPr>
            <xdr:cNvPr id="13147102" name="Check Box 2014" hidden="1">
              <a:extLst>
                <a:ext uri="{63B3BB69-23CF-44E3-9099-C40C66FF867C}">
                  <a14:compatExt spid="_x0000_s13147102"/>
                </a:ext>
                <a:ext uri="{FF2B5EF4-FFF2-40B4-BE49-F238E27FC236}">
                  <a16:creationId xmlns:a16="http://schemas.microsoft.com/office/drawing/2014/main" id="{00000000-0008-0000-0200-0000D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9</xdr:col>
          <xdr:colOff>295275</xdr:colOff>
          <xdr:row>46</xdr:row>
          <xdr:rowOff>47625</xdr:rowOff>
        </xdr:to>
        <xdr:sp macro="" textlink="">
          <xdr:nvSpPr>
            <xdr:cNvPr id="13147103" name="Check Box 2015" hidden="1">
              <a:extLst>
                <a:ext uri="{63B3BB69-23CF-44E3-9099-C40C66FF867C}">
                  <a14:compatExt spid="_x0000_s13147103"/>
                </a:ext>
                <a:ext uri="{FF2B5EF4-FFF2-40B4-BE49-F238E27FC236}">
                  <a16:creationId xmlns:a16="http://schemas.microsoft.com/office/drawing/2014/main" id="{00000000-0008-0000-0200-0000D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295275</xdr:colOff>
          <xdr:row>46</xdr:row>
          <xdr:rowOff>47625</xdr:rowOff>
        </xdr:to>
        <xdr:sp macro="" textlink="">
          <xdr:nvSpPr>
            <xdr:cNvPr id="13147104" name="Check Box 2016" hidden="1">
              <a:extLst>
                <a:ext uri="{63B3BB69-23CF-44E3-9099-C40C66FF867C}">
                  <a14:compatExt spid="_x0000_s13147104"/>
                </a:ext>
                <a:ext uri="{FF2B5EF4-FFF2-40B4-BE49-F238E27FC236}">
                  <a16:creationId xmlns:a16="http://schemas.microsoft.com/office/drawing/2014/main" id="{00000000-0008-0000-0200-0000E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9</xdr:col>
          <xdr:colOff>295275</xdr:colOff>
          <xdr:row>45</xdr:row>
          <xdr:rowOff>47625</xdr:rowOff>
        </xdr:to>
        <xdr:sp macro="" textlink="">
          <xdr:nvSpPr>
            <xdr:cNvPr id="13147105" name="Check Box 2017" hidden="1">
              <a:extLst>
                <a:ext uri="{63B3BB69-23CF-44E3-9099-C40C66FF867C}">
                  <a14:compatExt spid="_x0000_s13147105"/>
                </a:ext>
                <a:ext uri="{FF2B5EF4-FFF2-40B4-BE49-F238E27FC236}">
                  <a16:creationId xmlns:a16="http://schemas.microsoft.com/office/drawing/2014/main" id="{00000000-0008-0000-0200-0000E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295275</xdr:colOff>
          <xdr:row>45</xdr:row>
          <xdr:rowOff>47625</xdr:rowOff>
        </xdr:to>
        <xdr:sp macro="" textlink="">
          <xdr:nvSpPr>
            <xdr:cNvPr id="13147106" name="Check Box 2018" hidden="1">
              <a:extLst>
                <a:ext uri="{63B3BB69-23CF-44E3-9099-C40C66FF867C}">
                  <a14:compatExt spid="_x0000_s13147106"/>
                </a:ext>
                <a:ext uri="{FF2B5EF4-FFF2-40B4-BE49-F238E27FC236}">
                  <a16:creationId xmlns:a16="http://schemas.microsoft.com/office/drawing/2014/main" id="{00000000-0008-0000-0200-0000E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9</xdr:col>
          <xdr:colOff>295275</xdr:colOff>
          <xdr:row>44</xdr:row>
          <xdr:rowOff>47625</xdr:rowOff>
        </xdr:to>
        <xdr:sp macro="" textlink="">
          <xdr:nvSpPr>
            <xdr:cNvPr id="13147107" name="Check Box 2019" hidden="1">
              <a:extLst>
                <a:ext uri="{63B3BB69-23CF-44E3-9099-C40C66FF867C}">
                  <a14:compatExt spid="_x0000_s13147107"/>
                </a:ext>
                <a:ext uri="{FF2B5EF4-FFF2-40B4-BE49-F238E27FC236}">
                  <a16:creationId xmlns:a16="http://schemas.microsoft.com/office/drawing/2014/main" id="{00000000-0008-0000-0200-0000E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295275</xdr:colOff>
          <xdr:row>44</xdr:row>
          <xdr:rowOff>47625</xdr:rowOff>
        </xdr:to>
        <xdr:sp macro="" textlink="">
          <xdr:nvSpPr>
            <xdr:cNvPr id="13147108" name="Check Box 2020" hidden="1">
              <a:extLst>
                <a:ext uri="{63B3BB69-23CF-44E3-9099-C40C66FF867C}">
                  <a14:compatExt spid="_x0000_s13147108"/>
                </a:ext>
                <a:ext uri="{FF2B5EF4-FFF2-40B4-BE49-F238E27FC236}">
                  <a16:creationId xmlns:a16="http://schemas.microsoft.com/office/drawing/2014/main" id="{00000000-0008-0000-0200-0000E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9</xdr:col>
          <xdr:colOff>295275</xdr:colOff>
          <xdr:row>43</xdr:row>
          <xdr:rowOff>66675</xdr:rowOff>
        </xdr:to>
        <xdr:sp macro="" textlink="">
          <xdr:nvSpPr>
            <xdr:cNvPr id="13147109" name="Check Box 2021" hidden="1">
              <a:extLst>
                <a:ext uri="{63B3BB69-23CF-44E3-9099-C40C66FF867C}">
                  <a14:compatExt spid="_x0000_s13147109"/>
                </a:ext>
                <a:ext uri="{FF2B5EF4-FFF2-40B4-BE49-F238E27FC236}">
                  <a16:creationId xmlns:a16="http://schemas.microsoft.com/office/drawing/2014/main" id="{00000000-0008-0000-0200-0000E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295275</xdr:colOff>
          <xdr:row>43</xdr:row>
          <xdr:rowOff>66675</xdr:rowOff>
        </xdr:to>
        <xdr:sp macro="" textlink="">
          <xdr:nvSpPr>
            <xdr:cNvPr id="13147110" name="Check Box 2022" hidden="1">
              <a:extLst>
                <a:ext uri="{63B3BB69-23CF-44E3-9099-C40C66FF867C}">
                  <a14:compatExt spid="_x0000_s13147110"/>
                </a:ext>
                <a:ext uri="{FF2B5EF4-FFF2-40B4-BE49-F238E27FC236}">
                  <a16:creationId xmlns:a16="http://schemas.microsoft.com/office/drawing/2014/main" id="{00000000-0008-0000-0200-0000E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50</xdr:row>
          <xdr:rowOff>0</xdr:rowOff>
        </xdr:from>
        <xdr:to>
          <xdr:col>9</xdr:col>
          <xdr:colOff>295275</xdr:colOff>
          <xdr:row>51</xdr:row>
          <xdr:rowOff>28575</xdr:rowOff>
        </xdr:to>
        <xdr:sp macro="" textlink="">
          <xdr:nvSpPr>
            <xdr:cNvPr id="13147111" name="Check Box 2023" hidden="1">
              <a:extLst>
                <a:ext uri="{63B3BB69-23CF-44E3-9099-C40C66FF867C}">
                  <a14:compatExt spid="_x0000_s13147111"/>
                </a:ext>
                <a:ext uri="{FF2B5EF4-FFF2-40B4-BE49-F238E27FC236}">
                  <a16:creationId xmlns:a16="http://schemas.microsoft.com/office/drawing/2014/main" id="{00000000-0008-0000-0200-0000E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4</xdr:col>
          <xdr:colOff>295275</xdr:colOff>
          <xdr:row>51</xdr:row>
          <xdr:rowOff>28575</xdr:rowOff>
        </xdr:to>
        <xdr:sp macro="" textlink="">
          <xdr:nvSpPr>
            <xdr:cNvPr id="13147112" name="Check Box 2024" hidden="1">
              <a:extLst>
                <a:ext uri="{63B3BB69-23CF-44E3-9099-C40C66FF867C}">
                  <a14:compatExt spid="_x0000_s13147112"/>
                </a:ext>
                <a:ext uri="{FF2B5EF4-FFF2-40B4-BE49-F238E27FC236}">
                  <a16:creationId xmlns:a16="http://schemas.microsoft.com/office/drawing/2014/main" id="{00000000-0008-0000-0200-0000E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9</xdr:col>
          <xdr:colOff>295275</xdr:colOff>
          <xdr:row>42</xdr:row>
          <xdr:rowOff>47625</xdr:rowOff>
        </xdr:to>
        <xdr:sp macro="" textlink="">
          <xdr:nvSpPr>
            <xdr:cNvPr id="13147113" name="Check Box 2025" hidden="1">
              <a:extLst>
                <a:ext uri="{63B3BB69-23CF-44E3-9099-C40C66FF867C}">
                  <a14:compatExt spid="_x0000_s13147113"/>
                </a:ext>
                <a:ext uri="{FF2B5EF4-FFF2-40B4-BE49-F238E27FC236}">
                  <a16:creationId xmlns:a16="http://schemas.microsoft.com/office/drawing/2014/main" id="{00000000-0008-0000-0200-0000E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295275</xdr:colOff>
          <xdr:row>42</xdr:row>
          <xdr:rowOff>47625</xdr:rowOff>
        </xdr:to>
        <xdr:sp macro="" textlink="">
          <xdr:nvSpPr>
            <xdr:cNvPr id="13147114" name="Check Box 2026" hidden="1">
              <a:extLst>
                <a:ext uri="{63B3BB69-23CF-44E3-9099-C40C66FF867C}">
                  <a14:compatExt spid="_x0000_s13147114"/>
                </a:ext>
                <a:ext uri="{FF2B5EF4-FFF2-40B4-BE49-F238E27FC236}">
                  <a16:creationId xmlns:a16="http://schemas.microsoft.com/office/drawing/2014/main" id="{00000000-0008-0000-0200-0000E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9</xdr:col>
          <xdr:colOff>295275</xdr:colOff>
          <xdr:row>41</xdr:row>
          <xdr:rowOff>47625</xdr:rowOff>
        </xdr:to>
        <xdr:sp macro="" textlink="">
          <xdr:nvSpPr>
            <xdr:cNvPr id="13147115" name="Check Box 2027" hidden="1">
              <a:extLst>
                <a:ext uri="{63B3BB69-23CF-44E3-9099-C40C66FF867C}">
                  <a14:compatExt spid="_x0000_s13147115"/>
                </a:ext>
                <a:ext uri="{FF2B5EF4-FFF2-40B4-BE49-F238E27FC236}">
                  <a16:creationId xmlns:a16="http://schemas.microsoft.com/office/drawing/2014/main" id="{00000000-0008-0000-0200-0000E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295275</xdr:colOff>
          <xdr:row>41</xdr:row>
          <xdr:rowOff>47625</xdr:rowOff>
        </xdr:to>
        <xdr:sp macro="" textlink="">
          <xdr:nvSpPr>
            <xdr:cNvPr id="13147116" name="Check Box 2028" hidden="1">
              <a:extLst>
                <a:ext uri="{63B3BB69-23CF-44E3-9099-C40C66FF867C}">
                  <a14:compatExt spid="_x0000_s13147116"/>
                </a:ext>
                <a:ext uri="{FF2B5EF4-FFF2-40B4-BE49-F238E27FC236}">
                  <a16:creationId xmlns:a16="http://schemas.microsoft.com/office/drawing/2014/main" id="{00000000-0008-0000-0200-0000E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9</xdr:col>
          <xdr:colOff>295275</xdr:colOff>
          <xdr:row>40</xdr:row>
          <xdr:rowOff>47625</xdr:rowOff>
        </xdr:to>
        <xdr:sp macro="" textlink="">
          <xdr:nvSpPr>
            <xdr:cNvPr id="13147117" name="Check Box 2029" hidden="1">
              <a:extLst>
                <a:ext uri="{63B3BB69-23CF-44E3-9099-C40C66FF867C}">
                  <a14:compatExt spid="_x0000_s13147117"/>
                </a:ext>
                <a:ext uri="{FF2B5EF4-FFF2-40B4-BE49-F238E27FC236}">
                  <a16:creationId xmlns:a16="http://schemas.microsoft.com/office/drawing/2014/main" id="{00000000-0008-0000-0200-0000E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295275</xdr:colOff>
          <xdr:row>40</xdr:row>
          <xdr:rowOff>47625</xdr:rowOff>
        </xdr:to>
        <xdr:sp macro="" textlink="">
          <xdr:nvSpPr>
            <xdr:cNvPr id="13147118" name="Check Box 2030" hidden="1">
              <a:extLst>
                <a:ext uri="{63B3BB69-23CF-44E3-9099-C40C66FF867C}">
                  <a14:compatExt spid="_x0000_s13147118"/>
                </a:ext>
                <a:ext uri="{FF2B5EF4-FFF2-40B4-BE49-F238E27FC236}">
                  <a16:creationId xmlns:a16="http://schemas.microsoft.com/office/drawing/2014/main" id="{00000000-0008-0000-0200-0000E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9</xdr:col>
          <xdr:colOff>295275</xdr:colOff>
          <xdr:row>39</xdr:row>
          <xdr:rowOff>47625</xdr:rowOff>
        </xdr:to>
        <xdr:sp macro="" textlink="">
          <xdr:nvSpPr>
            <xdr:cNvPr id="13147119" name="Check Box 2031" hidden="1">
              <a:extLst>
                <a:ext uri="{63B3BB69-23CF-44E3-9099-C40C66FF867C}">
                  <a14:compatExt spid="_x0000_s13147119"/>
                </a:ext>
                <a:ext uri="{FF2B5EF4-FFF2-40B4-BE49-F238E27FC236}">
                  <a16:creationId xmlns:a16="http://schemas.microsoft.com/office/drawing/2014/main" id="{00000000-0008-0000-0200-0000E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295275</xdr:colOff>
          <xdr:row>39</xdr:row>
          <xdr:rowOff>47625</xdr:rowOff>
        </xdr:to>
        <xdr:sp macro="" textlink="">
          <xdr:nvSpPr>
            <xdr:cNvPr id="13147120" name="Check Box 2032" hidden="1">
              <a:extLst>
                <a:ext uri="{63B3BB69-23CF-44E3-9099-C40C66FF867C}">
                  <a14:compatExt spid="_x0000_s13147120"/>
                </a:ext>
                <a:ext uri="{FF2B5EF4-FFF2-40B4-BE49-F238E27FC236}">
                  <a16:creationId xmlns:a16="http://schemas.microsoft.com/office/drawing/2014/main" id="{00000000-0008-0000-0200-0000F0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9</xdr:col>
          <xdr:colOff>295275</xdr:colOff>
          <xdr:row>38</xdr:row>
          <xdr:rowOff>47625</xdr:rowOff>
        </xdr:to>
        <xdr:sp macro="" textlink="">
          <xdr:nvSpPr>
            <xdr:cNvPr id="13147121" name="Check Box 2033" hidden="1">
              <a:extLst>
                <a:ext uri="{63B3BB69-23CF-44E3-9099-C40C66FF867C}">
                  <a14:compatExt spid="_x0000_s13147121"/>
                </a:ext>
                <a:ext uri="{FF2B5EF4-FFF2-40B4-BE49-F238E27FC236}">
                  <a16:creationId xmlns:a16="http://schemas.microsoft.com/office/drawing/2014/main" id="{00000000-0008-0000-0200-0000F1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295275</xdr:colOff>
          <xdr:row>38</xdr:row>
          <xdr:rowOff>47625</xdr:rowOff>
        </xdr:to>
        <xdr:sp macro="" textlink="">
          <xdr:nvSpPr>
            <xdr:cNvPr id="13147122" name="Check Box 2034" hidden="1">
              <a:extLst>
                <a:ext uri="{63B3BB69-23CF-44E3-9099-C40C66FF867C}">
                  <a14:compatExt spid="_x0000_s13147122"/>
                </a:ext>
                <a:ext uri="{FF2B5EF4-FFF2-40B4-BE49-F238E27FC236}">
                  <a16:creationId xmlns:a16="http://schemas.microsoft.com/office/drawing/2014/main" id="{00000000-0008-0000-0200-0000F2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9</xdr:col>
          <xdr:colOff>295275</xdr:colOff>
          <xdr:row>37</xdr:row>
          <xdr:rowOff>47625</xdr:rowOff>
        </xdr:to>
        <xdr:sp macro="" textlink="">
          <xdr:nvSpPr>
            <xdr:cNvPr id="13147123" name="Check Box 2035" hidden="1">
              <a:extLst>
                <a:ext uri="{63B3BB69-23CF-44E3-9099-C40C66FF867C}">
                  <a14:compatExt spid="_x0000_s13147123"/>
                </a:ext>
                <a:ext uri="{FF2B5EF4-FFF2-40B4-BE49-F238E27FC236}">
                  <a16:creationId xmlns:a16="http://schemas.microsoft.com/office/drawing/2014/main" id="{00000000-0008-0000-0200-0000F3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47625</xdr:rowOff>
        </xdr:to>
        <xdr:sp macro="" textlink="">
          <xdr:nvSpPr>
            <xdr:cNvPr id="13147124" name="Check Box 2036" hidden="1">
              <a:extLst>
                <a:ext uri="{63B3BB69-23CF-44E3-9099-C40C66FF867C}">
                  <a14:compatExt spid="_x0000_s13147124"/>
                </a:ext>
                <a:ext uri="{FF2B5EF4-FFF2-40B4-BE49-F238E27FC236}">
                  <a16:creationId xmlns:a16="http://schemas.microsoft.com/office/drawing/2014/main" id="{00000000-0008-0000-0200-0000F4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xdr:row>
          <xdr:rowOff>0</xdr:rowOff>
        </xdr:from>
        <xdr:to>
          <xdr:col>9</xdr:col>
          <xdr:colOff>295275</xdr:colOff>
          <xdr:row>36</xdr:row>
          <xdr:rowOff>47625</xdr:rowOff>
        </xdr:to>
        <xdr:sp macro="" textlink="">
          <xdr:nvSpPr>
            <xdr:cNvPr id="13147125" name="Check Box 2037" hidden="1">
              <a:extLst>
                <a:ext uri="{63B3BB69-23CF-44E3-9099-C40C66FF867C}">
                  <a14:compatExt spid="_x0000_s13147125"/>
                </a:ext>
                <a:ext uri="{FF2B5EF4-FFF2-40B4-BE49-F238E27FC236}">
                  <a16:creationId xmlns:a16="http://schemas.microsoft.com/office/drawing/2014/main" id="{00000000-0008-0000-0200-0000F5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47625</xdr:rowOff>
        </xdr:to>
        <xdr:sp macro="" textlink="">
          <xdr:nvSpPr>
            <xdr:cNvPr id="13147126" name="Check Box 2038" hidden="1">
              <a:extLst>
                <a:ext uri="{63B3BB69-23CF-44E3-9099-C40C66FF867C}">
                  <a14:compatExt spid="_x0000_s13147126"/>
                </a:ext>
                <a:ext uri="{FF2B5EF4-FFF2-40B4-BE49-F238E27FC236}">
                  <a16:creationId xmlns:a16="http://schemas.microsoft.com/office/drawing/2014/main" id="{00000000-0008-0000-0200-0000F6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xdr:row>
          <xdr:rowOff>0</xdr:rowOff>
        </xdr:from>
        <xdr:to>
          <xdr:col>9</xdr:col>
          <xdr:colOff>295275</xdr:colOff>
          <xdr:row>35</xdr:row>
          <xdr:rowOff>47625</xdr:rowOff>
        </xdr:to>
        <xdr:sp macro="" textlink="">
          <xdr:nvSpPr>
            <xdr:cNvPr id="13147127" name="Check Box 2039" hidden="1">
              <a:extLst>
                <a:ext uri="{63B3BB69-23CF-44E3-9099-C40C66FF867C}">
                  <a14:compatExt spid="_x0000_s13147127"/>
                </a:ext>
                <a:ext uri="{FF2B5EF4-FFF2-40B4-BE49-F238E27FC236}">
                  <a16:creationId xmlns:a16="http://schemas.microsoft.com/office/drawing/2014/main" id="{00000000-0008-0000-0200-0000F7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47625</xdr:rowOff>
        </xdr:to>
        <xdr:sp macro="" textlink="">
          <xdr:nvSpPr>
            <xdr:cNvPr id="13147128" name="Check Box 2040" hidden="1">
              <a:extLst>
                <a:ext uri="{63B3BB69-23CF-44E3-9099-C40C66FF867C}">
                  <a14:compatExt spid="_x0000_s13147128"/>
                </a:ext>
                <a:ext uri="{FF2B5EF4-FFF2-40B4-BE49-F238E27FC236}">
                  <a16:creationId xmlns:a16="http://schemas.microsoft.com/office/drawing/2014/main" id="{00000000-0008-0000-0200-0000F8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9</xdr:col>
          <xdr:colOff>295275</xdr:colOff>
          <xdr:row>34</xdr:row>
          <xdr:rowOff>47625</xdr:rowOff>
        </xdr:to>
        <xdr:sp macro="" textlink="">
          <xdr:nvSpPr>
            <xdr:cNvPr id="13147129" name="Check Box 2041" hidden="1">
              <a:extLst>
                <a:ext uri="{63B3BB69-23CF-44E3-9099-C40C66FF867C}">
                  <a14:compatExt spid="_x0000_s13147129"/>
                </a:ext>
                <a:ext uri="{FF2B5EF4-FFF2-40B4-BE49-F238E27FC236}">
                  <a16:creationId xmlns:a16="http://schemas.microsoft.com/office/drawing/2014/main" id="{00000000-0008-0000-0200-0000F9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47625</xdr:rowOff>
        </xdr:to>
        <xdr:sp macro="" textlink="">
          <xdr:nvSpPr>
            <xdr:cNvPr id="13147130" name="Check Box 2042" hidden="1">
              <a:extLst>
                <a:ext uri="{63B3BB69-23CF-44E3-9099-C40C66FF867C}">
                  <a14:compatExt spid="_x0000_s13147130"/>
                </a:ext>
                <a:ext uri="{FF2B5EF4-FFF2-40B4-BE49-F238E27FC236}">
                  <a16:creationId xmlns:a16="http://schemas.microsoft.com/office/drawing/2014/main" id="{00000000-0008-0000-0200-0000FA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9</xdr:col>
          <xdr:colOff>295275</xdr:colOff>
          <xdr:row>33</xdr:row>
          <xdr:rowOff>47625</xdr:rowOff>
        </xdr:to>
        <xdr:sp macro="" textlink="">
          <xdr:nvSpPr>
            <xdr:cNvPr id="13147131" name="Check Box 2043" hidden="1">
              <a:extLst>
                <a:ext uri="{63B3BB69-23CF-44E3-9099-C40C66FF867C}">
                  <a14:compatExt spid="_x0000_s13147131"/>
                </a:ext>
                <a:ext uri="{FF2B5EF4-FFF2-40B4-BE49-F238E27FC236}">
                  <a16:creationId xmlns:a16="http://schemas.microsoft.com/office/drawing/2014/main" id="{00000000-0008-0000-0200-0000FB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47625</xdr:rowOff>
        </xdr:to>
        <xdr:sp macro="" textlink="">
          <xdr:nvSpPr>
            <xdr:cNvPr id="13147132" name="Check Box 2044" hidden="1">
              <a:extLst>
                <a:ext uri="{63B3BB69-23CF-44E3-9099-C40C66FF867C}">
                  <a14:compatExt spid="_x0000_s13147132"/>
                </a:ext>
                <a:ext uri="{FF2B5EF4-FFF2-40B4-BE49-F238E27FC236}">
                  <a16:creationId xmlns:a16="http://schemas.microsoft.com/office/drawing/2014/main" id="{00000000-0008-0000-0200-0000FC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9</xdr:col>
          <xdr:colOff>295275</xdr:colOff>
          <xdr:row>32</xdr:row>
          <xdr:rowOff>47625</xdr:rowOff>
        </xdr:to>
        <xdr:sp macro="" textlink="">
          <xdr:nvSpPr>
            <xdr:cNvPr id="13147133" name="Check Box 2045" hidden="1">
              <a:extLst>
                <a:ext uri="{63B3BB69-23CF-44E3-9099-C40C66FF867C}">
                  <a14:compatExt spid="_x0000_s13147133"/>
                </a:ext>
                <a:ext uri="{FF2B5EF4-FFF2-40B4-BE49-F238E27FC236}">
                  <a16:creationId xmlns:a16="http://schemas.microsoft.com/office/drawing/2014/main" id="{00000000-0008-0000-0200-0000FD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295275</xdr:colOff>
          <xdr:row>32</xdr:row>
          <xdr:rowOff>47625</xdr:rowOff>
        </xdr:to>
        <xdr:sp macro="" textlink="">
          <xdr:nvSpPr>
            <xdr:cNvPr id="13147134" name="Check Box 2046" hidden="1">
              <a:extLst>
                <a:ext uri="{63B3BB69-23CF-44E3-9099-C40C66FF867C}">
                  <a14:compatExt spid="_x0000_s13147134"/>
                </a:ext>
                <a:ext uri="{FF2B5EF4-FFF2-40B4-BE49-F238E27FC236}">
                  <a16:creationId xmlns:a16="http://schemas.microsoft.com/office/drawing/2014/main" id="{00000000-0008-0000-0200-0000FE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9</xdr:col>
          <xdr:colOff>295275</xdr:colOff>
          <xdr:row>31</xdr:row>
          <xdr:rowOff>47625</xdr:rowOff>
        </xdr:to>
        <xdr:sp macro="" textlink="">
          <xdr:nvSpPr>
            <xdr:cNvPr id="13147135" name="Check Box 2047" hidden="1">
              <a:extLst>
                <a:ext uri="{63B3BB69-23CF-44E3-9099-C40C66FF867C}">
                  <a14:compatExt spid="_x0000_s13147135"/>
                </a:ext>
                <a:ext uri="{FF2B5EF4-FFF2-40B4-BE49-F238E27FC236}">
                  <a16:creationId xmlns:a16="http://schemas.microsoft.com/office/drawing/2014/main" id="{00000000-0008-0000-0200-0000FF9BC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295275</xdr:colOff>
          <xdr:row>31</xdr:row>
          <xdr:rowOff>47625</xdr:rowOff>
        </xdr:to>
        <xdr:sp macro="" textlink="">
          <xdr:nvSpPr>
            <xdr:cNvPr id="26188800" name="Check Box 2048" hidden="1">
              <a:extLst>
                <a:ext uri="{63B3BB69-23CF-44E3-9099-C40C66FF867C}">
                  <a14:compatExt spid="_x0000_s26188800"/>
                </a:ext>
                <a:ext uri="{FF2B5EF4-FFF2-40B4-BE49-F238E27FC236}">
                  <a16:creationId xmlns:a16="http://schemas.microsoft.com/office/drawing/2014/main" id="{00000000-0008-0000-0200-00000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9</xdr:col>
          <xdr:colOff>295275</xdr:colOff>
          <xdr:row>30</xdr:row>
          <xdr:rowOff>47625</xdr:rowOff>
        </xdr:to>
        <xdr:sp macro="" textlink="">
          <xdr:nvSpPr>
            <xdr:cNvPr id="26188801" name="Check Box 2049" hidden="1">
              <a:extLst>
                <a:ext uri="{63B3BB69-23CF-44E3-9099-C40C66FF867C}">
                  <a14:compatExt spid="_x0000_s26188801"/>
                </a:ext>
                <a:ext uri="{FF2B5EF4-FFF2-40B4-BE49-F238E27FC236}">
                  <a16:creationId xmlns:a16="http://schemas.microsoft.com/office/drawing/2014/main" id="{00000000-0008-0000-0200-00000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4</xdr:col>
          <xdr:colOff>295275</xdr:colOff>
          <xdr:row>30</xdr:row>
          <xdr:rowOff>47625</xdr:rowOff>
        </xdr:to>
        <xdr:sp macro="" textlink="">
          <xdr:nvSpPr>
            <xdr:cNvPr id="26188802" name="Check Box 2050" hidden="1">
              <a:extLst>
                <a:ext uri="{63B3BB69-23CF-44E3-9099-C40C66FF867C}">
                  <a14:compatExt spid="_x0000_s26188802"/>
                </a:ext>
                <a:ext uri="{FF2B5EF4-FFF2-40B4-BE49-F238E27FC236}">
                  <a16:creationId xmlns:a16="http://schemas.microsoft.com/office/drawing/2014/main" id="{00000000-0008-0000-0200-00000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9</xdr:col>
          <xdr:colOff>295275</xdr:colOff>
          <xdr:row>29</xdr:row>
          <xdr:rowOff>47625</xdr:rowOff>
        </xdr:to>
        <xdr:sp macro="" textlink="">
          <xdr:nvSpPr>
            <xdr:cNvPr id="26188803" name="Check Box 2051" hidden="1">
              <a:extLst>
                <a:ext uri="{63B3BB69-23CF-44E3-9099-C40C66FF867C}">
                  <a14:compatExt spid="_x0000_s26188803"/>
                </a:ext>
                <a:ext uri="{FF2B5EF4-FFF2-40B4-BE49-F238E27FC236}">
                  <a16:creationId xmlns:a16="http://schemas.microsoft.com/office/drawing/2014/main" id="{00000000-0008-0000-0200-000003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295275</xdr:colOff>
          <xdr:row>29</xdr:row>
          <xdr:rowOff>47625</xdr:rowOff>
        </xdr:to>
        <xdr:sp macro="" textlink="">
          <xdr:nvSpPr>
            <xdr:cNvPr id="26188804" name="Check Box 2052" hidden="1">
              <a:extLst>
                <a:ext uri="{63B3BB69-23CF-44E3-9099-C40C66FF867C}">
                  <a14:compatExt spid="_x0000_s26188804"/>
                </a:ext>
                <a:ext uri="{FF2B5EF4-FFF2-40B4-BE49-F238E27FC236}">
                  <a16:creationId xmlns:a16="http://schemas.microsoft.com/office/drawing/2014/main" id="{00000000-0008-0000-0200-000004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9</xdr:col>
          <xdr:colOff>295275</xdr:colOff>
          <xdr:row>28</xdr:row>
          <xdr:rowOff>47625</xdr:rowOff>
        </xdr:to>
        <xdr:sp macro="" textlink="">
          <xdr:nvSpPr>
            <xdr:cNvPr id="26188805" name="Check Box 2053" hidden="1">
              <a:extLst>
                <a:ext uri="{63B3BB69-23CF-44E3-9099-C40C66FF867C}">
                  <a14:compatExt spid="_x0000_s26188805"/>
                </a:ext>
                <a:ext uri="{FF2B5EF4-FFF2-40B4-BE49-F238E27FC236}">
                  <a16:creationId xmlns:a16="http://schemas.microsoft.com/office/drawing/2014/main" id="{00000000-0008-0000-0200-00000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295275</xdr:colOff>
          <xdr:row>28</xdr:row>
          <xdr:rowOff>47625</xdr:rowOff>
        </xdr:to>
        <xdr:sp macro="" textlink="">
          <xdr:nvSpPr>
            <xdr:cNvPr id="26188806" name="Check Box 2054" hidden="1">
              <a:extLst>
                <a:ext uri="{63B3BB69-23CF-44E3-9099-C40C66FF867C}">
                  <a14:compatExt spid="_x0000_s26188806"/>
                </a:ext>
                <a:ext uri="{FF2B5EF4-FFF2-40B4-BE49-F238E27FC236}">
                  <a16:creationId xmlns:a16="http://schemas.microsoft.com/office/drawing/2014/main" id="{00000000-0008-0000-0200-00000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9</xdr:col>
          <xdr:colOff>295275</xdr:colOff>
          <xdr:row>27</xdr:row>
          <xdr:rowOff>47625</xdr:rowOff>
        </xdr:to>
        <xdr:sp macro="" textlink="">
          <xdr:nvSpPr>
            <xdr:cNvPr id="26188807" name="Check Box 2055" hidden="1">
              <a:extLst>
                <a:ext uri="{63B3BB69-23CF-44E3-9099-C40C66FF867C}">
                  <a14:compatExt spid="_x0000_s26188807"/>
                </a:ext>
                <a:ext uri="{FF2B5EF4-FFF2-40B4-BE49-F238E27FC236}">
                  <a16:creationId xmlns:a16="http://schemas.microsoft.com/office/drawing/2014/main" id="{00000000-0008-0000-0200-00000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295275</xdr:colOff>
          <xdr:row>27</xdr:row>
          <xdr:rowOff>47625</xdr:rowOff>
        </xdr:to>
        <xdr:sp macro="" textlink="">
          <xdr:nvSpPr>
            <xdr:cNvPr id="26188808" name="Check Box 2056" hidden="1">
              <a:extLst>
                <a:ext uri="{63B3BB69-23CF-44E3-9099-C40C66FF867C}">
                  <a14:compatExt spid="_x0000_s26188808"/>
                </a:ext>
                <a:ext uri="{FF2B5EF4-FFF2-40B4-BE49-F238E27FC236}">
                  <a16:creationId xmlns:a16="http://schemas.microsoft.com/office/drawing/2014/main" id="{00000000-0008-0000-0200-00000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9</xdr:col>
          <xdr:colOff>295275</xdr:colOff>
          <xdr:row>26</xdr:row>
          <xdr:rowOff>47625</xdr:rowOff>
        </xdr:to>
        <xdr:sp macro="" textlink="">
          <xdr:nvSpPr>
            <xdr:cNvPr id="26188809" name="Check Box 2057" hidden="1">
              <a:extLst>
                <a:ext uri="{63B3BB69-23CF-44E3-9099-C40C66FF867C}">
                  <a14:compatExt spid="_x0000_s26188809"/>
                </a:ext>
                <a:ext uri="{FF2B5EF4-FFF2-40B4-BE49-F238E27FC236}">
                  <a16:creationId xmlns:a16="http://schemas.microsoft.com/office/drawing/2014/main" id="{00000000-0008-0000-0200-00000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295275</xdr:colOff>
          <xdr:row>26</xdr:row>
          <xdr:rowOff>47625</xdr:rowOff>
        </xdr:to>
        <xdr:sp macro="" textlink="">
          <xdr:nvSpPr>
            <xdr:cNvPr id="26188810" name="Check Box 2058" hidden="1">
              <a:extLst>
                <a:ext uri="{63B3BB69-23CF-44E3-9099-C40C66FF867C}">
                  <a14:compatExt spid="_x0000_s26188810"/>
                </a:ext>
                <a:ext uri="{FF2B5EF4-FFF2-40B4-BE49-F238E27FC236}">
                  <a16:creationId xmlns:a16="http://schemas.microsoft.com/office/drawing/2014/main" id="{00000000-0008-0000-0200-00000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9</xdr:col>
          <xdr:colOff>295275</xdr:colOff>
          <xdr:row>25</xdr:row>
          <xdr:rowOff>47625</xdr:rowOff>
        </xdr:to>
        <xdr:sp macro="" textlink="">
          <xdr:nvSpPr>
            <xdr:cNvPr id="26188811" name="Check Box 2059" hidden="1">
              <a:extLst>
                <a:ext uri="{63B3BB69-23CF-44E3-9099-C40C66FF867C}">
                  <a14:compatExt spid="_x0000_s26188811"/>
                </a:ext>
                <a:ext uri="{FF2B5EF4-FFF2-40B4-BE49-F238E27FC236}">
                  <a16:creationId xmlns:a16="http://schemas.microsoft.com/office/drawing/2014/main" id="{00000000-0008-0000-0200-00000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4</xdr:col>
          <xdr:colOff>295275</xdr:colOff>
          <xdr:row>25</xdr:row>
          <xdr:rowOff>47625</xdr:rowOff>
        </xdr:to>
        <xdr:sp macro="" textlink="">
          <xdr:nvSpPr>
            <xdr:cNvPr id="26188812" name="Check Box 2060" hidden="1">
              <a:extLst>
                <a:ext uri="{63B3BB69-23CF-44E3-9099-C40C66FF867C}">
                  <a14:compatExt spid="_x0000_s26188812"/>
                </a:ext>
                <a:ext uri="{FF2B5EF4-FFF2-40B4-BE49-F238E27FC236}">
                  <a16:creationId xmlns:a16="http://schemas.microsoft.com/office/drawing/2014/main" id="{00000000-0008-0000-0200-00000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xdr:row>
          <xdr:rowOff>0</xdr:rowOff>
        </xdr:from>
        <xdr:to>
          <xdr:col>9</xdr:col>
          <xdr:colOff>295275</xdr:colOff>
          <xdr:row>24</xdr:row>
          <xdr:rowOff>47625</xdr:rowOff>
        </xdr:to>
        <xdr:sp macro="" textlink="">
          <xdr:nvSpPr>
            <xdr:cNvPr id="26188813" name="Check Box 2061" hidden="1">
              <a:extLst>
                <a:ext uri="{63B3BB69-23CF-44E3-9099-C40C66FF867C}">
                  <a14:compatExt spid="_x0000_s26188813"/>
                </a:ext>
                <a:ext uri="{FF2B5EF4-FFF2-40B4-BE49-F238E27FC236}">
                  <a16:creationId xmlns:a16="http://schemas.microsoft.com/office/drawing/2014/main" id="{00000000-0008-0000-0200-00000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4</xdr:col>
          <xdr:colOff>295275</xdr:colOff>
          <xdr:row>24</xdr:row>
          <xdr:rowOff>47625</xdr:rowOff>
        </xdr:to>
        <xdr:sp macro="" textlink="">
          <xdr:nvSpPr>
            <xdr:cNvPr id="26188814" name="Check Box 2062" hidden="1">
              <a:extLst>
                <a:ext uri="{63B3BB69-23CF-44E3-9099-C40C66FF867C}">
                  <a14:compatExt spid="_x0000_s26188814"/>
                </a:ext>
                <a:ext uri="{FF2B5EF4-FFF2-40B4-BE49-F238E27FC236}">
                  <a16:creationId xmlns:a16="http://schemas.microsoft.com/office/drawing/2014/main" id="{00000000-0008-0000-0200-00000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9</xdr:col>
          <xdr:colOff>295275</xdr:colOff>
          <xdr:row>23</xdr:row>
          <xdr:rowOff>47625</xdr:rowOff>
        </xdr:to>
        <xdr:sp macro="" textlink="">
          <xdr:nvSpPr>
            <xdr:cNvPr id="26188815" name="Check Box 2063" hidden="1">
              <a:extLst>
                <a:ext uri="{63B3BB69-23CF-44E3-9099-C40C66FF867C}">
                  <a14:compatExt spid="_x0000_s26188815"/>
                </a:ext>
                <a:ext uri="{FF2B5EF4-FFF2-40B4-BE49-F238E27FC236}">
                  <a16:creationId xmlns:a16="http://schemas.microsoft.com/office/drawing/2014/main" id="{00000000-0008-0000-0200-00000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295275</xdr:colOff>
          <xdr:row>23</xdr:row>
          <xdr:rowOff>47625</xdr:rowOff>
        </xdr:to>
        <xdr:sp macro="" textlink="">
          <xdr:nvSpPr>
            <xdr:cNvPr id="26188816" name="Check Box 2064" hidden="1">
              <a:extLst>
                <a:ext uri="{63B3BB69-23CF-44E3-9099-C40C66FF867C}">
                  <a14:compatExt spid="_x0000_s26188816"/>
                </a:ext>
                <a:ext uri="{FF2B5EF4-FFF2-40B4-BE49-F238E27FC236}">
                  <a16:creationId xmlns:a16="http://schemas.microsoft.com/office/drawing/2014/main" id="{00000000-0008-0000-0200-00001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9</xdr:col>
          <xdr:colOff>295275</xdr:colOff>
          <xdr:row>22</xdr:row>
          <xdr:rowOff>47625</xdr:rowOff>
        </xdr:to>
        <xdr:sp macro="" textlink="">
          <xdr:nvSpPr>
            <xdr:cNvPr id="26188817" name="Check Box 2065" hidden="1">
              <a:extLst>
                <a:ext uri="{63B3BB69-23CF-44E3-9099-C40C66FF867C}">
                  <a14:compatExt spid="_x0000_s26188817"/>
                </a:ext>
                <a:ext uri="{FF2B5EF4-FFF2-40B4-BE49-F238E27FC236}">
                  <a16:creationId xmlns:a16="http://schemas.microsoft.com/office/drawing/2014/main" id="{00000000-0008-0000-0200-00001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295275</xdr:colOff>
          <xdr:row>22</xdr:row>
          <xdr:rowOff>47625</xdr:rowOff>
        </xdr:to>
        <xdr:sp macro="" textlink="">
          <xdr:nvSpPr>
            <xdr:cNvPr id="26188818" name="Check Box 2066" hidden="1">
              <a:extLst>
                <a:ext uri="{63B3BB69-23CF-44E3-9099-C40C66FF867C}">
                  <a14:compatExt spid="_x0000_s26188818"/>
                </a:ext>
                <a:ext uri="{FF2B5EF4-FFF2-40B4-BE49-F238E27FC236}">
                  <a16:creationId xmlns:a16="http://schemas.microsoft.com/office/drawing/2014/main" id="{00000000-0008-0000-0200-00001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9</xdr:col>
          <xdr:colOff>295275</xdr:colOff>
          <xdr:row>21</xdr:row>
          <xdr:rowOff>47625</xdr:rowOff>
        </xdr:to>
        <xdr:sp macro="" textlink="">
          <xdr:nvSpPr>
            <xdr:cNvPr id="26188821" name="Check Box 2069" hidden="1">
              <a:extLst>
                <a:ext uri="{63B3BB69-23CF-44E3-9099-C40C66FF867C}">
                  <a14:compatExt spid="_x0000_s26188821"/>
                </a:ext>
                <a:ext uri="{FF2B5EF4-FFF2-40B4-BE49-F238E27FC236}">
                  <a16:creationId xmlns:a16="http://schemas.microsoft.com/office/drawing/2014/main" id="{00000000-0008-0000-0200-00001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295275</xdr:colOff>
          <xdr:row>21</xdr:row>
          <xdr:rowOff>47625</xdr:rowOff>
        </xdr:to>
        <xdr:sp macro="" textlink="">
          <xdr:nvSpPr>
            <xdr:cNvPr id="26188822" name="Check Box 2070" hidden="1">
              <a:extLst>
                <a:ext uri="{63B3BB69-23CF-44E3-9099-C40C66FF867C}">
                  <a14:compatExt spid="_x0000_s26188822"/>
                </a:ext>
                <a:ext uri="{FF2B5EF4-FFF2-40B4-BE49-F238E27FC236}">
                  <a16:creationId xmlns:a16="http://schemas.microsoft.com/office/drawing/2014/main" id="{00000000-0008-0000-0200-00001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9</xdr:col>
          <xdr:colOff>295275</xdr:colOff>
          <xdr:row>20</xdr:row>
          <xdr:rowOff>47625</xdr:rowOff>
        </xdr:to>
        <xdr:sp macro="" textlink="">
          <xdr:nvSpPr>
            <xdr:cNvPr id="26188823" name="Check Box 2071" hidden="1">
              <a:extLst>
                <a:ext uri="{63B3BB69-23CF-44E3-9099-C40C66FF867C}">
                  <a14:compatExt spid="_x0000_s26188823"/>
                </a:ext>
                <a:ext uri="{FF2B5EF4-FFF2-40B4-BE49-F238E27FC236}">
                  <a16:creationId xmlns:a16="http://schemas.microsoft.com/office/drawing/2014/main" id="{00000000-0008-0000-0200-00001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295275</xdr:colOff>
          <xdr:row>20</xdr:row>
          <xdr:rowOff>47625</xdr:rowOff>
        </xdr:to>
        <xdr:sp macro="" textlink="">
          <xdr:nvSpPr>
            <xdr:cNvPr id="26188824" name="Check Box 2072" hidden="1">
              <a:extLst>
                <a:ext uri="{63B3BB69-23CF-44E3-9099-C40C66FF867C}">
                  <a14:compatExt spid="_x0000_s26188824"/>
                </a:ext>
                <a:ext uri="{FF2B5EF4-FFF2-40B4-BE49-F238E27FC236}">
                  <a16:creationId xmlns:a16="http://schemas.microsoft.com/office/drawing/2014/main" id="{00000000-0008-0000-0200-00001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xdr:row>
          <xdr:rowOff>0</xdr:rowOff>
        </xdr:from>
        <xdr:to>
          <xdr:col>9</xdr:col>
          <xdr:colOff>295275</xdr:colOff>
          <xdr:row>19</xdr:row>
          <xdr:rowOff>47625</xdr:rowOff>
        </xdr:to>
        <xdr:sp macro="" textlink="">
          <xdr:nvSpPr>
            <xdr:cNvPr id="26188825" name="Check Box 2073" hidden="1">
              <a:extLst>
                <a:ext uri="{63B3BB69-23CF-44E3-9099-C40C66FF867C}">
                  <a14:compatExt spid="_x0000_s26188825"/>
                </a:ext>
                <a:ext uri="{FF2B5EF4-FFF2-40B4-BE49-F238E27FC236}">
                  <a16:creationId xmlns:a16="http://schemas.microsoft.com/office/drawing/2014/main" id="{00000000-0008-0000-0200-00001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295275</xdr:colOff>
          <xdr:row>19</xdr:row>
          <xdr:rowOff>47625</xdr:rowOff>
        </xdr:to>
        <xdr:sp macro="" textlink="">
          <xdr:nvSpPr>
            <xdr:cNvPr id="26188826" name="Check Box 2074" hidden="1">
              <a:extLst>
                <a:ext uri="{63B3BB69-23CF-44E3-9099-C40C66FF867C}">
                  <a14:compatExt spid="_x0000_s26188826"/>
                </a:ext>
                <a:ext uri="{FF2B5EF4-FFF2-40B4-BE49-F238E27FC236}">
                  <a16:creationId xmlns:a16="http://schemas.microsoft.com/office/drawing/2014/main" id="{00000000-0008-0000-0200-00001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9</xdr:col>
          <xdr:colOff>295275</xdr:colOff>
          <xdr:row>18</xdr:row>
          <xdr:rowOff>47625</xdr:rowOff>
        </xdr:to>
        <xdr:sp macro="" textlink="">
          <xdr:nvSpPr>
            <xdr:cNvPr id="26188827" name="Check Box 2075" hidden="1">
              <a:extLst>
                <a:ext uri="{63B3BB69-23CF-44E3-9099-C40C66FF867C}">
                  <a14:compatExt spid="_x0000_s26188827"/>
                </a:ext>
                <a:ext uri="{FF2B5EF4-FFF2-40B4-BE49-F238E27FC236}">
                  <a16:creationId xmlns:a16="http://schemas.microsoft.com/office/drawing/2014/main" id="{00000000-0008-0000-0200-00001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295275</xdr:colOff>
          <xdr:row>18</xdr:row>
          <xdr:rowOff>47625</xdr:rowOff>
        </xdr:to>
        <xdr:sp macro="" textlink="">
          <xdr:nvSpPr>
            <xdr:cNvPr id="26188828" name="Check Box 2076" hidden="1">
              <a:extLst>
                <a:ext uri="{63B3BB69-23CF-44E3-9099-C40C66FF867C}">
                  <a14:compatExt spid="_x0000_s26188828"/>
                </a:ext>
                <a:ext uri="{FF2B5EF4-FFF2-40B4-BE49-F238E27FC236}">
                  <a16:creationId xmlns:a16="http://schemas.microsoft.com/office/drawing/2014/main" id="{00000000-0008-0000-0200-00001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0</xdr:rowOff>
        </xdr:from>
        <xdr:to>
          <xdr:col>9</xdr:col>
          <xdr:colOff>295275</xdr:colOff>
          <xdr:row>17</xdr:row>
          <xdr:rowOff>47625</xdr:rowOff>
        </xdr:to>
        <xdr:sp macro="" textlink="">
          <xdr:nvSpPr>
            <xdr:cNvPr id="26188829" name="Check Box 2077" hidden="1">
              <a:extLst>
                <a:ext uri="{63B3BB69-23CF-44E3-9099-C40C66FF867C}">
                  <a14:compatExt spid="_x0000_s26188829"/>
                </a:ext>
                <a:ext uri="{FF2B5EF4-FFF2-40B4-BE49-F238E27FC236}">
                  <a16:creationId xmlns:a16="http://schemas.microsoft.com/office/drawing/2014/main" id="{00000000-0008-0000-0200-00001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295275</xdr:colOff>
          <xdr:row>17</xdr:row>
          <xdr:rowOff>47625</xdr:rowOff>
        </xdr:to>
        <xdr:sp macro="" textlink="">
          <xdr:nvSpPr>
            <xdr:cNvPr id="26188830" name="Check Box 2078" hidden="1">
              <a:extLst>
                <a:ext uri="{63B3BB69-23CF-44E3-9099-C40C66FF867C}">
                  <a14:compatExt spid="_x0000_s26188830"/>
                </a:ext>
                <a:ext uri="{FF2B5EF4-FFF2-40B4-BE49-F238E27FC236}">
                  <a16:creationId xmlns:a16="http://schemas.microsoft.com/office/drawing/2014/main" id="{00000000-0008-0000-0200-00001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9</xdr:col>
          <xdr:colOff>295275</xdr:colOff>
          <xdr:row>16</xdr:row>
          <xdr:rowOff>66675</xdr:rowOff>
        </xdr:to>
        <xdr:sp macro="" textlink="">
          <xdr:nvSpPr>
            <xdr:cNvPr id="26188831" name="Check Box 2079" hidden="1">
              <a:extLst>
                <a:ext uri="{63B3BB69-23CF-44E3-9099-C40C66FF867C}">
                  <a14:compatExt spid="_x0000_s26188831"/>
                </a:ext>
                <a:ext uri="{FF2B5EF4-FFF2-40B4-BE49-F238E27FC236}">
                  <a16:creationId xmlns:a16="http://schemas.microsoft.com/office/drawing/2014/main" id="{00000000-0008-0000-0200-00001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4</xdr:col>
          <xdr:colOff>295275</xdr:colOff>
          <xdr:row>16</xdr:row>
          <xdr:rowOff>66675</xdr:rowOff>
        </xdr:to>
        <xdr:sp macro="" textlink="">
          <xdr:nvSpPr>
            <xdr:cNvPr id="26188832" name="Check Box 2080" hidden="1">
              <a:extLst>
                <a:ext uri="{63B3BB69-23CF-44E3-9099-C40C66FF867C}">
                  <a14:compatExt spid="_x0000_s26188832"/>
                </a:ext>
                <a:ext uri="{FF2B5EF4-FFF2-40B4-BE49-F238E27FC236}">
                  <a16:creationId xmlns:a16="http://schemas.microsoft.com/office/drawing/2014/main" id="{00000000-0008-0000-0200-00002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xdr:row>
          <xdr:rowOff>0</xdr:rowOff>
        </xdr:from>
        <xdr:to>
          <xdr:col>9</xdr:col>
          <xdr:colOff>295275</xdr:colOff>
          <xdr:row>15</xdr:row>
          <xdr:rowOff>47625</xdr:rowOff>
        </xdr:to>
        <xdr:sp macro="" textlink="">
          <xdr:nvSpPr>
            <xdr:cNvPr id="26188835" name="Check Box 2083" hidden="1">
              <a:extLst>
                <a:ext uri="{63B3BB69-23CF-44E3-9099-C40C66FF867C}">
                  <a14:compatExt spid="_x0000_s26188835"/>
                </a:ext>
                <a:ext uri="{FF2B5EF4-FFF2-40B4-BE49-F238E27FC236}">
                  <a16:creationId xmlns:a16="http://schemas.microsoft.com/office/drawing/2014/main" id="{00000000-0008-0000-0200-000023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295275</xdr:colOff>
          <xdr:row>15</xdr:row>
          <xdr:rowOff>47625</xdr:rowOff>
        </xdr:to>
        <xdr:sp macro="" textlink="">
          <xdr:nvSpPr>
            <xdr:cNvPr id="26188836" name="Check Box 2084" hidden="1">
              <a:extLst>
                <a:ext uri="{63B3BB69-23CF-44E3-9099-C40C66FF867C}">
                  <a14:compatExt spid="_x0000_s26188836"/>
                </a:ext>
                <a:ext uri="{FF2B5EF4-FFF2-40B4-BE49-F238E27FC236}">
                  <a16:creationId xmlns:a16="http://schemas.microsoft.com/office/drawing/2014/main" id="{00000000-0008-0000-0200-000024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9</xdr:col>
          <xdr:colOff>295275</xdr:colOff>
          <xdr:row>14</xdr:row>
          <xdr:rowOff>47625</xdr:rowOff>
        </xdr:to>
        <xdr:sp macro="" textlink="">
          <xdr:nvSpPr>
            <xdr:cNvPr id="26188837" name="Check Box 2085" hidden="1">
              <a:extLst>
                <a:ext uri="{63B3BB69-23CF-44E3-9099-C40C66FF867C}">
                  <a14:compatExt spid="_x0000_s26188837"/>
                </a:ext>
                <a:ext uri="{FF2B5EF4-FFF2-40B4-BE49-F238E27FC236}">
                  <a16:creationId xmlns:a16="http://schemas.microsoft.com/office/drawing/2014/main" id="{00000000-0008-0000-0200-00002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295275</xdr:colOff>
          <xdr:row>14</xdr:row>
          <xdr:rowOff>47625</xdr:rowOff>
        </xdr:to>
        <xdr:sp macro="" textlink="">
          <xdr:nvSpPr>
            <xdr:cNvPr id="26188838" name="Check Box 2086" hidden="1">
              <a:extLst>
                <a:ext uri="{63B3BB69-23CF-44E3-9099-C40C66FF867C}">
                  <a14:compatExt spid="_x0000_s26188838"/>
                </a:ext>
                <a:ext uri="{FF2B5EF4-FFF2-40B4-BE49-F238E27FC236}">
                  <a16:creationId xmlns:a16="http://schemas.microsoft.com/office/drawing/2014/main" id="{00000000-0008-0000-0200-00002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9</xdr:col>
          <xdr:colOff>295275</xdr:colOff>
          <xdr:row>13</xdr:row>
          <xdr:rowOff>47625</xdr:rowOff>
        </xdr:to>
        <xdr:sp macro="" textlink="">
          <xdr:nvSpPr>
            <xdr:cNvPr id="26188839" name="Check Box 2087" hidden="1">
              <a:extLst>
                <a:ext uri="{63B3BB69-23CF-44E3-9099-C40C66FF867C}">
                  <a14:compatExt spid="_x0000_s26188839"/>
                </a:ext>
                <a:ext uri="{FF2B5EF4-FFF2-40B4-BE49-F238E27FC236}">
                  <a16:creationId xmlns:a16="http://schemas.microsoft.com/office/drawing/2014/main" id="{00000000-0008-0000-0200-000027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295275</xdr:colOff>
          <xdr:row>13</xdr:row>
          <xdr:rowOff>47625</xdr:rowOff>
        </xdr:to>
        <xdr:sp macro="" textlink="">
          <xdr:nvSpPr>
            <xdr:cNvPr id="26188840" name="Check Box 2088" hidden="1">
              <a:extLst>
                <a:ext uri="{63B3BB69-23CF-44E3-9099-C40C66FF867C}">
                  <a14:compatExt spid="_x0000_s26188840"/>
                </a:ext>
                <a:ext uri="{FF2B5EF4-FFF2-40B4-BE49-F238E27FC236}">
                  <a16:creationId xmlns:a16="http://schemas.microsoft.com/office/drawing/2014/main" id="{00000000-0008-0000-0200-000028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9</xdr:col>
          <xdr:colOff>295275</xdr:colOff>
          <xdr:row>12</xdr:row>
          <xdr:rowOff>47625</xdr:rowOff>
        </xdr:to>
        <xdr:sp macro="" textlink="">
          <xdr:nvSpPr>
            <xdr:cNvPr id="26188841" name="Check Box 2089" hidden="1">
              <a:extLst>
                <a:ext uri="{63B3BB69-23CF-44E3-9099-C40C66FF867C}">
                  <a14:compatExt spid="_x0000_s26188841"/>
                </a:ext>
                <a:ext uri="{FF2B5EF4-FFF2-40B4-BE49-F238E27FC236}">
                  <a16:creationId xmlns:a16="http://schemas.microsoft.com/office/drawing/2014/main" id="{00000000-0008-0000-0200-00002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295275</xdr:colOff>
          <xdr:row>12</xdr:row>
          <xdr:rowOff>47625</xdr:rowOff>
        </xdr:to>
        <xdr:sp macro="" textlink="">
          <xdr:nvSpPr>
            <xdr:cNvPr id="26188842" name="Check Box 2090" hidden="1">
              <a:extLst>
                <a:ext uri="{63B3BB69-23CF-44E3-9099-C40C66FF867C}">
                  <a14:compatExt spid="_x0000_s26188842"/>
                </a:ext>
                <a:ext uri="{FF2B5EF4-FFF2-40B4-BE49-F238E27FC236}">
                  <a16:creationId xmlns:a16="http://schemas.microsoft.com/office/drawing/2014/main" id="{00000000-0008-0000-0200-00002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9</xdr:col>
          <xdr:colOff>295275</xdr:colOff>
          <xdr:row>11</xdr:row>
          <xdr:rowOff>47625</xdr:rowOff>
        </xdr:to>
        <xdr:sp macro="" textlink="">
          <xdr:nvSpPr>
            <xdr:cNvPr id="26188843" name="Check Box 2091" hidden="1">
              <a:extLst>
                <a:ext uri="{63B3BB69-23CF-44E3-9099-C40C66FF867C}">
                  <a14:compatExt spid="_x0000_s26188843"/>
                </a:ext>
                <a:ext uri="{FF2B5EF4-FFF2-40B4-BE49-F238E27FC236}">
                  <a16:creationId xmlns:a16="http://schemas.microsoft.com/office/drawing/2014/main" id="{00000000-0008-0000-0200-00002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295275</xdr:colOff>
          <xdr:row>11</xdr:row>
          <xdr:rowOff>47625</xdr:rowOff>
        </xdr:to>
        <xdr:sp macro="" textlink="">
          <xdr:nvSpPr>
            <xdr:cNvPr id="26188844" name="Check Box 2092" hidden="1">
              <a:extLst>
                <a:ext uri="{63B3BB69-23CF-44E3-9099-C40C66FF867C}">
                  <a14:compatExt spid="_x0000_s26188844"/>
                </a:ext>
                <a:ext uri="{FF2B5EF4-FFF2-40B4-BE49-F238E27FC236}">
                  <a16:creationId xmlns:a16="http://schemas.microsoft.com/office/drawing/2014/main" id="{00000000-0008-0000-0200-00002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9</xdr:col>
          <xdr:colOff>295275</xdr:colOff>
          <xdr:row>10</xdr:row>
          <xdr:rowOff>47625</xdr:rowOff>
        </xdr:to>
        <xdr:sp macro="" textlink="">
          <xdr:nvSpPr>
            <xdr:cNvPr id="26188845" name="Check Box 2093" hidden="1">
              <a:extLst>
                <a:ext uri="{63B3BB69-23CF-44E3-9099-C40C66FF867C}">
                  <a14:compatExt spid="_x0000_s26188845"/>
                </a:ext>
                <a:ext uri="{FF2B5EF4-FFF2-40B4-BE49-F238E27FC236}">
                  <a16:creationId xmlns:a16="http://schemas.microsoft.com/office/drawing/2014/main" id="{00000000-0008-0000-0200-00002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295275</xdr:colOff>
          <xdr:row>10</xdr:row>
          <xdr:rowOff>47625</xdr:rowOff>
        </xdr:to>
        <xdr:sp macro="" textlink="">
          <xdr:nvSpPr>
            <xdr:cNvPr id="26188846" name="Check Box 2094" hidden="1">
              <a:extLst>
                <a:ext uri="{63B3BB69-23CF-44E3-9099-C40C66FF867C}">
                  <a14:compatExt spid="_x0000_s26188846"/>
                </a:ext>
                <a:ext uri="{FF2B5EF4-FFF2-40B4-BE49-F238E27FC236}">
                  <a16:creationId xmlns:a16="http://schemas.microsoft.com/office/drawing/2014/main" id="{00000000-0008-0000-0200-00002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9</xdr:col>
          <xdr:colOff>295275</xdr:colOff>
          <xdr:row>9</xdr:row>
          <xdr:rowOff>47625</xdr:rowOff>
        </xdr:to>
        <xdr:sp macro="" textlink="">
          <xdr:nvSpPr>
            <xdr:cNvPr id="26188851" name="Check Box 2099" hidden="1">
              <a:extLst>
                <a:ext uri="{63B3BB69-23CF-44E3-9099-C40C66FF867C}">
                  <a14:compatExt spid="_x0000_s26188851"/>
                </a:ext>
                <a:ext uri="{FF2B5EF4-FFF2-40B4-BE49-F238E27FC236}">
                  <a16:creationId xmlns:a16="http://schemas.microsoft.com/office/drawing/2014/main" id="{00000000-0008-0000-0200-000033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295275</xdr:colOff>
          <xdr:row>9</xdr:row>
          <xdr:rowOff>47625</xdr:rowOff>
        </xdr:to>
        <xdr:sp macro="" textlink="">
          <xdr:nvSpPr>
            <xdr:cNvPr id="26188852" name="Check Box 2100" hidden="1">
              <a:extLst>
                <a:ext uri="{63B3BB69-23CF-44E3-9099-C40C66FF867C}">
                  <a14:compatExt spid="_x0000_s26188852"/>
                </a:ext>
                <a:ext uri="{FF2B5EF4-FFF2-40B4-BE49-F238E27FC236}">
                  <a16:creationId xmlns:a16="http://schemas.microsoft.com/office/drawing/2014/main" id="{00000000-0008-0000-0200-000034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xdr:row>
          <xdr:rowOff>0</xdr:rowOff>
        </xdr:from>
        <xdr:to>
          <xdr:col>9</xdr:col>
          <xdr:colOff>295275</xdr:colOff>
          <xdr:row>8</xdr:row>
          <xdr:rowOff>47625</xdr:rowOff>
        </xdr:to>
        <xdr:sp macro="" textlink="">
          <xdr:nvSpPr>
            <xdr:cNvPr id="26188853" name="Check Box 2101" hidden="1">
              <a:extLst>
                <a:ext uri="{63B3BB69-23CF-44E3-9099-C40C66FF867C}">
                  <a14:compatExt spid="_x0000_s26188853"/>
                </a:ext>
                <a:ext uri="{FF2B5EF4-FFF2-40B4-BE49-F238E27FC236}">
                  <a16:creationId xmlns:a16="http://schemas.microsoft.com/office/drawing/2014/main" id="{00000000-0008-0000-0200-000035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295275</xdr:colOff>
          <xdr:row>8</xdr:row>
          <xdr:rowOff>47625</xdr:rowOff>
        </xdr:to>
        <xdr:sp macro="" textlink="">
          <xdr:nvSpPr>
            <xdr:cNvPr id="26188854" name="Check Box 2102" hidden="1">
              <a:extLst>
                <a:ext uri="{63B3BB69-23CF-44E3-9099-C40C66FF867C}">
                  <a14:compatExt spid="_x0000_s26188854"/>
                </a:ext>
                <a:ext uri="{FF2B5EF4-FFF2-40B4-BE49-F238E27FC236}">
                  <a16:creationId xmlns:a16="http://schemas.microsoft.com/office/drawing/2014/main" id="{00000000-0008-0000-0200-000036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9</xdr:col>
          <xdr:colOff>295275</xdr:colOff>
          <xdr:row>7</xdr:row>
          <xdr:rowOff>47625</xdr:rowOff>
        </xdr:to>
        <xdr:sp macro="" textlink="">
          <xdr:nvSpPr>
            <xdr:cNvPr id="26188857" name="Check Box 2105" hidden="1">
              <a:extLst>
                <a:ext uri="{63B3BB69-23CF-44E3-9099-C40C66FF867C}">
                  <a14:compatExt spid="_x0000_s26188857"/>
                </a:ext>
                <a:ext uri="{FF2B5EF4-FFF2-40B4-BE49-F238E27FC236}">
                  <a16:creationId xmlns:a16="http://schemas.microsoft.com/office/drawing/2014/main" id="{00000000-0008-0000-0200-000039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295275</xdr:colOff>
          <xdr:row>7</xdr:row>
          <xdr:rowOff>47625</xdr:rowOff>
        </xdr:to>
        <xdr:sp macro="" textlink="">
          <xdr:nvSpPr>
            <xdr:cNvPr id="26188858" name="Check Box 2106" hidden="1">
              <a:extLst>
                <a:ext uri="{63B3BB69-23CF-44E3-9099-C40C66FF867C}">
                  <a14:compatExt spid="_x0000_s26188858"/>
                </a:ext>
                <a:ext uri="{FF2B5EF4-FFF2-40B4-BE49-F238E27FC236}">
                  <a16:creationId xmlns:a16="http://schemas.microsoft.com/office/drawing/2014/main" id="{00000000-0008-0000-0200-00003A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xdr:row>
          <xdr:rowOff>0</xdr:rowOff>
        </xdr:from>
        <xdr:to>
          <xdr:col>9</xdr:col>
          <xdr:colOff>295275</xdr:colOff>
          <xdr:row>6</xdr:row>
          <xdr:rowOff>47625</xdr:rowOff>
        </xdr:to>
        <xdr:sp macro="" textlink="">
          <xdr:nvSpPr>
            <xdr:cNvPr id="26188859" name="Check Box 2107" hidden="1">
              <a:extLst>
                <a:ext uri="{63B3BB69-23CF-44E3-9099-C40C66FF867C}">
                  <a14:compatExt spid="_x0000_s26188859"/>
                </a:ext>
                <a:ext uri="{FF2B5EF4-FFF2-40B4-BE49-F238E27FC236}">
                  <a16:creationId xmlns:a16="http://schemas.microsoft.com/office/drawing/2014/main" id="{00000000-0008-0000-0200-00003B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295275</xdr:colOff>
          <xdr:row>6</xdr:row>
          <xdr:rowOff>47625</xdr:rowOff>
        </xdr:to>
        <xdr:sp macro="" textlink="">
          <xdr:nvSpPr>
            <xdr:cNvPr id="26188860" name="Check Box 2108" hidden="1">
              <a:extLst>
                <a:ext uri="{63B3BB69-23CF-44E3-9099-C40C66FF867C}">
                  <a14:compatExt spid="_x0000_s26188860"/>
                </a:ext>
                <a:ext uri="{FF2B5EF4-FFF2-40B4-BE49-F238E27FC236}">
                  <a16:creationId xmlns:a16="http://schemas.microsoft.com/office/drawing/2014/main" id="{00000000-0008-0000-0200-00003C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0</xdr:rowOff>
        </xdr:from>
        <xdr:to>
          <xdr:col>9</xdr:col>
          <xdr:colOff>295275</xdr:colOff>
          <xdr:row>5</xdr:row>
          <xdr:rowOff>47625</xdr:rowOff>
        </xdr:to>
        <xdr:sp macro="" textlink="">
          <xdr:nvSpPr>
            <xdr:cNvPr id="26188861" name="Check Box 2109" hidden="1">
              <a:extLst>
                <a:ext uri="{63B3BB69-23CF-44E3-9099-C40C66FF867C}">
                  <a14:compatExt spid="_x0000_s26188861"/>
                </a:ext>
                <a:ext uri="{FF2B5EF4-FFF2-40B4-BE49-F238E27FC236}">
                  <a16:creationId xmlns:a16="http://schemas.microsoft.com/office/drawing/2014/main" id="{00000000-0008-0000-0200-00003D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4</xdr:col>
          <xdr:colOff>295275</xdr:colOff>
          <xdr:row>5</xdr:row>
          <xdr:rowOff>47625</xdr:rowOff>
        </xdr:to>
        <xdr:sp macro="" textlink="">
          <xdr:nvSpPr>
            <xdr:cNvPr id="26188862" name="Check Box 2110" hidden="1">
              <a:extLst>
                <a:ext uri="{63B3BB69-23CF-44E3-9099-C40C66FF867C}">
                  <a14:compatExt spid="_x0000_s26188862"/>
                </a:ext>
                <a:ext uri="{FF2B5EF4-FFF2-40B4-BE49-F238E27FC236}">
                  <a16:creationId xmlns:a16="http://schemas.microsoft.com/office/drawing/2014/main" id="{00000000-0008-0000-0200-00003E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xdr:row>
          <xdr:rowOff>0</xdr:rowOff>
        </xdr:from>
        <xdr:to>
          <xdr:col>9</xdr:col>
          <xdr:colOff>295275</xdr:colOff>
          <xdr:row>4</xdr:row>
          <xdr:rowOff>47625</xdr:rowOff>
        </xdr:to>
        <xdr:sp macro="" textlink="">
          <xdr:nvSpPr>
            <xdr:cNvPr id="26188863" name="Check Box 2111" hidden="1">
              <a:extLst>
                <a:ext uri="{63B3BB69-23CF-44E3-9099-C40C66FF867C}">
                  <a14:compatExt spid="_x0000_s26188863"/>
                </a:ext>
                <a:ext uri="{FF2B5EF4-FFF2-40B4-BE49-F238E27FC236}">
                  <a16:creationId xmlns:a16="http://schemas.microsoft.com/office/drawing/2014/main" id="{00000000-0008-0000-0200-00003F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4</xdr:col>
          <xdr:colOff>295275</xdr:colOff>
          <xdr:row>4</xdr:row>
          <xdr:rowOff>47625</xdr:rowOff>
        </xdr:to>
        <xdr:sp macro="" textlink="">
          <xdr:nvSpPr>
            <xdr:cNvPr id="26188864" name="Check Box 2112" hidden="1">
              <a:extLst>
                <a:ext uri="{63B3BB69-23CF-44E3-9099-C40C66FF867C}">
                  <a14:compatExt spid="_x0000_s26188864"/>
                </a:ext>
                <a:ext uri="{FF2B5EF4-FFF2-40B4-BE49-F238E27FC236}">
                  <a16:creationId xmlns:a16="http://schemas.microsoft.com/office/drawing/2014/main" id="{00000000-0008-0000-0200-000040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0</xdr:rowOff>
        </xdr:from>
        <xdr:to>
          <xdr:col>9</xdr:col>
          <xdr:colOff>295275</xdr:colOff>
          <xdr:row>3</xdr:row>
          <xdr:rowOff>28575</xdr:rowOff>
        </xdr:to>
        <xdr:sp macro="" textlink="">
          <xdr:nvSpPr>
            <xdr:cNvPr id="26188865" name="Check Box 2113" hidden="1">
              <a:extLst>
                <a:ext uri="{63B3BB69-23CF-44E3-9099-C40C66FF867C}">
                  <a14:compatExt spid="_x0000_s26188865"/>
                </a:ext>
                <a:ext uri="{FF2B5EF4-FFF2-40B4-BE49-F238E27FC236}">
                  <a16:creationId xmlns:a16="http://schemas.microsoft.com/office/drawing/2014/main" id="{00000000-0008-0000-0200-000041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295275</xdr:colOff>
          <xdr:row>3</xdr:row>
          <xdr:rowOff>28575</xdr:rowOff>
        </xdr:to>
        <xdr:sp macro="" textlink="">
          <xdr:nvSpPr>
            <xdr:cNvPr id="26188866" name="Check Box 2114" hidden="1">
              <a:extLst>
                <a:ext uri="{63B3BB69-23CF-44E3-9099-C40C66FF867C}">
                  <a14:compatExt spid="_x0000_s26188866"/>
                </a:ext>
                <a:ext uri="{FF2B5EF4-FFF2-40B4-BE49-F238E27FC236}">
                  <a16:creationId xmlns:a16="http://schemas.microsoft.com/office/drawing/2014/main" id="{00000000-0008-0000-0200-0000429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5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500-00001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5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500-00001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500-00001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500-00001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500-00001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6172" name="Button 28" hidden="1">
              <a:extLst>
                <a:ext uri="{63B3BB69-23CF-44E3-9099-C40C66FF867C}">
                  <a14:compatExt spid="_x0000_s6172"/>
                </a:ext>
                <a:ext uri="{FF2B5EF4-FFF2-40B4-BE49-F238E27FC236}">
                  <a16:creationId xmlns:a16="http://schemas.microsoft.com/office/drawing/2014/main" id="{00000000-0008-0000-0500-00001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6173" name="Button 29" hidden="1">
              <a:extLst>
                <a:ext uri="{63B3BB69-23CF-44E3-9099-C40C66FF867C}">
                  <a14:compatExt spid="_x0000_s6173"/>
                </a:ext>
                <a:ext uri="{FF2B5EF4-FFF2-40B4-BE49-F238E27FC236}">
                  <a16:creationId xmlns:a16="http://schemas.microsoft.com/office/drawing/2014/main" id="{00000000-0008-0000-0500-00001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5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6178" name="Button 34" hidden="1">
              <a:extLst>
                <a:ext uri="{63B3BB69-23CF-44E3-9099-C40C66FF867C}">
                  <a14:compatExt spid="_x0000_s6178"/>
                </a:ext>
                <a:ext uri="{FF2B5EF4-FFF2-40B4-BE49-F238E27FC236}">
                  <a16:creationId xmlns:a16="http://schemas.microsoft.com/office/drawing/2014/main" id="{00000000-0008-0000-0500-00002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6179" name="Button 35" hidden="1">
              <a:extLst>
                <a:ext uri="{63B3BB69-23CF-44E3-9099-C40C66FF867C}">
                  <a14:compatExt spid="_x0000_s6179"/>
                </a:ext>
                <a:ext uri="{FF2B5EF4-FFF2-40B4-BE49-F238E27FC236}">
                  <a16:creationId xmlns:a16="http://schemas.microsoft.com/office/drawing/2014/main" id="{00000000-0008-0000-0500-00002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6180" name="Button 36" hidden="1">
              <a:extLst>
                <a:ext uri="{63B3BB69-23CF-44E3-9099-C40C66FF867C}">
                  <a14:compatExt spid="_x0000_s6180"/>
                </a:ext>
                <a:ext uri="{FF2B5EF4-FFF2-40B4-BE49-F238E27FC236}">
                  <a16:creationId xmlns:a16="http://schemas.microsoft.com/office/drawing/2014/main" id="{00000000-0008-0000-0500-00002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6183" name="Button 39" hidden="1">
              <a:extLst>
                <a:ext uri="{63B3BB69-23CF-44E3-9099-C40C66FF867C}">
                  <a14:compatExt spid="_x0000_s6183"/>
                </a:ext>
                <a:ext uri="{FF2B5EF4-FFF2-40B4-BE49-F238E27FC236}">
                  <a16:creationId xmlns:a16="http://schemas.microsoft.com/office/drawing/2014/main" id="{00000000-0008-0000-0500-000027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5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500-00000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5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5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500-00000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5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5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5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5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6181" name="Button 37" hidden="1">
              <a:extLst>
                <a:ext uri="{63B3BB69-23CF-44E3-9099-C40C66FF867C}">
                  <a14:compatExt spid="_x0000_s6181"/>
                </a:ext>
                <a:ext uri="{FF2B5EF4-FFF2-40B4-BE49-F238E27FC236}">
                  <a16:creationId xmlns:a16="http://schemas.microsoft.com/office/drawing/2014/main" id="{00000000-0008-0000-0500-00002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6182" name="Button 38" hidden="1">
              <a:extLst>
                <a:ext uri="{63B3BB69-23CF-44E3-9099-C40C66FF867C}">
                  <a14:compatExt spid="_x0000_s6182"/>
                </a:ext>
                <a:ext uri="{FF2B5EF4-FFF2-40B4-BE49-F238E27FC236}">
                  <a16:creationId xmlns:a16="http://schemas.microsoft.com/office/drawing/2014/main" id="{00000000-0008-0000-0500-00002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500-00002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500-00002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500-00002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5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500-00003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500-00003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5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5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4" name="Picture 3">
          <a:extLst>
            <a:ext uri="{FF2B5EF4-FFF2-40B4-BE49-F238E27FC236}">
              <a16:creationId xmlns:a16="http://schemas.microsoft.com/office/drawing/2014/main" id="{FBB50D98-C651-1200-A4B4-EF681E1197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81502" y="99391"/>
          <a:ext cx="1366630" cy="842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1724613-CB5A-4255-9777-80B2ED6362B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7045889" name="Check Box 1" hidden="1">
              <a:extLst>
                <a:ext uri="{63B3BB69-23CF-44E3-9099-C40C66FF867C}">
                  <a14:compatExt spid="_x0000_s27045889"/>
                </a:ext>
                <a:ext uri="{FF2B5EF4-FFF2-40B4-BE49-F238E27FC236}">
                  <a16:creationId xmlns:a16="http://schemas.microsoft.com/office/drawing/2014/main" id="{3E5D4DBC-B4E8-403B-A4A2-26D99557CDB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7045890" name="Check Box 2" hidden="1">
              <a:extLst>
                <a:ext uri="{63B3BB69-23CF-44E3-9099-C40C66FF867C}">
                  <a14:compatExt spid="_x0000_s27045890"/>
                </a:ext>
                <a:ext uri="{FF2B5EF4-FFF2-40B4-BE49-F238E27FC236}">
                  <a16:creationId xmlns:a16="http://schemas.microsoft.com/office/drawing/2014/main" id="{A107C3EC-61A2-4EB9-A992-C6CADFAB32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7045891" name="Check Box 3" hidden="1">
              <a:extLst>
                <a:ext uri="{63B3BB69-23CF-44E3-9099-C40C66FF867C}">
                  <a14:compatExt spid="_x0000_s27045891"/>
                </a:ext>
                <a:ext uri="{FF2B5EF4-FFF2-40B4-BE49-F238E27FC236}">
                  <a16:creationId xmlns:a16="http://schemas.microsoft.com/office/drawing/2014/main" id="{F48A5A5F-32F6-48A5-AE60-CBEE3A6056A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7045892" name="Check Box 4" hidden="1">
              <a:extLst>
                <a:ext uri="{63B3BB69-23CF-44E3-9099-C40C66FF867C}">
                  <a14:compatExt spid="_x0000_s27045892"/>
                </a:ext>
                <a:ext uri="{FF2B5EF4-FFF2-40B4-BE49-F238E27FC236}">
                  <a16:creationId xmlns:a16="http://schemas.microsoft.com/office/drawing/2014/main" id="{0AB56CFB-753F-40FC-BA4B-10927E005B1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7045893" name="Check Box 5" hidden="1">
              <a:extLst>
                <a:ext uri="{63B3BB69-23CF-44E3-9099-C40C66FF867C}">
                  <a14:compatExt spid="_x0000_s27045893"/>
                </a:ext>
                <a:ext uri="{FF2B5EF4-FFF2-40B4-BE49-F238E27FC236}">
                  <a16:creationId xmlns:a16="http://schemas.microsoft.com/office/drawing/2014/main" id="{29C08D5C-93F7-4513-818B-E06CB611EFD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7045894" name="Check Box 6" hidden="1">
              <a:extLst>
                <a:ext uri="{63B3BB69-23CF-44E3-9099-C40C66FF867C}">
                  <a14:compatExt spid="_x0000_s27045894"/>
                </a:ext>
                <a:ext uri="{FF2B5EF4-FFF2-40B4-BE49-F238E27FC236}">
                  <a16:creationId xmlns:a16="http://schemas.microsoft.com/office/drawing/2014/main" id="{DEB1C877-570E-4599-BB33-28C8AFAFA6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7045895" name="Check Box 7" hidden="1">
              <a:extLst>
                <a:ext uri="{63B3BB69-23CF-44E3-9099-C40C66FF867C}">
                  <a14:compatExt spid="_x0000_s27045895"/>
                </a:ext>
                <a:ext uri="{FF2B5EF4-FFF2-40B4-BE49-F238E27FC236}">
                  <a16:creationId xmlns:a16="http://schemas.microsoft.com/office/drawing/2014/main" id="{7BF8F03E-7FBD-4411-91AB-27545D8AE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7045896" name="Button 8" hidden="1">
              <a:extLst>
                <a:ext uri="{63B3BB69-23CF-44E3-9099-C40C66FF867C}">
                  <a14:compatExt spid="_x0000_s27045896"/>
                </a:ext>
                <a:ext uri="{FF2B5EF4-FFF2-40B4-BE49-F238E27FC236}">
                  <a16:creationId xmlns:a16="http://schemas.microsoft.com/office/drawing/2014/main" id="{C71D6DEE-B128-434E-B514-7011AF75CA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7045897" name="Button 9" hidden="1">
              <a:extLst>
                <a:ext uri="{63B3BB69-23CF-44E3-9099-C40C66FF867C}">
                  <a14:compatExt spid="_x0000_s27045897"/>
                </a:ext>
                <a:ext uri="{FF2B5EF4-FFF2-40B4-BE49-F238E27FC236}">
                  <a16:creationId xmlns:a16="http://schemas.microsoft.com/office/drawing/2014/main" id="{C7C9F7B2-C23E-40D7-A0D4-E57C475AC3E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7045898" name="Check Box 10" hidden="1">
              <a:extLst>
                <a:ext uri="{63B3BB69-23CF-44E3-9099-C40C66FF867C}">
                  <a14:compatExt spid="_x0000_s27045898"/>
                </a:ext>
                <a:ext uri="{FF2B5EF4-FFF2-40B4-BE49-F238E27FC236}">
                  <a16:creationId xmlns:a16="http://schemas.microsoft.com/office/drawing/2014/main" id="{21097F42-36CE-4373-B5EC-50B2D173858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7045899" name="Button 11" hidden="1">
              <a:extLst>
                <a:ext uri="{63B3BB69-23CF-44E3-9099-C40C66FF867C}">
                  <a14:compatExt spid="_x0000_s27045899"/>
                </a:ext>
                <a:ext uri="{FF2B5EF4-FFF2-40B4-BE49-F238E27FC236}">
                  <a16:creationId xmlns:a16="http://schemas.microsoft.com/office/drawing/2014/main" id="{DA3F38F7-F479-4142-B69A-E195908486B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7045900" name="Button 12" hidden="1">
              <a:extLst>
                <a:ext uri="{63B3BB69-23CF-44E3-9099-C40C66FF867C}">
                  <a14:compatExt spid="_x0000_s27045900"/>
                </a:ext>
                <a:ext uri="{FF2B5EF4-FFF2-40B4-BE49-F238E27FC236}">
                  <a16:creationId xmlns:a16="http://schemas.microsoft.com/office/drawing/2014/main" id="{DC064228-788A-4AAE-A8E5-3D1E987580B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7045901" name="Button 13" hidden="1">
              <a:extLst>
                <a:ext uri="{63B3BB69-23CF-44E3-9099-C40C66FF867C}">
                  <a14:compatExt spid="_x0000_s27045901"/>
                </a:ext>
                <a:ext uri="{FF2B5EF4-FFF2-40B4-BE49-F238E27FC236}">
                  <a16:creationId xmlns:a16="http://schemas.microsoft.com/office/drawing/2014/main" id="{A02C53C4-4D12-4CCA-AC4C-A9ED365C524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7045902" name="Button 14" hidden="1">
              <a:extLst>
                <a:ext uri="{63B3BB69-23CF-44E3-9099-C40C66FF867C}">
                  <a14:compatExt spid="_x0000_s27045902"/>
                </a:ext>
                <a:ext uri="{FF2B5EF4-FFF2-40B4-BE49-F238E27FC236}">
                  <a16:creationId xmlns:a16="http://schemas.microsoft.com/office/drawing/2014/main" id="{0648C386-49A3-408B-A57B-B72618005E6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7045903" name="Check Box 15" hidden="1">
              <a:extLst>
                <a:ext uri="{63B3BB69-23CF-44E3-9099-C40C66FF867C}">
                  <a14:compatExt spid="_x0000_s27045903"/>
                </a:ext>
                <a:ext uri="{FF2B5EF4-FFF2-40B4-BE49-F238E27FC236}">
                  <a16:creationId xmlns:a16="http://schemas.microsoft.com/office/drawing/2014/main" id="{02BF1462-76AE-4E93-998F-11E66BCB64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7045904" name="Check Box 16" hidden="1">
              <a:extLst>
                <a:ext uri="{63B3BB69-23CF-44E3-9099-C40C66FF867C}">
                  <a14:compatExt spid="_x0000_s27045904"/>
                </a:ext>
                <a:ext uri="{FF2B5EF4-FFF2-40B4-BE49-F238E27FC236}">
                  <a16:creationId xmlns:a16="http://schemas.microsoft.com/office/drawing/2014/main" id="{264CAAB0-6FBF-4779-8D24-2E0106B37EA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7045905" name="Check Box 17" hidden="1">
              <a:extLst>
                <a:ext uri="{63B3BB69-23CF-44E3-9099-C40C66FF867C}">
                  <a14:compatExt spid="_x0000_s27045905"/>
                </a:ext>
                <a:ext uri="{FF2B5EF4-FFF2-40B4-BE49-F238E27FC236}">
                  <a16:creationId xmlns:a16="http://schemas.microsoft.com/office/drawing/2014/main" id="{154D4B55-FC08-49A4-A20A-97124449AF4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7045906" name="Check Box 18" hidden="1">
              <a:extLst>
                <a:ext uri="{63B3BB69-23CF-44E3-9099-C40C66FF867C}">
                  <a14:compatExt spid="_x0000_s27045906"/>
                </a:ext>
                <a:ext uri="{FF2B5EF4-FFF2-40B4-BE49-F238E27FC236}">
                  <a16:creationId xmlns:a16="http://schemas.microsoft.com/office/drawing/2014/main" id="{1AC123F0-E58C-43A5-8FD3-9C1AD64871A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7045907" name="Check Box 19" hidden="1">
              <a:extLst>
                <a:ext uri="{63B3BB69-23CF-44E3-9099-C40C66FF867C}">
                  <a14:compatExt spid="_x0000_s27045907"/>
                </a:ext>
                <a:ext uri="{FF2B5EF4-FFF2-40B4-BE49-F238E27FC236}">
                  <a16:creationId xmlns:a16="http://schemas.microsoft.com/office/drawing/2014/main" id="{F8734735-5AE0-44CA-94F3-D5A9325A79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7045908" name="Check Box 20" hidden="1">
              <a:extLst>
                <a:ext uri="{63B3BB69-23CF-44E3-9099-C40C66FF867C}">
                  <a14:compatExt spid="_x0000_s27045908"/>
                </a:ext>
                <a:ext uri="{FF2B5EF4-FFF2-40B4-BE49-F238E27FC236}">
                  <a16:creationId xmlns:a16="http://schemas.microsoft.com/office/drawing/2014/main" id="{477D6661-C647-4BC5-B711-ABD9200CE4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7045909" name="Check Box 21" hidden="1">
              <a:extLst>
                <a:ext uri="{63B3BB69-23CF-44E3-9099-C40C66FF867C}">
                  <a14:compatExt spid="_x0000_s27045909"/>
                </a:ext>
                <a:ext uri="{FF2B5EF4-FFF2-40B4-BE49-F238E27FC236}">
                  <a16:creationId xmlns:a16="http://schemas.microsoft.com/office/drawing/2014/main" id="{D463203D-0855-4608-B2E9-A41865D3F00C}"/>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7045910" name="Check Box 22" hidden="1">
              <a:extLst>
                <a:ext uri="{63B3BB69-23CF-44E3-9099-C40C66FF867C}">
                  <a14:compatExt spid="_x0000_s27045910"/>
                </a:ext>
                <a:ext uri="{FF2B5EF4-FFF2-40B4-BE49-F238E27FC236}">
                  <a16:creationId xmlns:a16="http://schemas.microsoft.com/office/drawing/2014/main" id="{591977B1-D941-4721-B073-F21292701B0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7045911" name="Check Box 23" hidden="1">
              <a:extLst>
                <a:ext uri="{63B3BB69-23CF-44E3-9099-C40C66FF867C}">
                  <a14:compatExt spid="_x0000_s27045911"/>
                </a:ext>
                <a:ext uri="{FF2B5EF4-FFF2-40B4-BE49-F238E27FC236}">
                  <a16:creationId xmlns:a16="http://schemas.microsoft.com/office/drawing/2014/main" id="{9848B54A-71E6-4809-A339-FC60179047F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7045912" name="Check Box 24" hidden="1">
              <a:extLst>
                <a:ext uri="{63B3BB69-23CF-44E3-9099-C40C66FF867C}">
                  <a14:compatExt spid="_x0000_s27045912"/>
                </a:ext>
                <a:ext uri="{FF2B5EF4-FFF2-40B4-BE49-F238E27FC236}">
                  <a16:creationId xmlns:a16="http://schemas.microsoft.com/office/drawing/2014/main" id="{2830F32B-E6F0-45B4-96B3-788190ADEAAA}"/>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7045913" name="Check Box 25" hidden="1">
              <a:extLst>
                <a:ext uri="{63B3BB69-23CF-44E3-9099-C40C66FF867C}">
                  <a14:compatExt spid="_x0000_s27045913"/>
                </a:ext>
                <a:ext uri="{FF2B5EF4-FFF2-40B4-BE49-F238E27FC236}">
                  <a16:creationId xmlns:a16="http://schemas.microsoft.com/office/drawing/2014/main" id="{8ADFD96F-60DA-4BD3-A58E-BD0B282EB97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7045914" name="Check Box 26" hidden="1">
              <a:extLst>
                <a:ext uri="{63B3BB69-23CF-44E3-9099-C40C66FF867C}">
                  <a14:compatExt spid="_x0000_s27045914"/>
                </a:ext>
                <a:ext uri="{FF2B5EF4-FFF2-40B4-BE49-F238E27FC236}">
                  <a16:creationId xmlns:a16="http://schemas.microsoft.com/office/drawing/2014/main" id="{7A0CBDFD-65AE-432C-80D0-A50C3400B2B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7045915" name="Check Box 27" hidden="1">
              <a:extLst>
                <a:ext uri="{63B3BB69-23CF-44E3-9099-C40C66FF867C}">
                  <a14:compatExt spid="_x0000_s27045915"/>
                </a:ext>
                <a:ext uri="{FF2B5EF4-FFF2-40B4-BE49-F238E27FC236}">
                  <a16:creationId xmlns:a16="http://schemas.microsoft.com/office/drawing/2014/main" id="{A07B71BE-17C6-421A-A351-906494619FC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7045916" name="Button 28" hidden="1">
              <a:extLst>
                <a:ext uri="{63B3BB69-23CF-44E3-9099-C40C66FF867C}">
                  <a14:compatExt spid="_x0000_s27045916"/>
                </a:ext>
                <a:ext uri="{FF2B5EF4-FFF2-40B4-BE49-F238E27FC236}">
                  <a16:creationId xmlns:a16="http://schemas.microsoft.com/office/drawing/2014/main" id="{699DCB53-4CE4-413A-830D-7F32E90564B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7045917" name="Button 29" hidden="1">
              <a:extLst>
                <a:ext uri="{63B3BB69-23CF-44E3-9099-C40C66FF867C}">
                  <a14:compatExt spid="_x0000_s27045917"/>
                </a:ext>
                <a:ext uri="{FF2B5EF4-FFF2-40B4-BE49-F238E27FC236}">
                  <a16:creationId xmlns:a16="http://schemas.microsoft.com/office/drawing/2014/main" id="{150DA89A-EBA0-4152-B450-7CAFCEBBCC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7045918" name="Check Box 30" hidden="1">
              <a:extLst>
                <a:ext uri="{63B3BB69-23CF-44E3-9099-C40C66FF867C}">
                  <a14:compatExt spid="_x0000_s27045918"/>
                </a:ext>
                <a:ext uri="{FF2B5EF4-FFF2-40B4-BE49-F238E27FC236}">
                  <a16:creationId xmlns:a16="http://schemas.microsoft.com/office/drawing/2014/main" id="{5AD71199-9835-435C-8C2B-1CC4F0F93C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7045919" name="Check Box 31" hidden="1">
              <a:extLst>
                <a:ext uri="{63B3BB69-23CF-44E3-9099-C40C66FF867C}">
                  <a14:compatExt spid="_x0000_s27045919"/>
                </a:ext>
                <a:ext uri="{FF2B5EF4-FFF2-40B4-BE49-F238E27FC236}">
                  <a16:creationId xmlns:a16="http://schemas.microsoft.com/office/drawing/2014/main" id="{F2DF439C-15CD-4CB4-8D32-B5EFA155E83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7045920" name="Check Box 32" hidden="1">
              <a:extLst>
                <a:ext uri="{63B3BB69-23CF-44E3-9099-C40C66FF867C}">
                  <a14:compatExt spid="_x0000_s27045920"/>
                </a:ext>
                <a:ext uri="{FF2B5EF4-FFF2-40B4-BE49-F238E27FC236}">
                  <a16:creationId xmlns:a16="http://schemas.microsoft.com/office/drawing/2014/main" id="{6415EE1D-4794-403B-AA42-A495561298C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7045921" name="Check Box 33" hidden="1">
              <a:extLst>
                <a:ext uri="{63B3BB69-23CF-44E3-9099-C40C66FF867C}">
                  <a14:compatExt spid="_x0000_s27045921"/>
                </a:ext>
                <a:ext uri="{FF2B5EF4-FFF2-40B4-BE49-F238E27FC236}">
                  <a16:creationId xmlns:a16="http://schemas.microsoft.com/office/drawing/2014/main" id="{C067F4E2-8A88-4E82-A699-94878FB617E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7045922" name="Check Box 34" hidden="1">
              <a:extLst>
                <a:ext uri="{63B3BB69-23CF-44E3-9099-C40C66FF867C}">
                  <a14:compatExt spid="_x0000_s27045922"/>
                </a:ext>
                <a:ext uri="{FF2B5EF4-FFF2-40B4-BE49-F238E27FC236}">
                  <a16:creationId xmlns:a16="http://schemas.microsoft.com/office/drawing/2014/main" id="{849D06FD-8D5D-43E7-B4C4-46E41F694F5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7045923" name="Check Box 35" hidden="1">
              <a:extLst>
                <a:ext uri="{63B3BB69-23CF-44E3-9099-C40C66FF867C}">
                  <a14:compatExt spid="_x0000_s27045923"/>
                </a:ext>
                <a:ext uri="{FF2B5EF4-FFF2-40B4-BE49-F238E27FC236}">
                  <a16:creationId xmlns:a16="http://schemas.microsoft.com/office/drawing/2014/main" id="{8BA9731E-DC95-41A7-8C86-12C7C6668AF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7045924" name="Check Box 36" hidden="1">
              <a:extLst>
                <a:ext uri="{63B3BB69-23CF-44E3-9099-C40C66FF867C}">
                  <a14:compatExt spid="_x0000_s27045924"/>
                </a:ext>
                <a:ext uri="{FF2B5EF4-FFF2-40B4-BE49-F238E27FC236}">
                  <a16:creationId xmlns:a16="http://schemas.microsoft.com/office/drawing/2014/main" id="{2D17D040-D302-4341-8ACA-5A8AD48C53B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7045925" name="Check Box 37" hidden="1">
              <a:extLst>
                <a:ext uri="{63B3BB69-23CF-44E3-9099-C40C66FF867C}">
                  <a14:compatExt spid="_x0000_s27045925"/>
                </a:ext>
                <a:ext uri="{FF2B5EF4-FFF2-40B4-BE49-F238E27FC236}">
                  <a16:creationId xmlns:a16="http://schemas.microsoft.com/office/drawing/2014/main" id="{063BFA68-9C35-45C5-A3B8-CC85C60ECB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6689C67-E520-4BA0-9A86-FA135BF4273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23A382F-D77E-4631-96E6-AC216106B1A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919937" name="Check Box 1" hidden="1">
              <a:extLst>
                <a:ext uri="{63B3BB69-23CF-44E3-9099-C40C66FF867C}">
                  <a14:compatExt spid="_x0000_s26919937"/>
                </a:ext>
                <a:ext uri="{FF2B5EF4-FFF2-40B4-BE49-F238E27FC236}">
                  <a16:creationId xmlns:a16="http://schemas.microsoft.com/office/drawing/2014/main" id="{00000000-0008-0000-0600-000001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919938" name="Check Box 2" hidden="1">
              <a:extLst>
                <a:ext uri="{63B3BB69-23CF-44E3-9099-C40C66FF867C}">
                  <a14:compatExt spid="_x0000_s26919938"/>
                </a:ext>
                <a:ext uri="{FF2B5EF4-FFF2-40B4-BE49-F238E27FC236}">
                  <a16:creationId xmlns:a16="http://schemas.microsoft.com/office/drawing/2014/main" id="{00000000-0008-0000-0600-000002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919939" name="Check Box 3" hidden="1">
              <a:extLst>
                <a:ext uri="{63B3BB69-23CF-44E3-9099-C40C66FF867C}">
                  <a14:compatExt spid="_x0000_s26919939"/>
                </a:ext>
                <a:ext uri="{FF2B5EF4-FFF2-40B4-BE49-F238E27FC236}">
                  <a16:creationId xmlns:a16="http://schemas.microsoft.com/office/drawing/2014/main" id="{00000000-0008-0000-0600-000003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919940" name="Check Box 4" hidden="1">
              <a:extLst>
                <a:ext uri="{63B3BB69-23CF-44E3-9099-C40C66FF867C}">
                  <a14:compatExt spid="_x0000_s26919940"/>
                </a:ext>
                <a:ext uri="{FF2B5EF4-FFF2-40B4-BE49-F238E27FC236}">
                  <a16:creationId xmlns:a16="http://schemas.microsoft.com/office/drawing/2014/main" id="{00000000-0008-0000-0600-000004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919941" name="Check Box 5" hidden="1">
              <a:extLst>
                <a:ext uri="{63B3BB69-23CF-44E3-9099-C40C66FF867C}">
                  <a14:compatExt spid="_x0000_s26919941"/>
                </a:ext>
                <a:ext uri="{FF2B5EF4-FFF2-40B4-BE49-F238E27FC236}">
                  <a16:creationId xmlns:a16="http://schemas.microsoft.com/office/drawing/2014/main" id="{00000000-0008-0000-0600-000005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919942" name="Check Box 6" hidden="1">
              <a:extLst>
                <a:ext uri="{63B3BB69-23CF-44E3-9099-C40C66FF867C}">
                  <a14:compatExt spid="_x0000_s26919942"/>
                </a:ext>
                <a:ext uri="{FF2B5EF4-FFF2-40B4-BE49-F238E27FC236}">
                  <a16:creationId xmlns:a16="http://schemas.microsoft.com/office/drawing/2014/main" id="{00000000-0008-0000-0600-000006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919943" name="Check Box 7" hidden="1">
              <a:extLst>
                <a:ext uri="{63B3BB69-23CF-44E3-9099-C40C66FF867C}">
                  <a14:compatExt spid="_x0000_s26919943"/>
                </a:ext>
                <a:ext uri="{FF2B5EF4-FFF2-40B4-BE49-F238E27FC236}">
                  <a16:creationId xmlns:a16="http://schemas.microsoft.com/office/drawing/2014/main" id="{00000000-0008-0000-0600-000007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919944" name="Button 8" hidden="1">
              <a:extLst>
                <a:ext uri="{63B3BB69-23CF-44E3-9099-C40C66FF867C}">
                  <a14:compatExt spid="_x0000_s26919944"/>
                </a:ext>
                <a:ext uri="{FF2B5EF4-FFF2-40B4-BE49-F238E27FC236}">
                  <a16:creationId xmlns:a16="http://schemas.microsoft.com/office/drawing/2014/main" id="{00000000-0008-0000-0600-000008C49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919945" name="Button 9" hidden="1">
              <a:extLst>
                <a:ext uri="{63B3BB69-23CF-44E3-9099-C40C66FF867C}">
                  <a14:compatExt spid="_x0000_s26919945"/>
                </a:ext>
                <a:ext uri="{FF2B5EF4-FFF2-40B4-BE49-F238E27FC236}">
                  <a16:creationId xmlns:a16="http://schemas.microsoft.com/office/drawing/2014/main" id="{00000000-0008-0000-0600-000009C49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919946" name="Check Box 10" hidden="1">
              <a:extLst>
                <a:ext uri="{63B3BB69-23CF-44E3-9099-C40C66FF867C}">
                  <a14:compatExt spid="_x0000_s26919946"/>
                </a:ext>
                <a:ext uri="{FF2B5EF4-FFF2-40B4-BE49-F238E27FC236}">
                  <a16:creationId xmlns:a16="http://schemas.microsoft.com/office/drawing/2014/main" id="{00000000-0008-0000-0600-00000A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919947" name="Button 11" hidden="1">
              <a:extLst>
                <a:ext uri="{63B3BB69-23CF-44E3-9099-C40C66FF867C}">
                  <a14:compatExt spid="_x0000_s26919947"/>
                </a:ext>
                <a:ext uri="{FF2B5EF4-FFF2-40B4-BE49-F238E27FC236}">
                  <a16:creationId xmlns:a16="http://schemas.microsoft.com/office/drawing/2014/main" id="{00000000-0008-0000-0600-00000B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919948" name="Button 12" hidden="1">
              <a:extLst>
                <a:ext uri="{63B3BB69-23CF-44E3-9099-C40C66FF867C}">
                  <a14:compatExt spid="_x0000_s26919948"/>
                </a:ext>
                <a:ext uri="{FF2B5EF4-FFF2-40B4-BE49-F238E27FC236}">
                  <a16:creationId xmlns:a16="http://schemas.microsoft.com/office/drawing/2014/main" id="{00000000-0008-0000-0600-00000C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919949" name="Button 13" hidden="1">
              <a:extLst>
                <a:ext uri="{63B3BB69-23CF-44E3-9099-C40C66FF867C}">
                  <a14:compatExt spid="_x0000_s26919949"/>
                </a:ext>
                <a:ext uri="{FF2B5EF4-FFF2-40B4-BE49-F238E27FC236}">
                  <a16:creationId xmlns:a16="http://schemas.microsoft.com/office/drawing/2014/main" id="{00000000-0008-0000-0600-00000D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919950" name="Button 14" hidden="1">
              <a:extLst>
                <a:ext uri="{63B3BB69-23CF-44E3-9099-C40C66FF867C}">
                  <a14:compatExt spid="_x0000_s26919950"/>
                </a:ext>
                <a:ext uri="{FF2B5EF4-FFF2-40B4-BE49-F238E27FC236}">
                  <a16:creationId xmlns:a16="http://schemas.microsoft.com/office/drawing/2014/main" id="{00000000-0008-0000-0600-00000E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919951" name="Check Box 15" hidden="1">
              <a:extLst>
                <a:ext uri="{63B3BB69-23CF-44E3-9099-C40C66FF867C}">
                  <a14:compatExt spid="_x0000_s26919951"/>
                </a:ext>
                <a:ext uri="{FF2B5EF4-FFF2-40B4-BE49-F238E27FC236}">
                  <a16:creationId xmlns:a16="http://schemas.microsoft.com/office/drawing/2014/main" id="{00000000-0008-0000-0600-00000F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919952" name="Check Box 16" hidden="1">
              <a:extLst>
                <a:ext uri="{63B3BB69-23CF-44E3-9099-C40C66FF867C}">
                  <a14:compatExt spid="_x0000_s26919952"/>
                </a:ext>
                <a:ext uri="{FF2B5EF4-FFF2-40B4-BE49-F238E27FC236}">
                  <a16:creationId xmlns:a16="http://schemas.microsoft.com/office/drawing/2014/main" id="{00000000-0008-0000-0600-000010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919953" name="Check Box 17" hidden="1">
              <a:extLst>
                <a:ext uri="{63B3BB69-23CF-44E3-9099-C40C66FF867C}">
                  <a14:compatExt spid="_x0000_s26919953"/>
                </a:ext>
                <a:ext uri="{FF2B5EF4-FFF2-40B4-BE49-F238E27FC236}">
                  <a16:creationId xmlns:a16="http://schemas.microsoft.com/office/drawing/2014/main" id="{00000000-0008-0000-0600-000011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919954" name="Check Box 18" hidden="1">
              <a:extLst>
                <a:ext uri="{63B3BB69-23CF-44E3-9099-C40C66FF867C}">
                  <a14:compatExt spid="_x0000_s26919954"/>
                </a:ext>
                <a:ext uri="{FF2B5EF4-FFF2-40B4-BE49-F238E27FC236}">
                  <a16:creationId xmlns:a16="http://schemas.microsoft.com/office/drawing/2014/main" id="{00000000-0008-0000-0600-000012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919955" name="Check Box 19" hidden="1">
              <a:extLst>
                <a:ext uri="{63B3BB69-23CF-44E3-9099-C40C66FF867C}">
                  <a14:compatExt spid="_x0000_s26919955"/>
                </a:ext>
                <a:ext uri="{FF2B5EF4-FFF2-40B4-BE49-F238E27FC236}">
                  <a16:creationId xmlns:a16="http://schemas.microsoft.com/office/drawing/2014/main" id="{00000000-0008-0000-0600-000013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919956" name="Check Box 20" hidden="1">
              <a:extLst>
                <a:ext uri="{63B3BB69-23CF-44E3-9099-C40C66FF867C}">
                  <a14:compatExt spid="_x0000_s26919956"/>
                </a:ext>
                <a:ext uri="{FF2B5EF4-FFF2-40B4-BE49-F238E27FC236}">
                  <a16:creationId xmlns:a16="http://schemas.microsoft.com/office/drawing/2014/main" id="{00000000-0008-0000-0600-000014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919957" name="Check Box 21" hidden="1">
              <a:extLst>
                <a:ext uri="{63B3BB69-23CF-44E3-9099-C40C66FF867C}">
                  <a14:compatExt spid="_x0000_s26919957"/>
                </a:ext>
                <a:ext uri="{FF2B5EF4-FFF2-40B4-BE49-F238E27FC236}">
                  <a16:creationId xmlns:a16="http://schemas.microsoft.com/office/drawing/2014/main" id="{00000000-0008-0000-0600-000015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919958" name="Check Box 22" hidden="1">
              <a:extLst>
                <a:ext uri="{63B3BB69-23CF-44E3-9099-C40C66FF867C}">
                  <a14:compatExt spid="_x0000_s26919958"/>
                </a:ext>
                <a:ext uri="{FF2B5EF4-FFF2-40B4-BE49-F238E27FC236}">
                  <a16:creationId xmlns:a16="http://schemas.microsoft.com/office/drawing/2014/main" id="{00000000-0008-0000-0600-000016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919959" name="Check Box 23" hidden="1">
              <a:extLst>
                <a:ext uri="{63B3BB69-23CF-44E3-9099-C40C66FF867C}">
                  <a14:compatExt spid="_x0000_s26919959"/>
                </a:ext>
                <a:ext uri="{FF2B5EF4-FFF2-40B4-BE49-F238E27FC236}">
                  <a16:creationId xmlns:a16="http://schemas.microsoft.com/office/drawing/2014/main" id="{00000000-0008-0000-0600-000017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919960" name="Check Box 24" hidden="1">
              <a:extLst>
                <a:ext uri="{63B3BB69-23CF-44E3-9099-C40C66FF867C}">
                  <a14:compatExt spid="_x0000_s26919960"/>
                </a:ext>
                <a:ext uri="{FF2B5EF4-FFF2-40B4-BE49-F238E27FC236}">
                  <a16:creationId xmlns:a16="http://schemas.microsoft.com/office/drawing/2014/main" id="{00000000-0008-0000-0600-000018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919961" name="Check Box 25" hidden="1">
              <a:extLst>
                <a:ext uri="{63B3BB69-23CF-44E3-9099-C40C66FF867C}">
                  <a14:compatExt spid="_x0000_s26919961"/>
                </a:ext>
                <a:ext uri="{FF2B5EF4-FFF2-40B4-BE49-F238E27FC236}">
                  <a16:creationId xmlns:a16="http://schemas.microsoft.com/office/drawing/2014/main" id="{00000000-0008-0000-0600-000019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919962" name="Check Box 26" hidden="1">
              <a:extLst>
                <a:ext uri="{63B3BB69-23CF-44E3-9099-C40C66FF867C}">
                  <a14:compatExt spid="_x0000_s26919962"/>
                </a:ext>
                <a:ext uri="{FF2B5EF4-FFF2-40B4-BE49-F238E27FC236}">
                  <a16:creationId xmlns:a16="http://schemas.microsoft.com/office/drawing/2014/main" id="{00000000-0008-0000-0600-00001A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919963" name="Check Box 27" hidden="1">
              <a:extLst>
                <a:ext uri="{63B3BB69-23CF-44E3-9099-C40C66FF867C}">
                  <a14:compatExt spid="_x0000_s26919963"/>
                </a:ext>
                <a:ext uri="{FF2B5EF4-FFF2-40B4-BE49-F238E27FC236}">
                  <a16:creationId xmlns:a16="http://schemas.microsoft.com/office/drawing/2014/main" id="{00000000-0008-0000-0600-00001B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919964" name="Button 28" hidden="1">
              <a:extLst>
                <a:ext uri="{63B3BB69-23CF-44E3-9099-C40C66FF867C}">
                  <a14:compatExt spid="_x0000_s26919964"/>
                </a:ext>
                <a:ext uri="{FF2B5EF4-FFF2-40B4-BE49-F238E27FC236}">
                  <a16:creationId xmlns:a16="http://schemas.microsoft.com/office/drawing/2014/main" id="{00000000-0008-0000-0600-00001C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919965" name="Button 29" hidden="1">
              <a:extLst>
                <a:ext uri="{63B3BB69-23CF-44E3-9099-C40C66FF867C}">
                  <a14:compatExt spid="_x0000_s26919965"/>
                </a:ext>
                <a:ext uri="{FF2B5EF4-FFF2-40B4-BE49-F238E27FC236}">
                  <a16:creationId xmlns:a16="http://schemas.microsoft.com/office/drawing/2014/main" id="{00000000-0008-0000-0600-00001DC49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919966" name="Check Box 30" hidden="1">
              <a:extLst>
                <a:ext uri="{63B3BB69-23CF-44E3-9099-C40C66FF867C}">
                  <a14:compatExt spid="_x0000_s26919966"/>
                </a:ext>
                <a:ext uri="{FF2B5EF4-FFF2-40B4-BE49-F238E27FC236}">
                  <a16:creationId xmlns:a16="http://schemas.microsoft.com/office/drawing/2014/main" id="{00000000-0008-0000-0600-00001E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919967" name="Check Box 31" hidden="1">
              <a:extLst>
                <a:ext uri="{63B3BB69-23CF-44E3-9099-C40C66FF867C}">
                  <a14:compatExt spid="_x0000_s26919967"/>
                </a:ext>
                <a:ext uri="{FF2B5EF4-FFF2-40B4-BE49-F238E27FC236}">
                  <a16:creationId xmlns:a16="http://schemas.microsoft.com/office/drawing/2014/main" id="{00000000-0008-0000-0600-00001F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919968" name="Check Box 32" hidden="1">
              <a:extLst>
                <a:ext uri="{63B3BB69-23CF-44E3-9099-C40C66FF867C}">
                  <a14:compatExt spid="_x0000_s26919968"/>
                </a:ext>
                <a:ext uri="{FF2B5EF4-FFF2-40B4-BE49-F238E27FC236}">
                  <a16:creationId xmlns:a16="http://schemas.microsoft.com/office/drawing/2014/main" id="{00000000-0008-0000-0600-000020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919969" name="Check Box 33" hidden="1">
              <a:extLst>
                <a:ext uri="{63B3BB69-23CF-44E3-9099-C40C66FF867C}">
                  <a14:compatExt spid="_x0000_s26919969"/>
                </a:ext>
                <a:ext uri="{FF2B5EF4-FFF2-40B4-BE49-F238E27FC236}">
                  <a16:creationId xmlns:a16="http://schemas.microsoft.com/office/drawing/2014/main" id="{00000000-0008-0000-0600-000021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919970" name="Check Box 34" hidden="1">
              <a:extLst>
                <a:ext uri="{63B3BB69-23CF-44E3-9099-C40C66FF867C}">
                  <a14:compatExt spid="_x0000_s26919970"/>
                </a:ext>
                <a:ext uri="{FF2B5EF4-FFF2-40B4-BE49-F238E27FC236}">
                  <a16:creationId xmlns:a16="http://schemas.microsoft.com/office/drawing/2014/main" id="{00000000-0008-0000-0600-000022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919971" name="Check Box 35" hidden="1">
              <a:extLst>
                <a:ext uri="{63B3BB69-23CF-44E3-9099-C40C66FF867C}">
                  <a14:compatExt spid="_x0000_s26919971"/>
                </a:ext>
                <a:ext uri="{FF2B5EF4-FFF2-40B4-BE49-F238E27FC236}">
                  <a16:creationId xmlns:a16="http://schemas.microsoft.com/office/drawing/2014/main" id="{00000000-0008-0000-0600-000023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919972" name="Check Box 36" hidden="1">
              <a:extLst>
                <a:ext uri="{63B3BB69-23CF-44E3-9099-C40C66FF867C}">
                  <a14:compatExt spid="_x0000_s26919972"/>
                </a:ext>
                <a:ext uri="{FF2B5EF4-FFF2-40B4-BE49-F238E27FC236}">
                  <a16:creationId xmlns:a16="http://schemas.microsoft.com/office/drawing/2014/main" id="{00000000-0008-0000-0600-000024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919973" name="Check Box 37" hidden="1">
              <a:extLst>
                <a:ext uri="{63B3BB69-23CF-44E3-9099-C40C66FF867C}">
                  <a14:compatExt spid="_x0000_s26919973"/>
                </a:ext>
                <a:ext uri="{FF2B5EF4-FFF2-40B4-BE49-F238E27FC236}">
                  <a16:creationId xmlns:a16="http://schemas.microsoft.com/office/drawing/2014/main" id="{00000000-0008-0000-0600-000025C49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43CF39A-A852-4687-B463-A42DAA9E64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DECF515-AC06-47F8-BA1F-1EEB020FB60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798081" name="Check Box 1" hidden="1">
              <a:extLst>
                <a:ext uri="{63B3BB69-23CF-44E3-9099-C40C66FF867C}">
                  <a14:compatExt spid="_x0000_s26798081"/>
                </a:ext>
                <a:ext uri="{FF2B5EF4-FFF2-40B4-BE49-F238E27FC236}">
                  <a16:creationId xmlns:a16="http://schemas.microsoft.com/office/drawing/2014/main" id="{00000000-0008-0000-0700-000001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798082" name="Check Box 2" hidden="1">
              <a:extLst>
                <a:ext uri="{63B3BB69-23CF-44E3-9099-C40C66FF867C}">
                  <a14:compatExt spid="_x0000_s26798082"/>
                </a:ext>
                <a:ext uri="{FF2B5EF4-FFF2-40B4-BE49-F238E27FC236}">
                  <a16:creationId xmlns:a16="http://schemas.microsoft.com/office/drawing/2014/main" id="{00000000-0008-0000-0700-000002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798083" name="Check Box 3" hidden="1">
              <a:extLst>
                <a:ext uri="{63B3BB69-23CF-44E3-9099-C40C66FF867C}">
                  <a14:compatExt spid="_x0000_s26798083"/>
                </a:ext>
                <a:ext uri="{FF2B5EF4-FFF2-40B4-BE49-F238E27FC236}">
                  <a16:creationId xmlns:a16="http://schemas.microsoft.com/office/drawing/2014/main" id="{00000000-0008-0000-0700-000003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798084" name="Check Box 4" hidden="1">
              <a:extLst>
                <a:ext uri="{63B3BB69-23CF-44E3-9099-C40C66FF867C}">
                  <a14:compatExt spid="_x0000_s26798084"/>
                </a:ext>
                <a:ext uri="{FF2B5EF4-FFF2-40B4-BE49-F238E27FC236}">
                  <a16:creationId xmlns:a16="http://schemas.microsoft.com/office/drawing/2014/main" id="{00000000-0008-0000-0700-000004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798085" name="Check Box 5" hidden="1">
              <a:extLst>
                <a:ext uri="{63B3BB69-23CF-44E3-9099-C40C66FF867C}">
                  <a14:compatExt spid="_x0000_s26798085"/>
                </a:ext>
                <a:ext uri="{FF2B5EF4-FFF2-40B4-BE49-F238E27FC236}">
                  <a16:creationId xmlns:a16="http://schemas.microsoft.com/office/drawing/2014/main" id="{00000000-0008-0000-0700-000005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798086" name="Check Box 6" hidden="1">
              <a:extLst>
                <a:ext uri="{63B3BB69-23CF-44E3-9099-C40C66FF867C}">
                  <a14:compatExt spid="_x0000_s26798086"/>
                </a:ext>
                <a:ext uri="{FF2B5EF4-FFF2-40B4-BE49-F238E27FC236}">
                  <a16:creationId xmlns:a16="http://schemas.microsoft.com/office/drawing/2014/main" id="{00000000-0008-0000-0700-000006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798087" name="Check Box 7" hidden="1">
              <a:extLst>
                <a:ext uri="{63B3BB69-23CF-44E3-9099-C40C66FF867C}">
                  <a14:compatExt spid="_x0000_s26798087"/>
                </a:ext>
                <a:ext uri="{FF2B5EF4-FFF2-40B4-BE49-F238E27FC236}">
                  <a16:creationId xmlns:a16="http://schemas.microsoft.com/office/drawing/2014/main" id="{00000000-0008-0000-0700-000007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798088" name="Button 8" hidden="1">
              <a:extLst>
                <a:ext uri="{63B3BB69-23CF-44E3-9099-C40C66FF867C}">
                  <a14:compatExt spid="_x0000_s26798088"/>
                </a:ext>
                <a:ext uri="{FF2B5EF4-FFF2-40B4-BE49-F238E27FC236}">
                  <a16:creationId xmlns:a16="http://schemas.microsoft.com/office/drawing/2014/main" id="{00000000-0008-0000-0700-000008E89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798089" name="Button 9" hidden="1">
              <a:extLst>
                <a:ext uri="{63B3BB69-23CF-44E3-9099-C40C66FF867C}">
                  <a14:compatExt spid="_x0000_s26798089"/>
                </a:ext>
                <a:ext uri="{FF2B5EF4-FFF2-40B4-BE49-F238E27FC236}">
                  <a16:creationId xmlns:a16="http://schemas.microsoft.com/office/drawing/2014/main" id="{00000000-0008-0000-0700-000009E89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798090" name="Check Box 10" hidden="1">
              <a:extLst>
                <a:ext uri="{63B3BB69-23CF-44E3-9099-C40C66FF867C}">
                  <a14:compatExt spid="_x0000_s26798090"/>
                </a:ext>
                <a:ext uri="{FF2B5EF4-FFF2-40B4-BE49-F238E27FC236}">
                  <a16:creationId xmlns:a16="http://schemas.microsoft.com/office/drawing/2014/main" id="{00000000-0008-0000-0700-00000A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798091" name="Button 11" hidden="1">
              <a:extLst>
                <a:ext uri="{63B3BB69-23CF-44E3-9099-C40C66FF867C}">
                  <a14:compatExt spid="_x0000_s26798091"/>
                </a:ext>
                <a:ext uri="{FF2B5EF4-FFF2-40B4-BE49-F238E27FC236}">
                  <a16:creationId xmlns:a16="http://schemas.microsoft.com/office/drawing/2014/main" id="{00000000-0008-0000-0700-00000B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798092" name="Button 12" hidden="1">
              <a:extLst>
                <a:ext uri="{63B3BB69-23CF-44E3-9099-C40C66FF867C}">
                  <a14:compatExt spid="_x0000_s26798092"/>
                </a:ext>
                <a:ext uri="{FF2B5EF4-FFF2-40B4-BE49-F238E27FC236}">
                  <a16:creationId xmlns:a16="http://schemas.microsoft.com/office/drawing/2014/main" id="{00000000-0008-0000-0700-00000C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798093" name="Button 13" hidden="1">
              <a:extLst>
                <a:ext uri="{63B3BB69-23CF-44E3-9099-C40C66FF867C}">
                  <a14:compatExt spid="_x0000_s26798093"/>
                </a:ext>
                <a:ext uri="{FF2B5EF4-FFF2-40B4-BE49-F238E27FC236}">
                  <a16:creationId xmlns:a16="http://schemas.microsoft.com/office/drawing/2014/main" id="{00000000-0008-0000-0700-00000D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798094" name="Button 14" hidden="1">
              <a:extLst>
                <a:ext uri="{63B3BB69-23CF-44E3-9099-C40C66FF867C}">
                  <a14:compatExt spid="_x0000_s26798094"/>
                </a:ext>
                <a:ext uri="{FF2B5EF4-FFF2-40B4-BE49-F238E27FC236}">
                  <a16:creationId xmlns:a16="http://schemas.microsoft.com/office/drawing/2014/main" id="{00000000-0008-0000-0700-00000E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798095" name="Check Box 15" hidden="1">
              <a:extLst>
                <a:ext uri="{63B3BB69-23CF-44E3-9099-C40C66FF867C}">
                  <a14:compatExt spid="_x0000_s26798095"/>
                </a:ext>
                <a:ext uri="{FF2B5EF4-FFF2-40B4-BE49-F238E27FC236}">
                  <a16:creationId xmlns:a16="http://schemas.microsoft.com/office/drawing/2014/main" id="{00000000-0008-0000-0700-00000F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798096" name="Check Box 16" hidden="1">
              <a:extLst>
                <a:ext uri="{63B3BB69-23CF-44E3-9099-C40C66FF867C}">
                  <a14:compatExt spid="_x0000_s26798096"/>
                </a:ext>
                <a:ext uri="{FF2B5EF4-FFF2-40B4-BE49-F238E27FC236}">
                  <a16:creationId xmlns:a16="http://schemas.microsoft.com/office/drawing/2014/main" id="{00000000-0008-0000-0700-000010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798097" name="Check Box 17" hidden="1">
              <a:extLst>
                <a:ext uri="{63B3BB69-23CF-44E3-9099-C40C66FF867C}">
                  <a14:compatExt spid="_x0000_s26798097"/>
                </a:ext>
                <a:ext uri="{FF2B5EF4-FFF2-40B4-BE49-F238E27FC236}">
                  <a16:creationId xmlns:a16="http://schemas.microsoft.com/office/drawing/2014/main" id="{00000000-0008-0000-0700-000011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798098" name="Check Box 18" hidden="1">
              <a:extLst>
                <a:ext uri="{63B3BB69-23CF-44E3-9099-C40C66FF867C}">
                  <a14:compatExt spid="_x0000_s26798098"/>
                </a:ext>
                <a:ext uri="{FF2B5EF4-FFF2-40B4-BE49-F238E27FC236}">
                  <a16:creationId xmlns:a16="http://schemas.microsoft.com/office/drawing/2014/main" id="{00000000-0008-0000-0700-000012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798099" name="Check Box 19" hidden="1">
              <a:extLst>
                <a:ext uri="{63B3BB69-23CF-44E3-9099-C40C66FF867C}">
                  <a14:compatExt spid="_x0000_s26798099"/>
                </a:ext>
                <a:ext uri="{FF2B5EF4-FFF2-40B4-BE49-F238E27FC236}">
                  <a16:creationId xmlns:a16="http://schemas.microsoft.com/office/drawing/2014/main" id="{00000000-0008-0000-0700-000013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798100" name="Check Box 20" hidden="1">
              <a:extLst>
                <a:ext uri="{63B3BB69-23CF-44E3-9099-C40C66FF867C}">
                  <a14:compatExt spid="_x0000_s26798100"/>
                </a:ext>
                <a:ext uri="{FF2B5EF4-FFF2-40B4-BE49-F238E27FC236}">
                  <a16:creationId xmlns:a16="http://schemas.microsoft.com/office/drawing/2014/main" id="{00000000-0008-0000-0700-000014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798101" name="Check Box 21" hidden="1">
              <a:extLst>
                <a:ext uri="{63B3BB69-23CF-44E3-9099-C40C66FF867C}">
                  <a14:compatExt spid="_x0000_s26798101"/>
                </a:ext>
                <a:ext uri="{FF2B5EF4-FFF2-40B4-BE49-F238E27FC236}">
                  <a16:creationId xmlns:a16="http://schemas.microsoft.com/office/drawing/2014/main" id="{00000000-0008-0000-0700-000015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798102" name="Check Box 22" hidden="1">
              <a:extLst>
                <a:ext uri="{63B3BB69-23CF-44E3-9099-C40C66FF867C}">
                  <a14:compatExt spid="_x0000_s26798102"/>
                </a:ext>
                <a:ext uri="{FF2B5EF4-FFF2-40B4-BE49-F238E27FC236}">
                  <a16:creationId xmlns:a16="http://schemas.microsoft.com/office/drawing/2014/main" id="{00000000-0008-0000-0700-000016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798103" name="Check Box 23" hidden="1">
              <a:extLst>
                <a:ext uri="{63B3BB69-23CF-44E3-9099-C40C66FF867C}">
                  <a14:compatExt spid="_x0000_s26798103"/>
                </a:ext>
                <a:ext uri="{FF2B5EF4-FFF2-40B4-BE49-F238E27FC236}">
                  <a16:creationId xmlns:a16="http://schemas.microsoft.com/office/drawing/2014/main" id="{00000000-0008-0000-0700-000017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798104" name="Check Box 24" hidden="1">
              <a:extLst>
                <a:ext uri="{63B3BB69-23CF-44E3-9099-C40C66FF867C}">
                  <a14:compatExt spid="_x0000_s26798104"/>
                </a:ext>
                <a:ext uri="{FF2B5EF4-FFF2-40B4-BE49-F238E27FC236}">
                  <a16:creationId xmlns:a16="http://schemas.microsoft.com/office/drawing/2014/main" id="{00000000-0008-0000-0700-000018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798105" name="Check Box 25" hidden="1">
              <a:extLst>
                <a:ext uri="{63B3BB69-23CF-44E3-9099-C40C66FF867C}">
                  <a14:compatExt spid="_x0000_s26798105"/>
                </a:ext>
                <a:ext uri="{FF2B5EF4-FFF2-40B4-BE49-F238E27FC236}">
                  <a16:creationId xmlns:a16="http://schemas.microsoft.com/office/drawing/2014/main" id="{00000000-0008-0000-0700-000019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798106" name="Check Box 26" hidden="1">
              <a:extLst>
                <a:ext uri="{63B3BB69-23CF-44E3-9099-C40C66FF867C}">
                  <a14:compatExt spid="_x0000_s26798106"/>
                </a:ext>
                <a:ext uri="{FF2B5EF4-FFF2-40B4-BE49-F238E27FC236}">
                  <a16:creationId xmlns:a16="http://schemas.microsoft.com/office/drawing/2014/main" id="{00000000-0008-0000-0700-00001A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798107" name="Check Box 27" hidden="1">
              <a:extLst>
                <a:ext uri="{63B3BB69-23CF-44E3-9099-C40C66FF867C}">
                  <a14:compatExt spid="_x0000_s26798107"/>
                </a:ext>
                <a:ext uri="{FF2B5EF4-FFF2-40B4-BE49-F238E27FC236}">
                  <a16:creationId xmlns:a16="http://schemas.microsoft.com/office/drawing/2014/main" id="{00000000-0008-0000-0700-00001B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798108" name="Button 28" hidden="1">
              <a:extLst>
                <a:ext uri="{63B3BB69-23CF-44E3-9099-C40C66FF867C}">
                  <a14:compatExt spid="_x0000_s26798108"/>
                </a:ext>
                <a:ext uri="{FF2B5EF4-FFF2-40B4-BE49-F238E27FC236}">
                  <a16:creationId xmlns:a16="http://schemas.microsoft.com/office/drawing/2014/main" id="{00000000-0008-0000-0700-00001C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798109" name="Button 29" hidden="1">
              <a:extLst>
                <a:ext uri="{63B3BB69-23CF-44E3-9099-C40C66FF867C}">
                  <a14:compatExt spid="_x0000_s26798109"/>
                </a:ext>
                <a:ext uri="{FF2B5EF4-FFF2-40B4-BE49-F238E27FC236}">
                  <a16:creationId xmlns:a16="http://schemas.microsoft.com/office/drawing/2014/main" id="{00000000-0008-0000-0700-00001DE89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798110" name="Check Box 30" hidden="1">
              <a:extLst>
                <a:ext uri="{63B3BB69-23CF-44E3-9099-C40C66FF867C}">
                  <a14:compatExt spid="_x0000_s26798110"/>
                </a:ext>
                <a:ext uri="{FF2B5EF4-FFF2-40B4-BE49-F238E27FC236}">
                  <a16:creationId xmlns:a16="http://schemas.microsoft.com/office/drawing/2014/main" id="{00000000-0008-0000-0700-00001E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798111" name="Check Box 31" hidden="1">
              <a:extLst>
                <a:ext uri="{63B3BB69-23CF-44E3-9099-C40C66FF867C}">
                  <a14:compatExt spid="_x0000_s26798111"/>
                </a:ext>
                <a:ext uri="{FF2B5EF4-FFF2-40B4-BE49-F238E27FC236}">
                  <a16:creationId xmlns:a16="http://schemas.microsoft.com/office/drawing/2014/main" id="{00000000-0008-0000-0700-00001F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798112" name="Check Box 32" hidden="1">
              <a:extLst>
                <a:ext uri="{63B3BB69-23CF-44E3-9099-C40C66FF867C}">
                  <a14:compatExt spid="_x0000_s26798112"/>
                </a:ext>
                <a:ext uri="{FF2B5EF4-FFF2-40B4-BE49-F238E27FC236}">
                  <a16:creationId xmlns:a16="http://schemas.microsoft.com/office/drawing/2014/main" id="{00000000-0008-0000-0700-000020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798113" name="Check Box 33" hidden="1">
              <a:extLst>
                <a:ext uri="{63B3BB69-23CF-44E3-9099-C40C66FF867C}">
                  <a14:compatExt spid="_x0000_s26798113"/>
                </a:ext>
                <a:ext uri="{FF2B5EF4-FFF2-40B4-BE49-F238E27FC236}">
                  <a16:creationId xmlns:a16="http://schemas.microsoft.com/office/drawing/2014/main" id="{00000000-0008-0000-0700-000021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798114" name="Check Box 34" hidden="1">
              <a:extLst>
                <a:ext uri="{63B3BB69-23CF-44E3-9099-C40C66FF867C}">
                  <a14:compatExt spid="_x0000_s26798114"/>
                </a:ext>
                <a:ext uri="{FF2B5EF4-FFF2-40B4-BE49-F238E27FC236}">
                  <a16:creationId xmlns:a16="http://schemas.microsoft.com/office/drawing/2014/main" id="{00000000-0008-0000-0700-000022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798115" name="Check Box 35" hidden="1">
              <a:extLst>
                <a:ext uri="{63B3BB69-23CF-44E3-9099-C40C66FF867C}">
                  <a14:compatExt spid="_x0000_s26798115"/>
                </a:ext>
                <a:ext uri="{FF2B5EF4-FFF2-40B4-BE49-F238E27FC236}">
                  <a16:creationId xmlns:a16="http://schemas.microsoft.com/office/drawing/2014/main" id="{00000000-0008-0000-0700-000023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798116" name="Check Box 36" hidden="1">
              <a:extLst>
                <a:ext uri="{63B3BB69-23CF-44E3-9099-C40C66FF867C}">
                  <a14:compatExt spid="_x0000_s26798116"/>
                </a:ext>
                <a:ext uri="{FF2B5EF4-FFF2-40B4-BE49-F238E27FC236}">
                  <a16:creationId xmlns:a16="http://schemas.microsoft.com/office/drawing/2014/main" id="{00000000-0008-0000-0700-000024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798117" name="Check Box 37" hidden="1">
              <a:extLst>
                <a:ext uri="{63B3BB69-23CF-44E3-9099-C40C66FF867C}">
                  <a14:compatExt spid="_x0000_s26798117"/>
                </a:ext>
                <a:ext uri="{FF2B5EF4-FFF2-40B4-BE49-F238E27FC236}">
                  <a16:creationId xmlns:a16="http://schemas.microsoft.com/office/drawing/2014/main" id="{00000000-0008-0000-0700-000025E89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D961401-53AC-47CC-88DA-35506AE923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537FCB8-5FF6-4068-9285-FAEF4D968DEA}"/>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674177" name="Check Box 1" hidden="1">
              <a:extLst>
                <a:ext uri="{63B3BB69-23CF-44E3-9099-C40C66FF867C}">
                  <a14:compatExt spid="_x0000_s26674177"/>
                </a:ext>
                <a:ext uri="{FF2B5EF4-FFF2-40B4-BE49-F238E27FC236}">
                  <a16:creationId xmlns:a16="http://schemas.microsoft.com/office/drawing/2014/main" id="{00000000-0008-0000-0800-000001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674178" name="Check Box 2" hidden="1">
              <a:extLst>
                <a:ext uri="{63B3BB69-23CF-44E3-9099-C40C66FF867C}">
                  <a14:compatExt spid="_x0000_s26674178"/>
                </a:ext>
                <a:ext uri="{FF2B5EF4-FFF2-40B4-BE49-F238E27FC236}">
                  <a16:creationId xmlns:a16="http://schemas.microsoft.com/office/drawing/2014/main" id="{00000000-0008-0000-0800-000002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674179" name="Check Box 3" hidden="1">
              <a:extLst>
                <a:ext uri="{63B3BB69-23CF-44E3-9099-C40C66FF867C}">
                  <a14:compatExt spid="_x0000_s26674179"/>
                </a:ext>
                <a:ext uri="{FF2B5EF4-FFF2-40B4-BE49-F238E27FC236}">
                  <a16:creationId xmlns:a16="http://schemas.microsoft.com/office/drawing/2014/main" id="{00000000-0008-0000-0800-000003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674180" name="Check Box 4" hidden="1">
              <a:extLst>
                <a:ext uri="{63B3BB69-23CF-44E3-9099-C40C66FF867C}">
                  <a14:compatExt spid="_x0000_s26674180"/>
                </a:ext>
                <a:ext uri="{FF2B5EF4-FFF2-40B4-BE49-F238E27FC236}">
                  <a16:creationId xmlns:a16="http://schemas.microsoft.com/office/drawing/2014/main" id="{00000000-0008-0000-0800-000004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674181" name="Check Box 5" hidden="1">
              <a:extLst>
                <a:ext uri="{63B3BB69-23CF-44E3-9099-C40C66FF867C}">
                  <a14:compatExt spid="_x0000_s26674181"/>
                </a:ext>
                <a:ext uri="{FF2B5EF4-FFF2-40B4-BE49-F238E27FC236}">
                  <a16:creationId xmlns:a16="http://schemas.microsoft.com/office/drawing/2014/main" id="{00000000-0008-0000-0800-000005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674182" name="Check Box 6" hidden="1">
              <a:extLst>
                <a:ext uri="{63B3BB69-23CF-44E3-9099-C40C66FF867C}">
                  <a14:compatExt spid="_x0000_s26674182"/>
                </a:ext>
                <a:ext uri="{FF2B5EF4-FFF2-40B4-BE49-F238E27FC236}">
                  <a16:creationId xmlns:a16="http://schemas.microsoft.com/office/drawing/2014/main" id="{00000000-0008-0000-0800-000006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674183" name="Check Box 7" hidden="1">
              <a:extLst>
                <a:ext uri="{63B3BB69-23CF-44E3-9099-C40C66FF867C}">
                  <a14:compatExt spid="_x0000_s26674183"/>
                </a:ext>
                <a:ext uri="{FF2B5EF4-FFF2-40B4-BE49-F238E27FC236}">
                  <a16:creationId xmlns:a16="http://schemas.microsoft.com/office/drawing/2014/main" id="{00000000-0008-0000-0800-000007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674184" name="Button 8" hidden="1">
              <a:extLst>
                <a:ext uri="{63B3BB69-23CF-44E3-9099-C40C66FF867C}">
                  <a14:compatExt spid="_x0000_s26674184"/>
                </a:ext>
                <a:ext uri="{FF2B5EF4-FFF2-40B4-BE49-F238E27FC236}">
                  <a16:creationId xmlns:a16="http://schemas.microsoft.com/office/drawing/2014/main" id="{00000000-0008-0000-0800-00000804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674185" name="Button 9" hidden="1">
              <a:extLst>
                <a:ext uri="{63B3BB69-23CF-44E3-9099-C40C66FF867C}">
                  <a14:compatExt spid="_x0000_s26674185"/>
                </a:ext>
                <a:ext uri="{FF2B5EF4-FFF2-40B4-BE49-F238E27FC236}">
                  <a16:creationId xmlns:a16="http://schemas.microsoft.com/office/drawing/2014/main" id="{00000000-0008-0000-0800-00000904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674186" name="Check Box 10" hidden="1">
              <a:extLst>
                <a:ext uri="{63B3BB69-23CF-44E3-9099-C40C66FF867C}">
                  <a14:compatExt spid="_x0000_s26674186"/>
                </a:ext>
                <a:ext uri="{FF2B5EF4-FFF2-40B4-BE49-F238E27FC236}">
                  <a16:creationId xmlns:a16="http://schemas.microsoft.com/office/drawing/2014/main" id="{00000000-0008-0000-0800-00000A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674187" name="Button 11" hidden="1">
              <a:extLst>
                <a:ext uri="{63B3BB69-23CF-44E3-9099-C40C66FF867C}">
                  <a14:compatExt spid="_x0000_s26674187"/>
                </a:ext>
                <a:ext uri="{FF2B5EF4-FFF2-40B4-BE49-F238E27FC236}">
                  <a16:creationId xmlns:a16="http://schemas.microsoft.com/office/drawing/2014/main" id="{00000000-0008-0000-0800-00000B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674188" name="Button 12" hidden="1">
              <a:extLst>
                <a:ext uri="{63B3BB69-23CF-44E3-9099-C40C66FF867C}">
                  <a14:compatExt spid="_x0000_s26674188"/>
                </a:ext>
                <a:ext uri="{FF2B5EF4-FFF2-40B4-BE49-F238E27FC236}">
                  <a16:creationId xmlns:a16="http://schemas.microsoft.com/office/drawing/2014/main" id="{00000000-0008-0000-0800-00000C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674189" name="Button 13" hidden="1">
              <a:extLst>
                <a:ext uri="{63B3BB69-23CF-44E3-9099-C40C66FF867C}">
                  <a14:compatExt spid="_x0000_s26674189"/>
                </a:ext>
                <a:ext uri="{FF2B5EF4-FFF2-40B4-BE49-F238E27FC236}">
                  <a16:creationId xmlns:a16="http://schemas.microsoft.com/office/drawing/2014/main" id="{00000000-0008-0000-0800-00000D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674190" name="Button 14" hidden="1">
              <a:extLst>
                <a:ext uri="{63B3BB69-23CF-44E3-9099-C40C66FF867C}">
                  <a14:compatExt spid="_x0000_s26674190"/>
                </a:ext>
                <a:ext uri="{FF2B5EF4-FFF2-40B4-BE49-F238E27FC236}">
                  <a16:creationId xmlns:a16="http://schemas.microsoft.com/office/drawing/2014/main" id="{00000000-0008-0000-0800-00000E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674191" name="Check Box 15" hidden="1">
              <a:extLst>
                <a:ext uri="{63B3BB69-23CF-44E3-9099-C40C66FF867C}">
                  <a14:compatExt spid="_x0000_s26674191"/>
                </a:ext>
                <a:ext uri="{FF2B5EF4-FFF2-40B4-BE49-F238E27FC236}">
                  <a16:creationId xmlns:a16="http://schemas.microsoft.com/office/drawing/2014/main" id="{00000000-0008-0000-0800-00000F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674192" name="Check Box 16" hidden="1">
              <a:extLst>
                <a:ext uri="{63B3BB69-23CF-44E3-9099-C40C66FF867C}">
                  <a14:compatExt spid="_x0000_s26674192"/>
                </a:ext>
                <a:ext uri="{FF2B5EF4-FFF2-40B4-BE49-F238E27FC236}">
                  <a16:creationId xmlns:a16="http://schemas.microsoft.com/office/drawing/2014/main" id="{00000000-0008-0000-0800-000010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674193" name="Check Box 17" hidden="1">
              <a:extLst>
                <a:ext uri="{63B3BB69-23CF-44E3-9099-C40C66FF867C}">
                  <a14:compatExt spid="_x0000_s26674193"/>
                </a:ext>
                <a:ext uri="{FF2B5EF4-FFF2-40B4-BE49-F238E27FC236}">
                  <a16:creationId xmlns:a16="http://schemas.microsoft.com/office/drawing/2014/main" id="{00000000-0008-0000-0800-000011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674194" name="Check Box 18" hidden="1">
              <a:extLst>
                <a:ext uri="{63B3BB69-23CF-44E3-9099-C40C66FF867C}">
                  <a14:compatExt spid="_x0000_s26674194"/>
                </a:ext>
                <a:ext uri="{FF2B5EF4-FFF2-40B4-BE49-F238E27FC236}">
                  <a16:creationId xmlns:a16="http://schemas.microsoft.com/office/drawing/2014/main" id="{00000000-0008-0000-0800-000012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674195" name="Check Box 19" hidden="1">
              <a:extLst>
                <a:ext uri="{63B3BB69-23CF-44E3-9099-C40C66FF867C}">
                  <a14:compatExt spid="_x0000_s26674195"/>
                </a:ext>
                <a:ext uri="{FF2B5EF4-FFF2-40B4-BE49-F238E27FC236}">
                  <a16:creationId xmlns:a16="http://schemas.microsoft.com/office/drawing/2014/main" id="{00000000-0008-0000-0800-000013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674196" name="Check Box 20" hidden="1">
              <a:extLst>
                <a:ext uri="{63B3BB69-23CF-44E3-9099-C40C66FF867C}">
                  <a14:compatExt spid="_x0000_s26674196"/>
                </a:ext>
                <a:ext uri="{FF2B5EF4-FFF2-40B4-BE49-F238E27FC236}">
                  <a16:creationId xmlns:a16="http://schemas.microsoft.com/office/drawing/2014/main" id="{00000000-0008-0000-0800-000014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674197" name="Check Box 21" hidden="1">
              <a:extLst>
                <a:ext uri="{63B3BB69-23CF-44E3-9099-C40C66FF867C}">
                  <a14:compatExt spid="_x0000_s26674197"/>
                </a:ext>
                <a:ext uri="{FF2B5EF4-FFF2-40B4-BE49-F238E27FC236}">
                  <a16:creationId xmlns:a16="http://schemas.microsoft.com/office/drawing/2014/main" id="{00000000-0008-0000-0800-000015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674198" name="Check Box 22" hidden="1">
              <a:extLst>
                <a:ext uri="{63B3BB69-23CF-44E3-9099-C40C66FF867C}">
                  <a14:compatExt spid="_x0000_s26674198"/>
                </a:ext>
                <a:ext uri="{FF2B5EF4-FFF2-40B4-BE49-F238E27FC236}">
                  <a16:creationId xmlns:a16="http://schemas.microsoft.com/office/drawing/2014/main" id="{00000000-0008-0000-0800-000016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674199" name="Check Box 23" hidden="1">
              <a:extLst>
                <a:ext uri="{63B3BB69-23CF-44E3-9099-C40C66FF867C}">
                  <a14:compatExt spid="_x0000_s26674199"/>
                </a:ext>
                <a:ext uri="{FF2B5EF4-FFF2-40B4-BE49-F238E27FC236}">
                  <a16:creationId xmlns:a16="http://schemas.microsoft.com/office/drawing/2014/main" id="{00000000-0008-0000-0800-000017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674200" name="Check Box 24" hidden="1">
              <a:extLst>
                <a:ext uri="{63B3BB69-23CF-44E3-9099-C40C66FF867C}">
                  <a14:compatExt spid="_x0000_s26674200"/>
                </a:ext>
                <a:ext uri="{FF2B5EF4-FFF2-40B4-BE49-F238E27FC236}">
                  <a16:creationId xmlns:a16="http://schemas.microsoft.com/office/drawing/2014/main" id="{00000000-0008-0000-0800-000018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674201" name="Check Box 25" hidden="1">
              <a:extLst>
                <a:ext uri="{63B3BB69-23CF-44E3-9099-C40C66FF867C}">
                  <a14:compatExt spid="_x0000_s26674201"/>
                </a:ext>
                <a:ext uri="{FF2B5EF4-FFF2-40B4-BE49-F238E27FC236}">
                  <a16:creationId xmlns:a16="http://schemas.microsoft.com/office/drawing/2014/main" id="{00000000-0008-0000-0800-000019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674202" name="Check Box 26" hidden="1">
              <a:extLst>
                <a:ext uri="{63B3BB69-23CF-44E3-9099-C40C66FF867C}">
                  <a14:compatExt spid="_x0000_s26674202"/>
                </a:ext>
                <a:ext uri="{FF2B5EF4-FFF2-40B4-BE49-F238E27FC236}">
                  <a16:creationId xmlns:a16="http://schemas.microsoft.com/office/drawing/2014/main" id="{00000000-0008-0000-0800-00001A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674203" name="Check Box 27" hidden="1">
              <a:extLst>
                <a:ext uri="{63B3BB69-23CF-44E3-9099-C40C66FF867C}">
                  <a14:compatExt spid="_x0000_s26674203"/>
                </a:ext>
                <a:ext uri="{FF2B5EF4-FFF2-40B4-BE49-F238E27FC236}">
                  <a16:creationId xmlns:a16="http://schemas.microsoft.com/office/drawing/2014/main" id="{00000000-0008-0000-0800-00001B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674204" name="Button 28" hidden="1">
              <a:extLst>
                <a:ext uri="{63B3BB69-23CF-44E3-9099-C40C66FF867C}">
                  <a14:compatExt spid="_x0000_s26674204"/>
                </a:ext>
                <a:ext uri="{FF2B5EF4-FFF2-40B4-BE49-F238E27FC236}">
                  <a16:creationId xmlns:a16="http://schemas.microsoft.com/office/drawing/2014/main" id="{00000000-0008-0000-0800-00001C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674205" name="Button 29" hidden="1">
              <a:extLst>
                <a:ext uri="{63B3BB69-23CF-44E3-9099-C40C66FF867C}">
                  <a14:compatExt spid="_x0000_s26674205"/>
                </a:ext>
                <a:ext uri="{FF2B5EF4-FFF2-40B4-BE49-F238E27FC236}">
                  <a16:creationId xmlns:a16="http://schemas.microsoft.com/office/drawing/2014/main" id="{00000000-0008-0000-0800-00001D04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674206" name="Check Box 30" hidden="1">
              <a:extLst>
                <a:ext uri="{63B3BB69-23CF-44E3-9099-C40C66FF867C}">
                  <a14:compatExt spid="_x0000_s26674206"/>
                </a:ext>
                <a:ext uri="{FF2B5EF4-FFF2-40B4-BE49-F238E27FC236}">
                  <a16:creationId xmlns:a16="http://schemas.microsoft.com/office/drawing/2014/main" id="{00000000-0008-0000-0800-00001E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674207" name="Check Box 31" hidden="1">
              <a:extLst>
                <a:ext uri="{63B3BB69-23CF-44E3-9099-C40C66FF867C}">
                  <a14:compatExt spid="_x0000_s26674207"/>
                </a:ext>
                <a:ext uri="{FF2B5EF4-FFF2-40B4-BE49-F238E27FC236}">
                  <a16:creationId xmlns:a16="http://schemas.microsoft.com/office/drawing/2014/main" id="{00000000-0008-0000-0800-00001F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674208" name="Check Box 32" hidden="1">
              <a:extLst>
                <a:ext uri="{63B3BB69-23CF-44E3-9099-C40C66FF867C}">
                  <a14:compatExt spid="_x0000_s26674208"/>
                </a:ext>
                <a:ext uri="{FF2B5EF4-FFF2-40B4-BE49-F238E27FC236}">
                  <a16:creationId xmlns:a16="http://schemas.microsoft.com/office/drawing/2014/main" id="{00000000-0008-0000-0800-000020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674209" name="Check Box 33" hidden="1">
              <a:extLst>
                <a:ext uri="{63B3BB69-23CF-44E3-9099-C40C66FF867C}">
                  <a14:compatExt spid="_x0000_s26674209"/>
                </a:ext>
                <a:ext uri="{FF2B5EF4-FFF2-40B4-BE49-F238E27FC236}">
                  <a16:creationId xmlns:a16="http://schemas.microsoft.com/office/drawing/2014/main" id="{00000000-0008-0000-0800-000021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674210" name="Check Box 34" hidden="1">
              <a:extLst>
                <a:ext uri="{63B3BB69-23CF-44E3-9099-C40C66FF867C}">
                  <a14:compatExt spid="_x0000_s26674210"/>
                </a:ext>
                <a:ext uri="{FF2B5EF4-FFF2-40B4-BE49-F238E27FC236}">
                  <a16:creationId xmlns:a16="http://schemas.microsoft.com/office/drawing/2014/main" id="{00000000-0008-0000-0800-000022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674211" name="Check Box 35" hidden="1">
              <a:extLst>
                <a:ext uri="{63B3BB69-23CF-44E3-9099-C40C66FF867C}">
                  <a14:compatExt spid="_x0000_s26674211"/>
                </a:ext>
                <a:ext uri="{FF2B5EF4-FFF2-40B4-BE49-F238E27FC236}">
                  <a16:creationId xmlns:a16="http://schemas.microsoft.com/office/drawing/2014/main" id="{00000000-0008-0000-0800-000023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674212" name="Check Box 36" hidden="1">
              <a:extLst>
                <a:ext uri="{63B3BB69-23CF-44E3-9099-C40C66FF867C}">
                  <a14:compatExt spid="_x0000_s26674212"/>
                </a:ext>
                <a:ext uri="{FF2B5EF4-FFF2-40B4-BE49-F238E27FC236}">
                  <a16:creationId xmlns:a16="http://schemas.microsoft.com/office/drawing/2014/main" id="{00000000-0008-0000-0800-000024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674213" name="Check Box 37" hidden="1">
              <a:extLst>
                <a:ext uri="{63B3BB69-23CF-44E3-9099-C40C66FF867C}">
                  <a14:compatExt spid="_x0000_s26674213"/>
                </a:ext>
                <a:ext uri="{FF2B5EF4-FFF2-40B4-BE49-F238E27FC236}">
                  <a16:creationId xmlns:a16="http://schemas.microsoft.com/office/drawing/2014/main" id="{00000000-0008-0000-0800-00002504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52539F38-D8C8-45F6-80FB-C7DE771C0F9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E964142-2F06-49CA-AD02-9AB4F0068CA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673153" name="Check Box 1" hidden="1">
              <a:extLst>
                <a:ext uri="{63B3BB69-23CF-44E3-9099-C40C66FF867C}">
                  <a14:compatExt spid="_x0000_s26673153"/>
                </a:ext>
                <a:ext uri="{FF2B5EF4-FFF2-40B4-BE49-F238E27FC236}">
                  <a16:creationId xmlns:a16="http://schemas.microsoft.com/office/drawing/2014/main" id="{00000000-0008-0000-0900-000001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673154" name="Check Box 2" hidden="1">
              <a:extLst>
                <a:ext uri="{63B3BB69-23CF-44E3-9099-C40C66FF867C}">
                  <a14:compatExt spid="_x0000_s26673154"/>
                </a:ext>
                <a:ext uri="{FF2B5EF4-FFF2-40B4-BE49-F238E27FC236}">
                  <a16:creationId xmlns:a16="http://schemas.microsoft.com/office/drawing/2014/main" id="{00000000-0008-0000-0900-000002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673155" name="Check Box 3" hidden="1">
              <a:extLst>
                <a:ext uri="{63B3BB69-23CF-44E3-9099-C40C66FF867C}">
                  <a14:compatExt spid="_x0000_s26673155"/>
                </a:ext>
                <a:ext uri="{FF2B5EF4-FFF2-40B4-BE49-F238E27FC236}">
                  <a16:creationId xmlns:a16="http://schemas.microsoft.com/office/drawing/2014/main" id="{00000000-0008-0000-0900-000003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673156" name="Check Box 4" hidden="1">
              <a:extLst>
                <a:ext uri="{63B3BB69-23CF-44E3-9099-C40C66FF867C}">
                  <a14:compatExt spid="_x0000_s26673156"/>
                </a:ext>
                <a:ext uri="{FF2B5EF4-FFF2-40B4-BE49-F238E27FC236}">
                  <a16:creationId xmlns:a16="http://schemas.microsoft.com/office/drawing/2014/main" id="{00000000-0008-0000-0900-000004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673157" name="Check Box 5" hidden="1">
              <a:extLst>
                <a:ext uri="{63B3BB69-23CF-44E3-9099-C40C66FF867C}">
                  <a14:compatExt spid="_x0000_s26673157"/>
                </a:ext>
                <a:ext uri="{FF2B5EF4-FFF2-40B4-BE49-F238E27FC236}">
                  <a16:creationId xmlns:a16="http://schemas.microsoft.com/office/drawing/2014/main" id="{00000000-0008-0000-0900-000005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673158" name="Check Box 6" hidden="1">
              <a:extLst>
                <a:ext uri="{63B3BB69-23CF-44E3-9099-C40C66FF867C}">
                  <a14:compatExt spid="_x0000_s26673158"/>
                </a:ext>
                <a:ext uri="{FF2B5EF4-FFF2-40B4-BE49-F238E27FC236}">
                  <a16:creationId xmlns:a16="http://schemas.microsoft.com/office/drawing/2014/main" id="{00000000-0008-0000-0900-000006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673159" name="Check Box 7" hidden="1">
              <a:extLst>
                <a:ext uri="{63B3BB69-23CF-44E3-9099-C40C66FF867C}">
                  <a14:compatExt spid="_x0000_s26673159"/>
                </a:ext>
                <a:ext uri="{FF2B5EF4-FFF2-40B4-BE49-F238E27FC236}">
                  <a16:creationId xmlns:a16="http://schemas.microsoft.com/office/drawing/2014/main" id="{00000000-0008-0000-0900-000007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673160" name="Button 8" hidden="1">
              <a:extLst>
                <a:ext uri="{63B3BB69-23CF-44E3-9099-C40C66FF867C}">
                  <a14:compatExt spid="_x0000_s26673160"/>
                </a:ext>
                <a:ext uri="{FF2B5EF4-FFF2-40B4-BE49-F238E27FC236}">
                  <a16:creationId xmlns:a16="http://schemas.microsoft.com/office/drawing/2014/main" id="{00000000-0008-0000-0900-00000800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673161" name="Button 9" hidden="1">
              <a:extLst>
                <a:ext uri="{63B3BB69-23CF-44E3-9099-C40C66FF867C}">
                  <a14:compatExt spid="_x0000_s26673161"/>
                </a:ext>
                <a:ext uri="{FF2B5EF4-FFF2-40B4-BE49-F238E27FC236}">
                  <a16:creationId xmlns:a16="http://schemas.microsoft.com/office/drawing/2014/main" id="{00000000-0008-0000-0900-000009009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673162" name="Check Box 10" hidden="1">
              <a:extLst>
                <a:ext uri="{63B3BB69-23CF-44E3-9099-C40C66FF867C}">
                  <a14:compatExt spid="_x0000_s26673162"/>
                </a:ext>
                <a:ext uri="{FF2B5EF4-FFF2-40B4-BE49-F238E27FC236}">
                  <a16:creationId xmlns:a16="http://schemas.microsoft.com/office/drawing/2014/main" id="{00000000-0008-0000-0900-00000A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673163" name="Button 11" hidden="1">
              <a:extLst>
                <a:ext uri="{63B3BB69-23CF-44E3-9099-C40C66FF867C}">
                  <a14:compatExt spid="_x0000_s26673163"/>
                </a:ext>
                <a:ext uri="{FF2B5EF4-FFF2-40B4-BE49-F238E27FC236}">
                  <a16:creationId xmlns:a16="http://schemas.microsoft.com/office/drawing/2014/main" id="{00000000-0008-0000-0900-00000B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673164" name="Button 12" hidden="1">
              <a:extLst>
                <a:ext uri="{63B3BB69-23CF-44E3-9099-C40C66FF867C}">
                  <a14:compatExt spid="_x0000_s26673164"/>
                </a:ext>
                <a:ext uri="{FF2B5EF4-FFF2-40B4-BE49-F238E27FC236}">
                  <a16:creationId xmlns:a16="http://schemas.microsoft.com/office/drawing/2014/main" id="{00000000-0008-0000-0900-00000C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673165" name="Button 13" hidden="1">
              <a:extLst>
                <a:ext uri="{63B3BB69-23CF-44E3-9099-C40C66FF867C}">
                  <a14:compatExt spid="_x0000_s26673165"/>
                </a:ext>
                <a:ext uri="{FF2B5EF4-FFF2-40B4-BE49-F238E27FC236}">
                  <a16:creationId xmlns:a16="http://schemas.microsoft.com/office/drawing/2014/main" id="{00000000-0008-0000-0900-00000D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673166" name="Button 14" hidden="1">
              <a:extLst>
                <a:ext uri="{63B3BB69-23CF-44E3-9099-C40C66FF867C}">
                  <a14:compatExt spid="_x0000_s26673166"/>
                </a:ext>
                <a:ext uri="{FF2B5EF4-FFF2-40B4-BE49-F238E27FC236}">
                  <a16:creationId xmlns:a16="http://schemas.microsoft.com/office/drawing/2014/main" id="{00000000-0008-0000-0900-00000E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673167" name="Check Box 15" hidden="1">
              <a:extLst>
                <a:ext uri="{63B3BB69-23CF-44E3-9099-C40C66FF867C}">
                  <a14:compatExt spid="_x0000_s26673167"/>
                </a:ext>
                <a:ext uri="{FF2B5EF4-FFF2-40B4-BE49-F238E27FC236}">
                  <a16:creationId xmlns:a16="http://schemas.microsoft.com/office/drawing/2014/main" id="{00000000-0008-0000-0900-00000F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673168" name="Check Box 16" hidden="1">
              <a:extLst>
                <a:ext uri="{63B3BB69-23CF-44E3-9099-C40C66FF867C}">
                  <a14:compatExt spid="_x0000_s26673168"/>
                </a:ext>
                <a:ext uri="{FF2B5EF4-FFF2-40B4-BE49-F238E27FC236}">
                  <a16:creationId xmlns:a16="http://schemas.microsoft.com/office/drawing/2014/main" id="{00000000-0008-0000-0900-000010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673169" name="Check Box 17" hidden="1">
              <a:extLst>
                <a:ext uri="{63B3BB69-23CF-44E3-9099-C40C66FF867C}">
                  <a14:compatExt spid="_x0000_s26673169"/>
                </a:ext>
                <a:ext uri="{FF2B5EF4-FFF2-40B4-BE49-F238E27FC236}">
                  <a16:creationId xmlns:a16="http://schemas.microsoft.com/office/drawing/2014/main" id="{00000000-0008-0000-0900-000011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673170" name="Check Box 18" hidden="1">
              <a:extLst>
                <a:ext uri="{63B3BB69-23CF-44E3-9099-C40C66FF867C}">
                  <a14:compatExt spid="_x0000_s26673170"/>
                </a:ext>
                <a:ext uri="{FF2B5EF4-FFF2-40B4-BE49-F238E27FC236}">
                  <a16:creationId xmlns:a16="http://schemas.microsoft.com/office/drawing/2014/main" id="{00000000-0008-0000-0900-000012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673171" name="Check Box 19" hidden="1">
              <a:extLst>
                <a:ext uri="{63B3BB69-23CF-44E3-9099-C40C66FF867C}">
                  <a14:compatExt spid="_x0000_s26673171"/>
                </a:ext>
                <a:ext uri="{FF2B5EF4-FFF2-40B4-BE49-F238E27FC236}">
                  <a16:creationId xmlns:a16="http://schemas.microsoft.com/office/drawing/2014/main" id="{00000000-0008-0000-0900-000013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673172" name="Check Box 20" hidden="1">
              <a:extLst>
                <a:ext uri="{63B3BB69-23CF-44E3-9099-C40C66FF867C}">
                  <a14:compatExt spid="_x0000_s26673172"/>
                </a:ext>
                <a:ext uri="{FF2B5EF4-FFF2-40B4-BE49-F238E27FC236}">
                  <a16:creationId xmlns:a16="http://schemas.microsoft.com/office/drawing/2014/main" id="{00000000-0008-0000-0900-000014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673173" name="Check Box 21" hidden="1">
              <a:extLst>
                <a:ext uri="{63B3BB69-23CF-44E3-9099-C40C66FF867C}">
                  <a14:compatExt spid="_x0000_s26673173"/>
                </a:ext>
                <a:ext uri="{FF2B5EF4-FFF2-40B4-BE49-F238E27FC236}">
                  <a16:creationId xmlns:a16="http://schemas.microsoft.com/office/drawing/2014/main" id="{00000000-0008-0000-0900-000015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673174" name="Check Box 22" hidden="1">
              <a:extLst>
                <a:ext uri="{63B3BB69-23CF-44E3-9099-C40C66FF867C}">
                  <a14:compatExt spid="_x0000_s26673174"/>
                </a:ext>
                <a:ext uri="{FF2B5EF4-FFF2-40B4-BE49-F238E27FC236}">
                  <a16:creationId xmlns:a16="http://schemas.microsoft.com/office/drawing/2014/main" id="{00000000-0008-0000-0900-000016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673175" name="Check Box 23" hidden="1">
              <a:extLst>
                <a:ext uri="{63B3BB69-23CF-44E3-9099-C40C66FF867C}">
                  <a14:compatExt spid="_x0000_s26673175"/>
                </a:ext>
                <a:ext uri="{FF2B5EF4-FFF2-40B4-BE49-F238E27FC236}">
                  <a16:creationId xmlns:a16="http://schemas.microsoft.com/office/drawing/2014/main" id="{00000000-0008-0000-0900-000017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673176" name="Check Box 24" hidden="1">
              <a:extLst>
                <a:ext uri="{63B3BB69-23CF-44E3-9099-C40C66FF867C}">
                  <a14:compatExt spid="_x0000_s26673176"/>
                </a:ext>
                <a:ext uri="{FF2B5EF4-FFF2-40B4-BE49-F238E27FC236}">
                  <a16:creationId xmlns:a16="http://schemas.microsoft.com/office/drawing/2014/main" id="{00000000-0008-0000-0900-000018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673177" name="Check Box 25" hidden="1">
              <a:extLst>
                <a:ext uri="{63B3BB69-23CF-44E3-9099-C40C66FF867C}">
                  <a14:compatExt spid="_x0000_s26673177"/>
                </a:ext>
                <a:ext uri="{FF2B5EF4-FFF2-40B4-BE49-F238E27FC236}">
                  <a16:creationId xmlns:a16="http://schemas.microsoft.com/office/drawing/2014/main" id="{00000000-0008-0000-0900-000019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673178" name="Check Box 26" hidden="1">
              <a:extLst>
                <a:ext uri="{63B3BB69-23CF-44E3-9099-C40C66FF867C}">
                  <a14:compatExt spid="_x0000_s26673178"/>
                </a:ext>
                <a:ext uri="{FF2B5EF4-FFF2-40B4-BE49-F238E27FC236}">
                  <a16:creationId xmlns:a16="http://schemas.microsoft.com/office/drawing/2014/main" id="{00000000-0008-0000-0900-00001A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673179" name="Check Box 27" hidden="1">
              <a:extLst>
                <a:ext uri="{63B3BB69-23CF-44E3-9099-C40C66FF867C}">
                  <a14:compatExt spid="_x0000_s26673179"/>
                </a:ext>
                <a:ext uri="{FF2B5EF4-FFF2-40B4-BE49-F238E27FC236}">
                  <a16:creationId xmlns:a16="http://schemas.microsoft.com/office/drawing/2014/main" id="{00000000-0008-0000-0900-00001B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673180" name="Button 28" hidden="1">
              <a:extLst>
                <a:ext uri="{63B3BB69-23CF-44E3-9099-C40C66FF867C}">
                  <a14:compatExt spid="_x0000_s26673180"/>
                </a:ext>
                <a:ext uri="{FF2B5EF4-FFF2-40B4-BE49-F238E27FC236}">
                  <a16:creationId xmlns:a16="http://schemas.microsoft.com/office/drawing/2014/main" id="{00000000-0008-0000-0900-00001C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673181" name="Button 29" hidden="1">
              <a:extLst>
                <a:ext uri="{63B3BB69-23CF-44E3-9099-C40C66FF867C}">
                  <a14:compatExt spid="_x0000_s26673181"/>
                </a:ext>
                <a:ext uri="{FF2B5EF4-FFF2-40B4-BE49-F238E27FC236}">
                  <a16:creationId xmlns:a16="http://schemas.microsoft.com/office/drawing/2014/main" id="{00000000-0008-0000-0900-00001D009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673182" name="Check Box 30" hidden="1">
              <a:extLst>
                <a:ext uri="{63B3BB69-23CF-44E3-9099-C40C66FF867C}">
                  <a14:compatExt spid="_x0000_s26673182"/>
                </a:ext>
                <a:ext uri="{FF2B5EF4-FFF2-40B4-BE49-F238E27FC236}">
                  <a16:creationId xmlns:a16="http://schemas.microsoft.com/office/drawing/2014/main" id="{00000000-0008-0000-0900-00001E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673183" name="Check Box 31" hidden="1">
              <a:extLst>
                <a:ext uri="{63B3BB69-23CF-44E3-9099-C40C66FF867C}">
                  <a14:compatExt spid="_x0000_s26673183"/>
                </a:ext>
                <a:ext uri="{FF2B5EF4-FFF2-40B4-BE49-F238E27FC236}">
                  <a16:creationId xmlns:a16="http://schemas.microsoft.com/office/drawing/2014/main" id="{00000000-0008-0000-0900-00001F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673184" name="Check Box 32" hidden="1">
              <a:extLst>
                <a:ext uri="{63B3BB69-23CF-44E3-9099-C40C66FF867C}">
                  <a14:compatExt spid="_x0000_s26673184"/>
                </a:ext>
                <a:ext uri="{FF2B5EF4-FFF2-40B4-BE49-F238E27FC236}">
                  <a16:creationId xmlns:a16="http://schemas.microsoft.com/office/drawing/2014/main" id="{00000000-0008-0000-0900-000020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673185" name="Check Box 33" hidden="1">
              <a:extLst>
                <a:ext uri="{63B3BB69-23CF-44E3-9099-C40C66FF867C}">
                  <a14:compatExt spid="_x0000_s26673185"/>
                </a:ext>
                <a:ext uri="{FF2B5EF4-FFF2-40B4-BE49-F238E27FC236}">
                  <a16:creationId xmlns:a16="http://schemas.microsoft.com/office/drawing/2014/main" id="{00000000-0008-0000-0900-000021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673186" name="Check Box 34" hidden="1">
              <a:extLst>
                <a:ext uri="{63B3BB69-23CF-44E3-9099-C40C66FF867C}">
                  <a14:compatExt spid="_x0000_s26673186"/>
                </a:ext>
                <a:ext uri="{FF2B5EF4-FFF2-40B4-BE49-F238E27FC236}">
                  <a16:creationId xmlns:a16="http://schemas.microsoft.com/office/drawing/2014/main" id="{00000000-0008-0000-0900-000022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673187" name="Check Box 35" hidden="1">
              <a:extLst>
                <a:ext uri="{63B3BB69-23CF-44E3-9099-C40C66FF867C}">
                  <a14:compatExt spid="_x0000_s26673187"/>
                </a:ext>
                <a:ext uri="{FF2B5EF4-FFF2-40B4-BE49-F238E27FC236}">
                  <a16:creationId xmlns:a16="http://schemas.microsoft.com/office/drawing/2014/main" id="{00000000-0008-0000-0900-000023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673188" name="Check Box 36" hidden="1">
              <a:extLst>
                <a:ext uri="{63B3BB69-23CF-44E3-9099-C40C66FF867C}">
                  <a14:compatExt spid="_x0000_s26673188"/>
                </a:ext>
                <a:ext uri="{FF2B5EF4-FFF2-40B4-BE49-F238E27FC236}">
                  <a16:creationId xmlns:a16="http://schemas.microsoft.com/office/drawing/2014/main" id="{00000000-0008-0000-0900-000024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673189" name="Check Box 37" hidden="1">
              <a:extLst>
                <a:ext uri="{63B3BB69-23CF-44E3-9099-C40C66FF867C}">
                  <a14:compatExt spid="_x0000_s26673189"/>
                </a:ext>
                <a:ext uri="{FF2B5EF4-FFF2-40B4-BE49-F238E27FC236}">
                  <a16:creationId xmlns:a16="http://schemas.microsoft.com/office/drawing/2014/main" id="{00000000-0008-0000-0900-000025009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8066D91-43BD-482C-88C5-0AF52E7799B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8FC9A83-2779-46C5-B273-6F0A13B4DE3C}"/>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553345" name="Check Box 1" hidden="1">
              <a:extLst>
                <a:ext uri="{63B3BB69-23CF-44E3-9099-C40C66FF867C}">
                  <a14:compatExt spid="_x0000_s26553345"/>
                </a:ext>
                <a:ext uri="{FF2B5EF4-FFF2-40B4-BE49-F238E27FC236}">
                  <a16:creationId xmlns:a16="http://schemas.microsoft.com/office/drawing/2014/main" id="{00000000-0008-0000-0A00-000001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553346" name="Check Box 2" hidden="1">
              <a:extLst>
                <a:ext uri="{63B3BB69-23CF-44E3-9099-C40C66FF867C}">
                  <a14:compatExt spid="_x0000_s26553346"/>
                </a:ext>
                <a:ext uri="{FF2B5EF4-FFF2-40B4-BE49-F238E27FC236}">
                  <a16:creationId xmlns:a16="http://schemas.microsoft.com/office/drawing/2014/main" id="{00000000-0008-0000-0A00-000002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553347" name="Check Box 3" hidden="1">
              <a:extLst>
                <a:ext uri="{63B3BB69-23CF-44E3-9099-C40C66FF867C}">
                  <a14:compatExt spid="_x0000_s26553347"/>
                </a:ext>
                <a:ext uri="{FF2B5EF4-FFF2-40B4-BE49-F238E27FC236}">
                  <a16:creationId xmlns:a16="http://schemas.microsoft.com/office/drawing/2014/main" id="{00000000-0008-0000-0A00-000003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553348" name="Check Box 4" hidden="1">
              <a:extLst>
                <a:ext uri="{63B3BB69-23CF-44E3-9099-C40C66FF867C}">
                  <a14:compatExt spid="_x0000_s26553348"/>
                </a:ext>
                <a:ext uri="{FF2B5EF4-FFF2-40B4-BE49-F238E27FC236}">
                  <a16:creationId xmlns:a16="http://schemas.microsoft.com/office/drawing/2014/main" id="{00000000-0008-0000-0A00-000004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553349" name="Check Box 5" hidden="1">
              <a:extLst>
                <a:ext uri="{63B3BB69-23CF-44E3-9099-C40C66FF867C}">
                  <a14:compatExt spid="_x0000_s26553349"/>
                </a:ext>
                <a:ext uri="{FF2B5EF4-FFF2-40B4-BE49-F238E27FC236}">
                  <a16:creationId xmlns:a16="http://schemas.microsoft.com/office/drawing/2014/main" id="{00000000-0008-0000-0A00-000005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553350" name="Check Box 6" hidden="1">
              <a:extLst>
                <a:ext uri="{63B3BB69-23CF-44E3-9099-C40C66FF867C}">
                  <a14:compatExt spid="_x0000_s26553350"/>
                </a:ext>
                <a:ext uri="{FF2B5EF4-FFF2-40B4-BE49-F238E27FC236}">
                  <a16:creationId xmlns:a16="http://schemas.microsoft.com/office/drawing/2014/main" id="{00000000-0008-0000-0A00-000006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553351" name="Check Box 7" hidden="1">
              <a:extLst>
                <a:ext uri="{63B3BB69-23CF-44E3-9099-C40C66FF867C}">
                  <a14:compatExt spid="_x0000_s26553351"/>
                </a:ext>
                <a:ext uri="{FF2B5EF4-FFF2-40B4-BE49-F238E27FC236}">
                  <a16:creationId xmlns:a16="http://schemas.microsoft.com/office/drawing/2014/main" id="{00000000-0008-0000-0A00-000007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553352" name="Button 8" hidden="1">
              <a:extLst>
                <a:ext uri="{63B3BB69-23CF-44E3-9099-C40C66FF867C}">
                  <a14:compatExt spid="_x0000_s26553352"/>
                </a:ext>
                <a:ext uri="{FF2B5EF4-FFF2-40B4-BE49-F238E27FC236}">
                  <a16:creationId xmlns:a16="http://schemas.microsoft.com/office/drawing/2014/main" id="{00000000-0008-0000-0A00-0000082C9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553353" name="Button 9" hidden="1">
              <a:extLst>
                <a:ext uri="{63B3BB69-23CF-44E3-9099-C40C66FF867C}">
                  <a14:compatExt spid="_x0000_s26553353"/>
                </a:ext>
                <a:ext uri="{FF2B5EF4-FFF2-40B4-BE49-F238E27FC236}">
                  <a16:creationId xmlns:a16="http://schemas.microsoft.com/office/drawing/2014/main" id="{00000000-0008-0000-0A00-0000092C9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553354" name="Check Box 10" hidden="1">
              <a:extLst>
                <a:ext uri="{63B3BB69-23CF-44E3-9099-C40C66FF867C}">
                  <a14:compatExt spid="_x0000_s26553354"/>
                </a:ext>
                <a:ext uri="{FF2B5EF4-FFF2-40B4-BE49-F238E27FC236}">
                  <a16:creationId xmlns:a16="http://schemas.microsoft.com/office/drawing/2014/main" id="{00000000-0008-0000-0A00-00000A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553355" name="Button 11" hidden="1">
              <a:extLst>
                <a:ext uri="{63B3BB69-23CF-44E3-9099-C40C66FF867C}">
                  <a14:compatExt spid="_x0000_s26553355"/>
                </a:ext>
                <a:ext uri="{FF2B5EF4-FFF2-40B4-BE49-F238E27FC236}">
                  <a16:creationId xmlns:a16="http://schemas.microsoft.com/office/drawing/2014/main" id="{00000000-0008-0000-0A00-00000B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553356" name="Button 12" hidden="1">
              <a:extLst>
                <a:ext uri="{63B3BB69-23CF-44E3-9099-C40C66FF867C}">
                  <a14:compatExt spid="_x0000_s26553356"/>
                </a:ext>
                <a:ext uri="{FF2B5EF4-FFF2-40B4-BE49-F238E27FC236}">
                  <a16:creationId xmlns:a16="http://schemas.microsoft.com/office/drawing/2014/main" id="{00000000-0008-0000-0A00-00000C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553357" name="Button 13" hidden="1">
              <a:extLst>
                <a:ext uri="{63B3BB69-23CF-44E3-9099-C40C66FF867C}">
                  <a14:compatExt spid="_x0000_s26553357"/>
                </a:ext>
                <a:ext uri="{FF2B5EF4-FFF2-40B4-BE49-F238E27FC236}">
                  <a16:creationId xmlns:a16="http://schemas.microsoft.com/office/drawing/2014/main" id="{00000000-0008-0000-0A00-00000D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553358" name="Button 14" hidden="1">
              <a:extLst>
                <a:ext uri="{63B3BB69-23CF-44E3-9099-C40C66FF867C}">
                  <a14:compatExt spid="_x0000_s26553358"/>
                </a:ext>
                <a:ext uri="{FF2B5EF4-FFF2-40B4-BE49-F238E27FC236}">
                  <a16:creationId xmlns:a16="http://schemas.microsoft.com/office/drawing/2014/main" id="{00000000-0008-0000-0A00-00000E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553359" name="Check Box 15" hidden="1">
              <a:extLst>
                <a:ext uri="{63B3BB69-23CF-44E3-9099-C40C66FF867C}">
                  <a14:compatExt spid="_x0000_s26553359"/>
                </a:ext>
                <a:ext uri="{FF2B5EF4-FFF2-40B4-BE49-F238E27FC236}">
                  <a16:creationId xmlns:a16="http://schemas.microsoft.com/office/drawing/2014/main" id="{00000000-0008-0000-0A00-00000F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553360" name="Check Box 16" hidden="1">
              <a:extLst>
                <a:ext uri="{63B3BB69-23CF-44E3-9099-C40C66FF867C}">
                  <a14:compatExt spid="_x0000_s26553360"/>
                </a:ext>
                <a:ext uri="{FF2B5EF4-FFF2-40B4-BE49-F238E27FC236}">
                  <a16:creationId xmlns:a16="http://schemas.microsoft.com/office/drawing/2014/main" id="{00000000-0008-0000-0A00-000010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553361" name="Check Box 17" hidden="1">
              <a:extLst>
                <a:ext uri="{63B3BB69-23CF-44E3-9099-C40C66FF867C}">
                  <a14:compatExt spid="_x0000_s26553361"/>
                </a:ext>
                <a:ext uri="{FF2B5EF4-FFF2-40B4-BE49-F238E27FC236}">
                  <a16:creationId xmlns:a16="http://schemas.microsoft.com/office/drawing/2014/main" id="{00000000-0008-0000-0A00-000011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553362" name="Check Box 18" hidden="1">
              <a:extLst>
                <a:ext uri="{63B3BB69-23CF-44E3-9099-C40C66FF867C}">
                  <a14:compatExt spid="_x0000_s26553362"/>
                </a:ext>
                <a:ext uri="{FF2B5EF4-FFF2-40B4-BE49-F238E27FC236}">
                  <a16:creationId xmlns:a16="http://schemas.microsoft.com/office/drawing/2014/main" id="{00000000-0008-0000-0A00-000012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553363" name="Check Box 19" hidden="1">
              <a:extLst>
                <a:ext uri="{63B3BB69-23CF-44E3-9099-C40C66FF867C}">
                  <a14:compatExt spid="_x0000_s26553363"/>
                </a:ext>
                <a:ext uri="{FF2B5EF4-FFF2-40B4-BE49-F238E27FC236}">
                  <a16:creationId xmlns:a16="http://schemas.microsoft.com/office/drawing/2014/main" id="{00000000-0008-0000-0A00-000013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553364" name="Check Box 20" hidden="1">
              <a:extLst>
                <a:ext uri="{63B3BB69-23CF-44E3-9099-C40C66FF867C}">
                  <a14:compatExt spid="_x0000_s26553364"/>
                </a:ext>
                <a:ext uri="{FF2B5EF4-FFF2-40B4-BE49-F238E27FC236}">
                  <a16:creationId xmlns:a16="http://schemas.microsoft.com/office/drawing/2014/main" id="{00000000-0008-0000-0A00-000014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553365" name="Check Box 21" hidden="1">
              <a:extLst>
                <a:ext uri="{63B3BB69-23CF-44E3-9099-C40C66FF867C}">
                  <a14:compatExt spid="_x0000_s26553365"/>
                </a:ext>
                <a:ext uri="{FF2B5EF4-FFF2-40B4-BE49-F238E27FC236}">
                  <a16:creationId xmlns:a16="http://schemas.microsoft.com/office/drawing/2014/main" id="{00000000-0008-0000-0A00-000015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553366" name="Check Box 22" hidden="1">
              <a:extLst>
                <a:ext uri="{63B3BB69-23CF-44E3-9099-C40C66FF867C}">
                  <a14:compatExt spid="_x0000_s26553366"/>
                </a:ext>
                <a:ext uri="{FF2B5EF4-FFF2-40B4-BE49-F238E27FC236}">
                  <a16:creationId xmlns:a16="http://schemas.microsoft.com/office/drawing/2014/main" id="{00000000-0008-0000-0A00-000016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553367" name="Check Box 23" hidden="1">
              <a:extLst>
                <a:ext uri="{63B3BB69-23CF-44E3-9099-C40C66FF867C}">
                  <a14:compatExt spid="_x0000_s26553367"/>
                </a:ext>
                <a:ext uri="{FF2B5EF4-FFF2-40B4-BE49-F238E27FC236}">
                  <a16:creationId xmlns:a16="http://schemas.microsoft.com/office/drawing/2014/main" id="{00000000-0008-0000-0A00-000017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553368" name="Check Box 24" hidden="1">
              <a:extLst>
                <a:ext uri="{63B3BB69-23CF-44E3-9099-C40C66FF867C}">
                  <a14:compatExt spid="_x0000_s26553368"/>
                </a:ext>
                <a:ext uri="{FF2B5EF4-FFF2-40B4-BE49-F238E27FC236}">
                  <a16:creationId xmlns:a16="http://schemas.microsoft.com/office/drawing/2014/main" id="{00000000-0008-0000-0A00-000018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553369" name="Check Box 25" hidden="1">
              <a:extLst>
                <a:ext uri="{63B3BB69-23CF-44E3-9099-C40C66FF867C}">
                  <a14:compatExt spid="_x0000_s26553369"/>
                </a:ext>
                <a:ext uri="{FF2B5EF4-FFF2-40B4-BE49-F238E27FC236}">
                  <a16:creationId xmlns:a16="http://schemas.microsoft.com/office/drawing/2014/main" id="{00000000-0008-0000-0A00-000019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553370" name="Check Box 26" hidden="1">
              <a:extLst>
                <a:ext uri="{63B3BB69-23CF-44E3-9099-C40C66FF867C}">
                  <a14:compatExt spid="_x0000_s26553370"/>
                </a:ext>
                <a:ext uri="{FF2B5EF4-FFF2-40B4-BE49-F238E27FC236}">
                  <a16:creationId xmlns:a16="http://schemas.microsoft.com/office/drawing/2014/main" id="{00000000-0008-0000-0A00-00001A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553371" name="Check Box 27" hidden="1">
              <a:extLst>
                <a:ext uri="{63B3BB69-23CF-44E3-9099-C40C66FF867C}">
                  <a14:compatExt spid="_x0000_s26553371"/>
                </a:ext>
                <a:ext uri="{FF2B5EF4-FFF2-40B4-BE49-F238E27FC236}">
                  <a16:creationId xmlns:a16="http://schemas.microsoft.com/office/drawing/2014/main" id="{00000000-0008-0000-0A00-00001B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553372" name="Button 28" hidden="1">
              <a:extLst>
                <a:ext uri="{63B3BB69-23CF-44E3-9099-C40C66FF867C}">
                  <a14:compatExt spid="_x0000_s26553372"/>
                </a:ext>
                <a:ext uri="{FF2B5EF4-FFF2-40B4-BE49-F238E27FC236}">
                  <a16:creationId xmlns:a16="http://schemas.microsoft.com/office/drawing/2014/main" id="{00000000-0008-0000-0A00-00001C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553373" name="Button 29" hidden="1">
              <a:extLst>
                <a:ext uri="{63B3BB69-23CF-44E3-9099-C40C66FF867C}">
                  <a14:compatExt spid="_x0000_s26553373"/>
                </a:ext>
                <a:ext uri="{FF2B5EF4-FFF2-40B4-BE49-F238E27FC236}">
                  <a16:creationId xmlns:a16="http://schemas.microsoft.com/office/drawing/2014/main" id="{00000000-0008-0000-0A00-00001D2C9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553374" name="Check Box 30" hidden="1">
              <a:extLst>
                <a:ext uri="{63B3BB69-23CF-44E3-9099-C40C66FF867C}">
                  <a14:compatExt spid="_x0000_s26553374"/>
                </a:ext>
                <a:ext uri="{FF2B5EF4-FFF2-40B4-BE49-F238E27FC236}">
                  <a16:creationId xmlns:a16="http://schemas.microsoft.com/office/drawing/2014/main" id="{00000000-0008-0000-0A00-00001E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553375" name="Check Box 31" hidden="1">
              <a:extLst>
                <a:ext uri="{63B3BB69-23CF-44E3-9099-C40C66FF867C}">
                  <a14:compatExt spid="_x0000_s26553375"/>
                </a:ext>
                <a:ext uri="{FF2B5EF4-FFF2-40B4-BE49-F238E27FC236}">
                  <a16:creationId xmlns:a16="http://schemas.microsoft.com/office/drawing/2014/main" id="{00000000-0008-0000-0A00-00001F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553376" name="Check Box 32" hidden="1">
              <a:extLst>
                <a:ext uri="{63B3BB69-23CF-44E3-9099-C40C66FF867C}">
                  <a14:compatExt spid="_x0000_s26553376"/>
                </a:ext>
                <a:ext uri="{FF2B5EF4-FFF2-40B4-BE49-F238E27FC236}">
                  <a16:creationId xmlns:a16="http://schemas.microsoft.com/office/drawing/2014/main" id="{00000000-0008-0000-0A00-000020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553377" name="Check Box 33" hidden="1">
              <a:extLst>
                <a:ext uri="{63B3BB69-23CF-44E3-9099-C40C66FF867C}">
                  <a14:compatExt spid="_x0000_s26553377"/>
                </a:ext>
                <a:ext uri="{FF2B5EF4-FFF2-40B4-BE49-F238E27FC236}">
                  <a16:creationId xmlns:a16="http://schemas.microsoft.com/office/drawing/2014/main" id="{00000000-0008-0000-0A00-000021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553378" name="Check Box 34" hidden="1">
              <a:extLst>
                <a:ext uri="{63B3BB69-23CF-44E3-9099-C40C66FF867C}">
                  <a14:compatExt spid="_x0000_s26553378"/>
                </a:ext>
                <a:ext uri="{FF2B5EF4-FFF2-40B4-BE49-F238E27FC236}">
                  <a16:creationId xmlns:a16="http://schemas.microsoft.com/office/drawing/2014/main" id="{00000000-0008-0000-0A00-000022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553379" name="Check Box 35" hidden="1">
              <a:extLst>
                <a:ext uri="{63B3BB69-23CF-44E3-9099-C40C66FF867C}">
                  <a14:compatExt spid="_x0000_s26553379"/>
                </a:ext>
                <a:ext uri="{FF2B5EF4-FFF2-40B4-BE49-F238E27FC236}">
                  <a16:creationId xmlns:a16="http://schemas.microsoft.com/office/drawing/2014/main" id="{00000000-0008-0000-0A00-000023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553380" name="Check Box 36" hidden="1">
              <a:extLst>
                <a:ext uri="{63B3BB69-23CF-44E3-9099-C40C66FF867C}">
                  <a14:compatExt spid="_x0000_s26553380"/>
                </a:ext>
                <a:ext uri="{FF2B5EF4-FFF2-40B4-BE49-F238E27FC236}">
                  <a16:creationId xmlns:a16="http://schemas.microsoft.com/office/drawing/2014/main" id="{00000000-0008-0000-0A00-000024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553381" name="Check Box 37" hidden="1">
              <a:extLst>
                <a:ext uri="{63B3BB69-23CF-44E3-9099-C40C66FF867C}">
                  <a14:compatExt spid="_x0000_s26553381"/>
                </a:ext>
                <a:ext uri="{FF2B5EF4-FFF2-40B4-BE49-F238E27FC236}">
                  <a16:creationId xmlns:a16="http://schemas.microsoft.com/office/drawing/2014/main" id="{00000000-0008-0000-0A00-0000252C9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CBC4932-169B-4000-83A8-49E8587634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A72ED47-3221-4081-9FB8-A073DA44E7C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433537" name="Check Box 1" hidden="1">
              <a:extLst>
                <a:ext uri="{63B3BB69-23CF-44E3-9099-C40C66FF867C}">
                  <a14:compatExt spid="_x0000_s26433537"/>
                </a:ext>
                <a:ext uri="{FF2B5EF4-FFF2-40B4-BE49-F238E27FC236}">
                  <a16:creationId xmlns:a16="http://schemas.microsoft.com/office/drawing/2014/main" id="{00000000-0008-0000-0B00-000001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433538" name="Check Box 2" hidden="1">
              <a:extLst>
                <a:ext uri="{63B3BB69-23CF-44E3-9099-C40C66FF867C}">
                  <a14:compatExt spid="_x0000_s26433538"/>
                </a:ext>
                <a:ext uri="{FF2B5EF4-FFF2-40B4-BE49-F238E27FC236}">
                  <a16:creationId xmlns:a16="http://schemas.microsoft.com/office/drawing/2014/main" id="{00000000-0008-0000-0B00-000002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433539" name="Check Box 3" hidden="1">
              <a:extLst>
                <a:ext uri="{63B3BB69-23CF-44E3-9099-C40C66FF867C}">
                  <a14:compatExt spid="_x0000_s26433539"/>
                </a:ext>
                <a:ext uri="{FF2B5EF4-FFF2-40B4-BE49-F238E27FC236}">
                  <a16:creationId xmlns:a16="http://schemas.microsoft.com/office/drawing/2014/main" id="{00000000-0008-0000-0B00-000003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433540" name="Check Box 4" hidden="1">
              <a:extLst>
                <a:ext uri="{63B3BB69-23CF-44E3-9099-C40C66FF867C}">
                  <a14:compatExt spid="_x0000_s26433540"/>
                </a:ext>
                <a:ext uri="{FF2B5EF4-FFF2-40B4-BE49-F238E27FC236}">
                  <a16:creationId xmlns:a16="http://schemas.microsoft.com/office/drawing/2014/main" id="{00000000-0008-0000-0B00-000004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433541" name="Check Box 5" hidden="1">
              <a:extLst>
                <a:ext uri="{63B3BB69-23CF-44E3-9099-C40C66FF867C}">
                  <a14:compatExt spid="_x0000_s26433541"/>
                </a:ext>
                <a:ext uri="{FF2B5EF4-FFF2-40B4-BE49-F238E27FC236}">
                  <a16:creationId xmlns:a16="http://schemas.microsoft.com/office/drawing/2014/main" id="{00000000-0008-0000-0B00-000005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433542" name="Check Box 6" hidden="1">
              <a:extLst>
                <a:ext uri="{63B3BB69-23CF-44E3-9099-C40C66FF867C}">
                  <a14:compatExt spid="_x0000_s26433542"/>
                </a:ext>
                <a:ext uri="{FF2B5EF4-FFF2-40B4-BE49-F238E27FC236}">
                  <a16:creationId xmlns:a16="http://schemas.microsoft.com/office/drawing/2014/main" id="{00000000-0008-0000-0B00-000006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433543" name="Check Box 7" hidden="1">
              <a:extLst>
                <a:ext uri="{63B3BB69-23CF-44E3-9099-C40C66FF867C}">
                  <a14:compatExt spid="_x0000_s26433543"/>
                </a:ext>
                <a:ext uri="{FF2B5EF4-FFF2-40B4-BE49-F238E27FC236}">
                  <a16:creationId xmlns:a16="http://schemas.microsoft.com/office/drawing/2014/main" id="{00000000-0008-0000-0B00-000007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433544" name="Button 8" hidden="1">
              <a:extLst>
                <a:ext uri="{63B3BB69-23CF-44E3-9099-C40C66FF867C}">
                  <a14:compatExt spid="_x0000_s26433544"/>
                </a:ext>
                <a:ext uri="{FF2B5EF4-FFF2-40B4-BE49-F238E27FC236}">
                  <a16:creationId xmlns:a16="http://schemas.microsoft.com/office/drawing/2014/main" id="{00000000-0008-0000-0B00-000008589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433545" name="Button 9" hidden="1">
              <a:extLst>
                <a:ext uri="{63B3BB69-23CF-44E3-9099-C40C66FF867C}">
                  <a14:compatExt spid="_x0000_s26433545"/>
                </a:ext>
                <a:ext uri="{FF2B5EF4-FFF2-40B4-BE49-F238E27FC236}">
                  <a16:creationId xmlns:a16="http://schemas.microsoft.com/office/drawing/2014/main" id="{00000000-0008-0000-0B00-000009589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433546" name="Check Box 10" hidden="1">
              <a:extLst>
                <a:ext uri="{63B3BB69-23CF-44E3-9099-C40C66FF867C}">
                  <a14:compatExt spid="_x0000_s26433546"/>
                </a:ext>
                <a:ext uri="{FF2B5EF4-FFF2-40B4-BE49-F238E27FC236}">
                  <a16:creationId xmlns:a16="http://schemas.microsoft.com/office/drawing/2014/main" id="{00000000-0008-0000-0B00-00000A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433547" name="Button 11" hidden="1">
              <a:extLst>
                <a:ext uri="{63B3BB69-23CF-44E3-9099-C40C66FF867C}">
                  <a14:compatExt spid="_x0000_s26433547"/>
                </a:ext>
                <a:ext uri="{FF2B5EF4-FFF2-40B4-BE49-F238E27FC236}">
                  <a16:creationId xmlns:a16="http://schemas.microsoft.com/office/drawing/2014/main" id="{00000000-0008-0000-0B00-00000B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433548" name="Button 12" hidden="1">
              <a:extLst>
                <a:ext uri="{63B3BB69-23CF-44E3-9099-C40C66FF867C}">
                  <a14:compatExt spid="_x0000_s26433548"/>
                </a:ext>
                <a:ext uri="{FF2B5EF4-FFF2-40B4-BE49-F238E27FC236}">
                  <a16:creationId xmlns:a16="http://schemas.microsoft.com/office/drawing/2014/main" id="{00000000-0008-0000-0B00-00000C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433549" name="Button 13" hidden="1">
              <a:extLst>
                <a:ext uri="{63B3BB69-23CF-44E3-9099-C40C66FF867C}">
                  <a14:compatExt spid="_x0000_s26433549"/>
                </a:ext>
                <a:ext uri="{FF2B5EF4-FFF2-40B4-BE49-F238E27FC236}">
                  <a16:creationId xmlns:a16="http://schemas.microsoft.com/office/drawing/2014/main" id="{00000000-0008-0000-0B00-00000D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433550" name="Button 14" hidden="1">
              <a:extLst>
                <a:ext uri="{63B3BB69-23CF-44E3-9099-C40C66FF867C}">
                  <a14:compatExt spid="_x0000_s26433550"/>
                </a:ext>
                <a:ext uri="{FF2B5EF4-FFF2-40B4-BE49-F238E27FC236}">
                  <a16:creationId xmlns:a16="http://schemas.microsoft.com/office/drawing/2014/main" id="{00000000-0008-0000-0B00-00000E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433551" name="Check Box 15" hidden="1">
              <a:extLst>
                <a:ext uri="{63B3BB69-23CF-44E3-9099-C40C66FF867C}">
                  <a14:compatExt spid="_x0000_s26433551"/>
                </a:ext>
                <a:ext uri="{FF2B5EF4-FFF2-40B4-BE49-F238E27FC236}">
                  <a16:creationId xmlns:a16="http://schemas.microsoft.com/office/drawing/2014/main" id="{00000000-0008-0000-0B00-00000F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433552" name="Check Box 16" hidden="1">
              <a:extLst>
                <a:ext uri="{63B3BB69-23CF-44E3-9099-C40C66FF867C}">
                  <a14:compatExt spid="_x0000_s26433552"/>
                </a:ext>
                <a:ext uri="{FF2B5EF4-FFF2-40B4-BE49-F238E27FC236}">
                  <a16:creationId xmlns:a16="http://schemas.microsoft.com/office/drawing/2014/main" id="{00000000-0008-0000-0B00-000010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433553" name="Check Box 17" hidden="1">
              <a:extLst>
                <a:ext uri="{63B3BB69-23CF-44E3-9099-C40C66FF867C}">
                  <a14:compatExt spid="_x0000_s26433553"/>
                </a:ext>
                <a:ext uri="{FF2B5EF4-FFF2-40B4-BE49-F238E27FC236}">
                  <a16:creationId xmlns:a16="http://schemas.microsoft.com/office/drawing/2014/main" id="{00000000-0008-0000-0B00-000011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433554" name="Check Box 18" hidden="1">
              <a:extLst>
                <a:ext uri="{63B3BB69-23CF-44E3-9099-C40C66FF867C}">
                  <a14:compatExt spid="_x0000_s26433554"/>
                </a:ext>
                <a:ext uri="{FF2B5EF4-FFF2-40B4-BE49-F238E27FC236}">
                  <a16:creationId xmlns:a16="http://schemas.microsoft.com/office/drawing/2014/main" id="{00000000-0008-0000-0B00-000012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433555" name="Check Box 19" hidden="1">
              <a:extLst>
                <a:ext uri="{63B3BB69-23CF-44E3-9099-C40C66FF867C}">
                  <a14:compatExt spid="_x0000_s26433555"/>
                </a:ext>
                <a:ext uri="{FF2B5EF4-FFF2-40B4-BE49-F238E27FC236}">
                  <a16:creationId xmlns:a16="http://schemas.microsoft.com/office/drawing/2014/main" id="{00000000-0008-0000-0B00-000013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433556" name="Check Box 20" hidden="1">
              <a:extLst>
                <a:ext uri="{63B3BB69-23CF-44E3-9099-C40C66FF867C}">
                  <a14:compatExt spid="_x0000_s26433556"/>
                </a:ext>
                <a:ext uri="{FF2B5EF4-FFF2-40B4-BE49-F238E27FC236}">
                  <a16:creationId xmlns:a16="http://schemas.microsoft.com/office/drawing/2014/main" id="{00000000-0008-0000-0B00-000014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433557" name="Check Box 21" hidden="1">
              <a:extLst>
                <a:ext uri="{63B3BB69-23CF-44E3-9099-C40C66FF867C}">
                  <a14:compatExt spid="_x0000_s26433557"/>
                </a:ext>
                <a:ext uri="{FF2B5EF4-FFF2-40B4-BE49-F238E27FC236}">
                  <a16:creationId xmlns:a16="http://schemas.microsoft.com/office/drawing/2014/main" id="{00000000-0008-0000-0B00-000015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433558" name="Check Box 22" hidden="1">
              <a:extLst>
                <a:ext uri="{63B3BB69-23CF-44E3-9099-C40C66FF867C}">
                  <a14:compatExt spid="_x0000_s26433558"/>
                </a:ext>
                <a:ext uri="{FF2B5EF4-FFF2-40B4-BE49-F238E27FC236}">
                  <a16:creationId xmlns:a16="http://schemas.microsoft.com/office/drawing/2014/main" id="{00000000-0008-0000-0B00-000016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433559" name="Check Box 23" hidden="1">
              <a:extLst>
                <a:ext uri="{63B3BB69-23CF-44E3-9099-C40C66FF867C}">
                  <a14:compatExt spid="_x0000_s26433559"/>
                </a:ext>
                <a:ext uri="{FF2B5EF4-FFF2-40B4-BE49-F238E27FC236}">
                  <a16:creationId xmlns:a16="http://schemas.microsoft.com/office/drawing/2014/main" id="{00000000-0008-0000-0B00-000017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433560" name="Check Box 24" hidden="1">
              <a:extLst>
                <a:ext uri="{63B3BB69-23CF-44E3-9099-C40C66FF867C}">
                  <a14:compatExt spid="_x0000_s26433560"/>
                </a:ext>
                <a:ext uri="{FF2B5EF4-FFF2-40B4-BE49-F238E27FC236}">
                  <a16:creationId xmlns:a16="http://schemas.microsoft.com/office/drawing/2014/main" id="{00000000-0008-0000-0B00-000018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433561" name="Check Box 25" hidden="1">
              <a:extLst>
                <a:ext uri="{63B3BB69-23CF-44E3-9099-C40C66FF867C}">
                  <a14:compatExt spid="_x0000_s26433561"/>
                </a:ext>
                <a:ext uri="{FF2B5EF4-FFF2-40B4-BE49-F238E27FC236}">
                  <a16:creationId xmlns:a16="http://schemas.microsoft.com/office/drawing/2014/main" id="{00000000-0008-0000-0B00-000019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433562" name="Check Box 26" hidden="1">
              <a:extLst>
                <a:ext uri="{63B3BB69-23CF-44E3-9099-C40C66FF867C}">
                  <a14:compatExt spid="_x0000_s26433562"/>
                </a:ext>
                <a:ext uri="{FF2B5EF4-FFF2-40B4-BE49-F238E27FC236}">
                  <a16:creationId xmlns:a16="http://schemas.microsoft.com/office/drawing/2014/main" id="{00000000-0008-0000-0B00-00001A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433563" name="Check Box 27" hidden="1">
              <a:extLst>
                <a:ext uri="{63B3BB69-23CF-44E3-9099-C40C66FF867C}">
                  <a14:compatExt spid="_x0000_s26433563"/>
                </a:ext>
                <a:ext uri="{FF2B5EF4-FFF2-40B4-BE49-F238E27FC236}">
                  <a16:creationId xmlns:a16="http://schemas.microsoft.com/office/drawing/2014/main" id="{00000000-0008-0000-0B00-00001B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433564" name="Button 28" hidden="1">
              <a:extLst>
                <a:ext uri="{63B3BB69-23CF-44E3-9099-C40C66FF867C}">
                  <a14:compatExt spid="_x0000_s26433564"/>
                </a:ext>
                <a:ext uri="{FF2B5EF4-FFF2-40B4-BE49-F238E27FC236}">
                  <a16:creationId xmlns:a16="http://schemas.microsoft.com/office/drawing/2014/main" id="{00000000-0008-0000-0B00-00001C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433565" name="Button 29" hidden="1">
              <a:extLst>
                <a:ext uri="{63B3BB69-23CF-44E3-9099-C40C66FF867C}">
                  <a14:compatExt spid="_x0000_s26433565"/>
                </a:ext>
                <a:ext uri="{FF2B5EF4-FFF2-40B4-BE49-F238E27FC236}">
                  <a16:creationId xmlns:a16="http://schemas.microsoft.com/office/drawing/2014/main" id="{00000000-0008-0000-0B00-00001D589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433566" name="Check Box 30" hidden="1">
              <a:extLst>
                <a:ext uri="{63B3BB69-23CF-44E3-9099-C40C66FF867C}">
                  <a14:compatExt spid="_x0000_s26433566"/>
                </a:ext>
                <a:ext uri="{FF2B5EF4-FFF2-40B4-BE49-F238E27FC236}">
                  <a16:creationId xmlns:a16="http://schemas.microsoft.com/office/drawing/2014/main" id="{00000000-0008-0000-0B00-00001E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433567" name="Check Box 31" hidden="1">
              <a:extLst>
                <a:ext uri="{63B3BB69-23CF-44E3-9099-C40C66FF867C}">
                  <a14:compatExt spid="_x0000_s26433567"/>
                </a:ext>
                <a:ext uri="{FF2B5EF4-FFF2-40B4-BE49-F238E27FC236}">
                  <a16:creationId xmlns:a16="http://schemas.microsoft.com/office/drawing/2014/main" id="{00000000-0008-0000-0B00-00001F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433568" name="Check Box 32" hidden="1">
              <a:extLst>
                <a:ext uri="{63B3BB69-23CF-44E3-9099-C40C66FF867C}">
                  <a14:compatExt spid="_x0000_s26433568"/>
                </a:ext>
                <a:ext uri="{FF2B5EF4-FFF2-40B4-BE49-F238E27FC236}">
                  <a16:creationId xmlns:a16="http://schemas.microsoft.com/office/drawing/2014/main" id="{00000000-0008-0000-0B00-000020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433569" name="Check Box 33" hidden="1">
              <a:extLst>
                <a:ext uri="{63B3BB69-23CF-44E3-9099-C40C66FF867C}">
                  <a14:compatExt spid="_x0000_s26433569"/>
                </a:ext>
                <a:ext uri="{FF2B5EF4-FFF2-40B4-BE49-F238E27FC236}">
                  <a16:creationId xmlns:a16="http://schemas.microsoft.com/office/drawing/2014/main" id="{00000000-0008-0000-0B00-000021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433570" name="Check Box 34" hidden="1">
              <a:extLst>
                <a:ext uri="{63B3BB69-23CF-44E3-9099-C40C66FF867C}">
                  <a14:compatExt spid="_x0000_s26433570"/>
                </a:ext>
                <a:ext uri="{FF2B5EF4-FFF2-40B4-BE49-F238E27FC236}">
                  <a16:creationId xmlns:a16="http://schemas.microsoft.com/office/drawing/2014/main" id="{00000000-0008-0000-0B00-000022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433571" name="Check Box 35" hidden="1">
              <a:extLst>
                <a:ext uri="{63B3BB69-23CF-44E3-9099-C40C66FF867C}">
                  <a14:compatExt spid="_x0000_s26433571"/>
                </a:ext>
                <a:ext uri="{FF2B5EF4-FFF2-40B4-BE49-F238E27FC236}">
                  <a16:creationId xmlns:a16="http://schemas.microsoft.com/office/drawing/2014/main" id="{00000000-0008-0000-0B00-000023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433572" name="Check Box 36" hidden="1">
              <a:extLst>
                <a:ext uri="{63B3BB69-23CF-44E3-9099-C40C66FF867C}">
                  <a14:compatExt spid="_x0000_s26433572"/>
                </a:ext>
                <a:ext uri="{FF2B5EF4-FFF2-40B4-BE49-F238E27FC236}">
                  <a16:creationId xmlns:a16="http://schemas.microsoft.com/office/drawing/2014/main" id="{00000000-0008-0000-0B00-000024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433573" name="Check Box 37" hidden="1">
              <a:extLst>
                <a:ext uri="{63B3BB69-23CF-44E3-9099-C40C66FF867C}">
                  <a14:compatExt spid="_x0000_s26433573"/>
                </a:ext>
                <a:ext uri="{FF2B5EF4-FFF2-40B4-BE49-F238E27FC236}">
                  <a16:creationId xmlns:a16="http://schemas.microsoft.com/office/drawing/2014/main" id="{00000000-0008-0000-0B00-000025589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59A8BEF-FD0B-4BB9-BF5E-D19822C9FD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AE3A412-C66D-4574-8ACC-FF950E6E464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11681" name="Check Box 1" hidden="1">
              <a:extLst>
                <a:ext uri="{63B3BB69-23CF-44E3-9099-C40C66FF867C}">
                  <a14:compatExt spid="_x0000_s26311681"/>
                </a:ext>
                <a:ext uri="{FF2B5EF4-FFF2-40B4-BE49-F238E27FC236}">
                  <a16:creationId xmlns:a16="http://schemas.microsoft.com/office/drawing/2014/main" id="{00000000-0008-0000-0C00-000001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11682" name="Check Box 2" hidden="1">
              <a:extLst>
                <a:ext uri="{63B3BB69-23CF-44E3-9099-C40C66FF867C}">
                  <a14:compatExt spid="_x0000_s26311682"/>
                </a:ext>
                <a:ext uri="{FF2B5EF4-FFF2-40B4-BE49-F238E27FC236}">
                  <a16:creationId xmlns:a16="http://schemas.microsoft.com/office/drawing/2014/main" id="{00000000-0008-0000-0C00-000002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11683" name="Check Box 3" hidden="1">
              <a:extLst>
                <a:ext uri="{63B3BB69-23CF-44E3-9099-C40C66FF867C}">
                  <a14:compatExt spid="_x0000_s26311683"/>
                </a:ext>
                <a:ext uri="{FF2B5EF4-FFF2-40B4-BE49-F238E27FC236}">
                  <a16:creationId xmlns:a16="http://schemas.microsoft.com/office/drawing/2014/main" id="{00000000-0008-0000-0C00-000003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11684" name="Check Box 4" hidden="1">
              <a:extLst>
                <a:ext uri="{63B3BB69-23CF-44E3-9099-C40C66FF867C}">
                  <a14:compatExt spid="_x0000_s26311684"/>
                </a:ext>
                <a:ext uri="{FF2B5EF4-FFF2-40B4-BE49-F238E27FC236}">
                  <a16:creationId xmlns:a16="http://schemas.microsoft.com/office/drawing/2014/main" id="{00000000-0008-0000-0C00-000004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11685" name="Check Box 5" hidden="1">
              <a:extLst>
                <a:ext uri="{63B3BB69-23CF-44E3-9099-C40C66FF867C}">
                  <a14:compatExt spid="_x0000_s26311685"/>
                </a:ext>
                <a:ext uri="{FF2B5EF4-FFF2-40B4-BE49-F238E27FC236}">
                  <a16:creationId xmlns:a16="http://schemas.microsoft.com/office/drawing/2014/main" id="{00000000-0008-0000-0C00-000005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11686" name="Check Box 6" hidden="1">
              <a:extLst>
                <a:ext uri="{63B3BB69-23CF-44E3-9099-C40C66FF867C}">
                  <a14:compatExt spid="_x0000_s26311686"/>
                </a:ext>
                <a:ext uri="{FF2B5EF4-FFF2-40B4-BE49-F238E27FC236}">
                  <a16:creationId xmlns:a16="http://schemas.microsoft.com/office/drawing/2014/main" id="{00000000-0008-0000-0C00-000006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11687" name="Check Box 7" hidden="1">
              <a:extLst>
                <a:ext uri="{63B3BB69-23CF-44E3-9099-C40C66FF867C}">
                  <a14:compatExt spid="_x0000_s26311687"/>
                </a:ext>
                <a:ext uri="{FF2B5EF4-FFF2-40B4-BE49-F238E27FC236}">
                  <a16:creationId xmlns:a16="http://schemas.microsoft.com/office/drawing/2014/main" id="{00000000-0008-0000-0C00-000007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11688" name="Button 8" hidden="1">
              <a:extLst>
                <a:ext uri="{63B3BB69-23CF-44E3-9099-C40C66FF867C}">
                  <a14:compatExt spid="_x0000_s26311688"/>
                </a:ext>
                <a:ext uri="{FF2B5EF4-FFF2-40B4-BE49-F238E27FC236}">
                  <a16:creationId xmlns:a16="http://schemas.microsoft.com/office/drawing/2014/main" id="{00000000-0008-0000-0C00-0000087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11689" name="Button 9" hidden="1">
              <a:extLst>
                <a:ext uri="{63B3BB69-23CF-44E3-9099-C40C66FF867C}">
                  <a14:compatExt spid="_x0000_s26311689"/>
                </a:ext>
                <a:ext uri="{FF2B5EF4-FFF2-40B4-BE49-F238E27FC236}">
                  <a16:creationId xmlns:a16="http://schemas.microsoft.com/office/drawing/2014/main" id="{00000000-0008-0000-0C00-0000097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11690" name="Check Box 10" hidden="1">
              <a:extLst>
                <a:ext uri="{63B3BB69-23CF-44E3-9099-C40C66FF867C}">
                  <a14:compatExt spid="_x0000_s26311690"/>
                </a:ext>
                <a:ext uri="{FF2B5EF4-FFF2-40B4-BE49-F238E27FC236}">
                  <a16:creationId xmlns:a16="http://schemas.microsoft.com/office/drawing/2014/main" id="{00000000-0008-0000-0C00-00000A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11691" name="Button 11" hidden="1">
              <a:extLst>
                <a:ext uri="{63B3BB69-23CF-44E3-9099-C40C66FF867C}">
                  <a14:compatExt spid="_x0000_s26311691"/>
                </a:ext>
                <a:ext uri="{FF2B5EF4-FFF2-40B4-BE49-F238E27FC236}">
                  <a16:creationId xmlns:a16="http://schemas.microsoft.com/office/drawing/2014/main" id="{00000000-0008-0000-0C00-00000B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11692" name="Button 12" hidden="1">
              <a:extLst>
                <a:ext uri="{63B3BB69-23CF-44E3-9099-C40C66FF867C}">
                  <a14:compatExt spid="_x0000_s26311692"/>
                </a:ext>
                <a:ext uri="{FF2B5EF4-FFF2-40B4-BE49-F238E27FC236}">
                  <a16:creationId xmlns:a16="http://schemas.microsoft.com/office/drawing/2014/main" id="{00000000-0008-0000-0C00-00000C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11693" name="Button 13" hidden="1">
              <a:extLst>
                <a:ext uri="{63B3BB69-23CF-44E3-9099-C40C66FF867C}">
                  <a14:compatExt spid="_x0000_s26311693"/>
                </a:ext>
                <a:ext uri="{FF2B5EF4-FFF2-40B4-BE49-F238E27FC236}">
                  <a16:creationId xmlns:a16="http://schemas.microsoft.com/office/drawing/2014/main" id="{00000000-0008-0000-0C00-00000D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11694" name="Button 14" hidden="1">
              <a:extLst>
                <a:ext uri="{63B3BB69-23CF-44E3-9099-C40C66FF867C}">
                  <a14:compatExt spid="_x0000_s26311694"/>
                </a:ext>
                <a:ext uri="{FF2B5EF4-FFF2-40B4-BE49-F238E27FC236}">
                  <a16:creationId xmlns:a16="http://schemas.microsoft.com/office/drawing/2014/main" id="{00000000-0008-0000-0C00-00000E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11695" name="Check Box 15" hidden="1">
              <a:extLst>
                <a:ext uri="{63B3BB69-23CF-44E3-9099-C40C66FF867C}">
                  <a14:compatExt spid="_x0000_s26311695"/>
                </a:ext>
                <a:ext uri="{FF2B5EF4-FFF2-40B4-BE49-F238E27FC236}">
                  <a16:creationId xmlns:a16="http://schemas.microsoft.com/office/drawing/2014/main" id="{00000000-0008-0000-0C00-00000F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11696" name="Check Box 16" hidden="1">
              <a:extLst>
                <a:ext uri="{63B3BB69-23CF-44E3-9099-C40C66FF867C}">
                  <a14:compatExt spid="_x0000_s26311696"/>
                </a:ext>
                <a:ext uri="{FF2B5EF4-FFF2-40B4-BE49-F238E27FC236}">
                  <a16:creationId xmlns:a16="http://schemas.microsoft.com/office/drawing/2014/main" id="{00000000-0008-0000-0C00-000010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11697" name="Check Box 17" hidden="1">
              <a:extLst>
                <a:ext uri="{63B3BB69-23CF-44E3-9099-C40C66FF867C}">
                  <a14:compatExt spid="_x0000_s26311697"/>
                </a:ext>
                <a:ext uri="{FF2B5EF4-FFF2-40B4-BE49-F238E27FC236}">
                  <a16:creationId xmlns:a16="http://schemas.microsoft.com/office/drawing/2014/main" id="{00000000-0008-0000-0C00-000011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11698" name="Check Box 18" hidden="1">
              <a:extLst>
                <a:ext uri="{63B3BB69-23CF-44E3-9099-C40C66FF867C}">
                  <a14:compatExt spid="_x0000_s26311698"/>
                </a:ext>
                <a:ext uri="{FF2B5EF4-FFF2-40B4-BE49-F238E27FC236}">
                  <a16:creationId xmlns:a16="http://schemas.microsoft.com/office/drawing/2014/main" id="{00000000-0008-0000-0C00-000012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11699" name="Check Box 19" hidden="1">
              <a:extLst>
                <a:ext uri="{63B3BB69-23CF-44E3-9099-C40C66FF867C}">
                  <a14:compatExt spid="_x0000_s26311699"/>
                </a:ext>
                <a:ext uri="{FF2B5EF4-FFF2-40B4-BE49-F238E27FC236}">
                  <a16:creationId xmlns:a16="http://schemas.microsoft.com/office/drawing/2014/main" id="{00000000-0008-0000-0C00-000013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11700" name="Check Box 20" hidden="1">
              <a:extLst>
                <a:ext uri="{63B3BB69-23CF-44E3-9099-C40C66FF867C}">
                  <a14:compatExt spid="_x0000_s26311700"/>
                </a:ext>
                <a:ext uri="{FF2B5EF4-FFF2-40B4-BE49-F238E27FC236}">
                  <a16:creationId xmlns:a16="http://schemas.microsoft.com/office/drawing/2014/main" id="{00000000-0008-0000-0C00-000014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11701" name="Check Box 21" hidden="1">
              <a:extLst>
                <a:ext uri="{63B3BB69-23CF-44E3-9099-C40C66FF867C}">
                  <a14:compatExt spid="_x0000_s26311701"/>
                </a:ext>
                <a:ext uri="{FF2B5EF4-FFF2-40B4-BE49-F238E27FC236}">
                  <a16:creationId xmlns:a16="http://schemas.microsoft.com/office/drawing/2014/main" id="{00000000-0008-0000-0C00-000015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11702" name="Check Box 22" hidden="1">
              <a:extLst>
                <a:ext uri="{63B3BB69-23CF-44E3-9099-C40C66FF867C}">
                  <a14:compatExt spid="_x0000_s26311702"/>
                </a:ext>
                <a:ext uri="{FF2B5EF4-FFF2-40B4-BE49-F238E27FC236}">
                  <a16:creationId xmlns:a16="http://schemas.microsoft.com/office/drawing/2014/main" id="{00000000-0008-0000-0C00-000016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11703" name="Check Box 23" hidden="1">
              <a:extLst>
                <a:ext uri="{63B3BB69-23CF-44E3-9099-C40C66FF867C}">
                  <a14:compatExt spid="_x0000_s26311703"/>
                </a:ext>
                <a:ext uri="{FF2B5EF4-FFF2-40B4-BE49-F238E27FC236}">
                  <a16:creationId xmlns:a16="http://schemas.microsoft.com/office/drawing/2014/main" id="{00000000-0008-0000-0C00-000017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11704" name="Check Box 24" hidden="1">
              <a:extLst>
                <a:ext uri="{63B3BB69-23CF-44E3-9099-C40C66FF867C}">
                  <a14:compatExt spid="_x0000_s26311704"/>
                </a:ext>
                <a:ext uri="{FF2B5EF4-FFF2-40B4-BE49-F238E27FC236}">
                  <a16:creationId xmlns:a16="http://schemas.microsoft.com/office/drawing/2014/main" id="{00000000-0008-0000-0C00-000018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11705" name="Check Box 25" hidden="1">
              <a:extLst>
                <a:ext uri="{63B3BB69-23CF-44E3-9099-C40C66FF867C}">
                  <a14:compatExt spid="_x0000_s26311705"/>
                </a:ext>
                <a:ext uri="{FF2B5EF4-FFF2-40B4-BE49-F238E27FC236}">
                  <a16:creationId xmlns:a16="http://schemas.microsoft.com/office/drawing/2014/main" id="{00000000-0008-0000-0C00-000019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11706" name="Check Box 26" hidden="1">
              <a:extLst>
                <a:ext uri="{63B3BB69-23CF-44E3-9099-C40C66FF867C}">
                  <a14:compatExt spid="_x0000_s26311706"/>
                </a:ext>
                <a:ext uri="{FF2B5EF4-FFF2-40B4-BE49-F238E27FC236}">
                  <a16:creationId xmlns:a16="http://schemas.microsoft.com/office/drawing/2014/main" id="{00000000-0008-0000-0C00-00001A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11707" name="Check Box 27" hidden="1">
              <a:extLst>
                <a:ext uri="{63B3BB69-23CF-44E3-9099-C40C66FF867C}">
                  <a14:compatExt spid="_x0000_s26311707"/>
                </a:ext>
                <a:ext uri="{FF2B5EF4-FFF2-40B4-BE49-F238E27FC236}">
                  <a16:creationId xmlns:a16="http://schemas.microsoft.com/office/drawing/2014/main" id="{00000000-0008-0000-0C00-00001B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11708" name="Button 28" hidden="1">
              <a:extLst>
                <a:ext uri="{63B3BB69-23CF-44E3-9099-C40C66FF867C}">
                  <a14:compatExt spid="_x0000_s26311708"/>
                </a:ext>
                <a:ext uri="{FF2B5EF4-FFF2-40B4-BE49-F238E27FC236}">
                  <a16:creationId xmlns:a16="http://schemas.microsoft.com/office/drawing/2014/main" id="{00000000-0008-0000-0C00-00001C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11709" name="Button 29" hidden="1">
              <a:extLst>
                <a:ext uri="{63B3BB69-23CF-44E3-9099-C40C66FF867C}">
                  <a14:compatExt spid="_x0000_s26311709"/>
                </a:ext>
                <a:ext uri="{FF2B5EF4-FFF2-40B4-BE49-F238E27FC236}">
                  <a16:creationId xmlns:a16="http://schemas.microsoft.com/office/drawing/2014/main" id="{00000000-0008-0000-0C00-00001D7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11710" name="Check Box 30" hidden="1">
              <a:extLst>
                <a:ext uri="{63B3BB69-23CF-44E3-9099-C40C66FF867C}">
                  <a14:compatExt spid="_x0000_s26311710"/>
                </a:ext>
                <a:ext uri="{FF2B5EF4-FFF2-40B4-BE49-F238E27FC236}">
                  <a16:creationId xmlns:a16="http://schemas.microsoft.com/office/drawing/2014/main" id="{00000000-0008-0000-0C00-00001E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11711" name="Check Box 31" hidden="1">
              <a:extLst>
                <a:ext uri="{63B3BB69-23CF-44E3-9099-C40C66FF867C}">
                  <a14:compatExt spid="_x0000_s26311711"/>
                </a:ext>
                <a:ext uri="{FF2B5EF4-FFF2-40B4-BE49-F238E27FC236}">
                  <a16:creationId xmlns:a16="http://schemas.microsoft.com/office/drawing/2014/main" id="{00000000-0008-0000-0C00-00001F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11712" name="Check Box 32" hidden="1">
              <a:extLst>
                <a:ext uri="{63B3BB69-23CF-44E3-9099-C40C66FF867C}">
                  <a14:compatExt spid="_x0000_s26311712"/>
                </a:ext>
                <a:ext uri="{FF2B5EF4-FFF2-40B4-BE49-F238E27FC236}">
                  <a16:creationId xmlns:a16="http://schemas.microsoft.com/office/drawing/2014/main" id="{00000000-0008-0000-0C00-000020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11713" name="Check Box 33" hidden="1">
              <a:extLst>
                <a:ext uri="{63B3BB69-23CF-44E3-9099-C40C66FF867C}">
                  <a14:compatExt spid="_x0000_s26311713"/>
                </a:ext>
                <a:ext uri="{FF2B5EF4-FFF2-40B4-BE49-F238E27FC236}">
                  <a16:creationId xmlns:a16="http://schemas.microsoft.com/office/drawing/2014/main" id="{00000000-0008-0000-0C00-000021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11714" name="Check Box 34" hidden="1">
              <a:extLst>
                <a:ext uri="{63B3BB69-23CF-44E3-9099-C40C66FF867C}">
                  <a14:compatExt spid="_x0000_s26311714"/>
                </a:ext>
                <a:ext uri="{FF2B5EF4-FFF2-40B4-BE49-F238E27FC236}">
                  <a16:creationId xmlns:a16="http://schemas.microsoft.com/office/drawing/2014/main" id="{00000000-0008-0000-0C00-000022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11715" name="Check Box 35" hidden="1">
              <a:extLst>
                <a:ext uri="{63B3BB69-23CF-44E3-9099-C40C66FF867C}">
                  <a14:compatExt spid="_x0000_s26311715"/>
                </a:ext>
                <a:ext uri="{FF2B5EF4-FFF2-40B4-BE49-F238E27FC236}">
                  <a16:creationId xmlns:a16="http://schemas.microsoft.com/office/drawing/2014/main" id="{00000000-0008-0000-0C00-000023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11716" name="Check Box 36" hidden="1">
              <a:extLst>
                <a:ext uri="{63B3BB69-23CF-44E3-9099-C40C66FF867C}">
                  <a14:compatExt spid="_x0000_s26311716"/>
                </a:ext>
                <a:ext uri="{FF2B5EF4-FFF2-40B4-BE49-F238E27FC236}">
                  <a16:creationId xmlns:a16="http://schemas.microsoft.com/office/drawing/2014/main" id="{00000000-0008-0000-0C00-000024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11717" name="Check Box 37" hidden="1">
              <a:extLst>
                <a:ext uri="{63B3BB69-23CF-44E3-9099-C40C66FF867C}">
                  <a14:compatExt spid="_x0000_s26311717"/>
                </a:ext>
                <a:ext uri="{FF2B5EF4-FFF2-40B4-BE49-F238E27FC236}">
                  <a16:creationId xmlns:a16="http://schemas.microsoft.com/office/drawing/2014/main" id="{00000000-0008-0000-0C00-0000257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749BAE07-90F1-47DC-ADD5-464B7CD45D7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60DF151-1EF9-4F16-B581-4BD7F4C81E9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10657" name="Check Box 1" hidden="1">
              <a:extLst>
                <a:ext uri="{63B3BB69-23CF-44E3-9099-C40C66FF867C}">
                  <a14:compatExt spid="_x0000_s26310657"/>
                </a:ext>
                <a:ext uri="{FF2B5EF4-FFF2-40B4-BE49-F238E27FC236}">
                  <a16:creationId xmlns:a16="http://schemas.microsoft.com/office/drawing/2014/main" id="{00000000-0008-0000-0D00-000001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10658" name="Check Box 2" hidden="1">
              <a:extLst>
                <a:ext uri="{63B3BB69-23CF-44E3-9099-C40C66FF867C}">
                  <a14:compatExt spid="_x0000_s26310658"/>
                </a:ext>
                <a:ext uri="{FF2B5EF4-FFF2-40B4-BE49-F238E27FC236}">
                  <a16:creationId xmlns:a16="http://schemas.microsoft.com/office/drawing/2014/main" id="{00000000-0008-0000-0D00-000002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10659" name="Check Box 3" hidden="1">
              <a:extLst>
                <a:ext uri="{63B3BB69-23CF-44E3-9099-C40C66FF867C}">
                  <a14:compatExt spid="_x0000_s26310659"/>
                </a:ext>
                <a:ext uri="{FF2B5EF4-FFF2-40B4-BE49-F238E27FC236}">
                  <a16:creationId xmlns:a16="http://schemas.microsoft.com/office/drawing/2014/main" id="{00000000-0008-0000-0D00-000003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10660" name="Check Box 4" hidden="1">
              <a:extLst>
                <a:ext uri="{63B3BB69-23CF-44E3-9099-C40C66FF867C}">
                  <a14:compatExt spid="_x0000_s26310660"/>
                </a:ext>
                <a:ext uri="{FF2B5EF4-FFF2-40B4-BE49-F238E27FC236}">
                  <a16:creationId xmlns:a16="http://schemas.microsoft.com/office/drawing/2014/main" id="{00000000-0008-0000-0D00-000004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10661" name="Check Box 5" hidden="1">
              <a:extLst>
                <a:ext uri="{63B3BB69-23CF-44E3-9099-C40C66FF867C}">
                  <a14:compatExt spid="_x0000_s26310661"/>
                </a:ext>
                <a:ext uri="{FF2B5EF4-FFF2-40B4-BE49-F238E27FC236}">
                  <a16:creationId xmlns:a16="http://schemas.microsoft.com/office/drawing/2014/main" id="{00000000-0008-0000-0D00-000005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10662" name="Check Box 6" hidden="1">
              <a:extLst>
                <a:ext uri="{63B3BB69-23CF-44E3-9099-C40C66FF867C}">
                  <a14:compatExt spid="_x0000_s26310662"/>
                </a:ext>
                <a:ext uri="{FF2B5EF4-FFF2-40B4-BE49-F238E27FC236}">
                  <a16:creationId xmlns:a16="http://schemas.microsoft.com/office/drawing/2014/main" id="{00000000-0008-0000-0D00-000006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10663" name="Check Box 7" hidden="1">
              <a:extLst>
                <a:ext uri="{63B3BB69-23CF-44E3-9099-C40C66FF867C}">
                  <a14:compatExt spid="_x0000_s26310663"/>
                </a:ext>
                <a:ext uri="{FF2B5EF4-FFF2-40B4-BE49-F238E27FC236}">
                  <a16:creationId xmlns:a16="http://schemas.microsoft.com/office/drawing/2014/main" id="{00000000-0008-0000-0D00-000007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10664" name="Button 8" hidden="1">
              <a:extLst>
                <a:ext uri="{63B3BB69-23CF-44E3-9099-C40C66FF867C}">
                  <a14:compatExt spid="_x0000_s26310664"/>
                </a:ext>
                <a:ext uri="{FF2B5EF4-FFF2-40B4-BE49-F238E27FC236}">
                  <a16:creationId xmlns:a16="http://schemas.microsoft.com/office/drawing/2014/main" id="{00000000-0008-0000-0D00-00000878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10665" name="Button 9" hidden="1">
              <a:extLst>
                <a:ext uri="{63B3BB69-23CF-44E3-9099-C40C66FF867C}">
                  <a14:compatExt spid="_x0000_s26310665"/>
                </a:ext>
                <a:ext uri="{FF2B5EF4-FFF2-40B4-BE49-F238E27FC236}">
                  <a16:creationId xmlns:a16="http://schemas.microsoft.com/office/drawing/2014/main" id="{00000000-0008-0000-0D00-00000978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10666" name="Check Box 10" hidden="1">
              <a:extLst>
                <a:ext uri="{63B3BB69-23CF-44E3-9099-C40C66FF867C}">
                  <a14:compatExt spid="_x0000_s26310666"/>
                </a:ext>
                <a:ext uri="{FF2B5EF4-FFF2-40B4-BE49-F238E27FC236}">
                  <a16:creationId xmlns:a16="http://schemas.microsoft.com/office/drawing/2014/main" id="{00000000-0008-0000-0D00-00000A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10667" name="Button 11" hidden="1">
              <a:extLst>
                <a:ext uri="{63B3BB69-23CF-44E3-9099-C40C66FF867C}">
                  <a14:compatExt spid="_x0000_s26310667"/>
                </a:ext>
                <a:ext uri="{FF2B5EF4-FFF2-40B4-BE49-F238E27FC236}">
                  <a16:creationId xmlns:a16="http://schemas.microsoft.com/office/drawing/2014/main" id="{00000000-0008-0000-0D00-00000B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10668" name="Button 12" hidden="1">
              <a:extLst>
                <a:ext uri="{63B3BB69-23CF-44E3-9099-C40C66FF867C}">
                  <a14:compatExt spid="_x0000_s26310668"/>
                </a:ext>
                <a:ext uri="{FF2B5EF4-FFF2-40B4-BE49-F238E27FC236}">
                  <a16:creationId xmlns:a16="http://schemas.microsoft.com/office/drawing/2014/main" id="{00000000-0008-0000-0D00-00000C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10669" name="Button 13" hidden="1">
              <a:extLst>
                <a:ext uri="{63B3BB69-23CF-44E3-9099-C40C66FF867C}">
                  <a14:compatExt spid="_x0000_s26310669"/>
                </a:ext>
                <a:ext uri="{FF2B5EF4-FFF2-40B4-BE49-F238E27FC236}">
                  <a16:creationId xmlns:a16="http://schemas.microsoft.com/office/drawing/2014/main" id="{00000000-0008-0000-0D00-00000D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10670" name="Button 14" hidden="1">
              <a:extLst>
                <a:ext uri="{63B3BB69-23CF-44E3-9099-C40C66FF867C}">
                  <a14:compatExt spid="_x0000_s26310670"/>
                </a:ext>
                <a:ext uri="{FF2B5EF4-FFF2-40B4-BE49-F238E27FC236}">
                  <a16:creationId xmlns:a16="http://schemas.microsoft.com/office/drawing/2014/main" id="{00000000-0008-0000-0D00-00000E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10671" name="Check Box 15" hidden="1">
              <a:extLst>
                <a:ext uri="{63B3BB69-23CF-44E3-9099-C40C66FF867C}">
                  <a14:compatExt spid="_x0000_s26310671"/>
                </a:ext>
                <a:ext uri="{FF2B5EF4-FFF2-40B4-BE49-F238E27FC236}">
                  <a16:creationId xmlns:a16="http://schemas.microsoft.com/office/drawing/2014/main" id="{00000000-0008-0000-0D00-00000F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10672" name="Check Box 16" hidden="1">
              <a:extLst>
                <a:ext uri="{63B3BB69-23CF-44E3-9099-C40C66FF867C}">
                  <a14:compatExt spid="_x0000_s26310672"/>
                </a:ext>
                <a:ext uri="{FF2B5EF4-FFF2-40B4-BE49-F238E27FC236}">
                  <a16:creationId xmlns:a16="http://schemas.microsoft.com/office/drawing/2014/main" id="{00000000-0008-0000-0D00-000010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10673" name="Check Box 17" hidden="1">
              <a:extLst>
                <a:ext uri="{63B3BB69-23CF-44E3-9099-C40C66FF867C}">
                  <a14:compatExt spid="_x0000_s26310673"/>
                </a:ext>
                <a:ext uri="{FF2B5EF4-FFF2-40B4-BE49-F238E27FC236}">
                  <a16:creationId xmlns:a16="http://schemas.microsoft.com/office/drawing/2014/main" id="{00000000-0008-0000-0D00-000011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10674" name="Check Box 18" hidden="1">
              <a:extLst>
                <a:ext uri="{63B3BB69-23CF-44E3-9099-C40C66FF867C}">
                  <a14:compatExt spid="_x0000_s26310674"/>
                </a:ext>
                <a:ext uri="{FF2B5EF4-FFF2-40B4-BE49-F238E27FC236}">
                  <a16:creationId xmlns:a16="http://schemas.microsoft.com/office/drawing/2014/main" id="{00000000-0008-0000-0D00-000012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10675" name="Check Box 19" hidden="1">
              <a:extLst>
                <a:ext uri="{63B3BB69-23CF-44E3-9099-C40C66FF867C}">
                  <a14:compatExt spid="_x0000_s26310675"/>
                </a:ext>
                <a:ext uri="{FF2B5EF4-FFF2-40B4-BE49-F238E27FC236}">
                  <a16:creationId xmlns:a16="http://schemas.microsoft.com/office/drawing/2014/main" id="{00000000-0008-0000-0D00-000013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10676" name="Check Box 20" hidden="1">
              <a:extLst>
                <a:ext uri="{63B3BB69-23CF-44E3-9099-C40C66FF867C}">
                  <a14:compatExt spid="_x0000_s26310676"/>
                </a:ext>
                <a:ext uri="{FF2B5EF4-FFF2-40B4-BE49-F238E27FC236}">
                  <a16:creationId xmlns:a16="http://schemas.microsoft.com/office/drawing/2014/main" id="{00000000-0008-0000-0D00-000014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10677" name="Check Box 21" hidden="1">
              <a:extLst>
                <a:ext uri="{63B3BB69-23CF-44E3-9099-C40C66FF867C}">
                  <a14:compatExt spid="_x0000_s26310677"/>
                </a:ext>
                <a:ext uri="{FF2B5EF4-FFF2-40B4-BE49-F238E27FC236}">
                  <a16:creationId xmlns:a16="http://schemas.microsoft.com/office/drawing/2014/main" id="{00000000-0008-0000-0D00-000015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10678" name="Check Box 22" hidden="1">
              <a:extLst>
                <a:ext uri="{63B3BB69-23CF-44E3-9099-C40C66FF867C}">
                  <a14:compatExt spid="_x0000_s26310678"/>
                </a:ext>
                <a:ext uri="{FF2B5EF4-FFF2-40B4-BE49-F238E27FC236}">
                  <a16:creationId xmlns:a16="http://schemas.microsoft.com/office/drawing/2014/main" id="{00000000-0008-0000-0D00-000016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10679" name="Check Box 23" hidden="1">
              <a:extLst>
                <a:ext uri="{63B3BB69-23CF-44E3-9099-C40C66FF867C}">
                  <a14:compatExt spid="_x0000_s26310679"/>
                </a:ext>
                <a:ext uri="{FF2B5EF4-FFF2-40B4-BE49-F238E27FC236}">
                  <a16:creationId xmlns:a16="http://schemas.microsoft.com/office/drawing/2014/main" id="{00000000-0008-0000-0D00-000017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10680" name="Check Box 24" hidden="1">
              <a:extLst>
                <a:ext uri="{63B3BB69-23CF-44E3-9099-C40C66FF867C}">
                  <a14:compatExt spid="_x0000_s26310680"/>
                </a:ext>
                <a:ext uri="{FF2B5EF4-FFF2-40B4-BE49-F238E27FC236}">
                  <a16:creationId xmlns:a16="http://schemas.microsoft.com/office/drawing/2014/main" id="{00000000-0008-0000-0D00-000018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10681" name="Check Box 25" hidden="1">
              <a:extLst>
                <a:ext uri="{63B3BB69-23CF-44E3-9099-C40C66FF867C}">
                  <a14:compatExt spid="_x0000_s26310681"/>
                </a:ext>
                <a:ext uri="{FF2B5EF4-FFF2-40B4-BE49-F238E27FC236}">
                  <a16:creationId xmlns:a16="http://schemas.microsoft.com/office/drawing/2014/main" id="{00000000-0008-0000-0D00-000019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10682" name="Check Box 26" hidden="1">
              <a:extLst>
                <a:ext uri="{63B3BB69-23CF-44E3-9099-C40C66FF867C}">
                  <a14:compatExt spid="_x0000_s26310682"/>
                </a:ext>
                <a:ext uri="{FF2B5EF4-FFF2-40B4-BE49-F238E27FC236}">
                  <a16:creationId xmlns:a16="http://schemas.microsoft.com/office/drawing/2014/main" id="{00000000-0008-0000-0D00-00001A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10683" name="Check Box 27" hidden="1">
              <a:extLst>
                <a:ext uri="{63B3BB69-23CF-44E3-9099-C40C66FF867C}">
                  <a14:compatExt spid="_x0000_s26310683"/>
                </a:ext>
                <a:ext uri="{FF2B5EF4-FFF2-40B4-BE49-F238E27FC236}">
                  <a16:creationId xmlns:a16="http://schemas.microsoft.com/office/drawing/2014/main" id="{00000000-0008-0000-0D00-00001B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10684" name="Button 28" hidden="1">
              <a:extLst>
                <a:ext uri="{63B3BB69-23CF-44E3-9099-C40C66FF867C}">
                  <a14:compatExt spid="_x0000_s26310684"/>
                </a:ext>
                <a:ext uri="{FF2B5EF4-FFF2-40B4-BE49-F238E27FC236}">
                  <a16:creationId xmlns:a16="http://schemas.microsoft.com/office/drawing/2014/main" id="{00000000-0008-0000-0D00-00001C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10685" name="Button 29" hidden="1">
              <a:extLst>
                <a:ext uri="{63B3BB69-23CF-44E3-9099-C40C66FF867C}">
                  <a14:compatExt spid="_x0000_s26310685"/>
                </a:ext>
                <a:ext uri="{FF2B5EF4-FFF2-40B4-BE49-F238E27FC236}">
                  <a16:creationId xmlns:a16="http://schemas.microsoft.com/office/drawing/2014/main" id="{00000000-0008-0000-0D00-00001D78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10686" name="Check Box 30" hidden="1">
              <a:extLst>
                <a:ext uri="{63B3BB69-23CF-44E3-9099-C40C66FF867C}">
                  <a14:compatExt spid="_x0000_s26310686"/>
                </a:ext>
                <a:ext uri="{FF2B5EF4-FFF2-40B4-BE49-F238E27FC236}">
                  <a16:creationId xmlns:a16="http://schemas.microsoft.com/office/drawing/2014/main" id="{00000000-0008-0000-0D00-00001E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10687" name="Check Box 31" hidden="1">
              <a:extLst>
                <a:ext uri="{63B3BB69-23CF-44E3-9099-C40C66FF867C}">
                  <a14:compatExt spid="_x0000_s26310687"/>
                </a:ext>
                <a:ext uri="{FF2B5EF4-FFF2-40B4-BE49-F238E27FC236}">
                  <a16:creationId xmlns:a16="http://schemas.microsoft.com/office/drawing/2014/main" id="{00000000-0008-0000-0D00-00001F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10688" name="Check Box 32" hidden="1">
              <a:extLst>
                <a:ext uri="{63B3BB69-23CF-44E3-9099-C40C66FF867C}">
                  <a14:compatExt spid="_x0000_s26310688"/>
                </a:ext>
                <a:ext uri="{FF2B5EF4-FFF2-40B4-BE49-F238E27FC236}">
                  <a16:creationId xmlns:a16="http://schemas.microsoft.com/office/drawing/2014/main" id="{00000000-0008-0000-0D00-000020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10689" name="Check Box 33" hidden="1">
              <a:extLst>
                <a:ext uri="{63B3BB69-23CF-44E3-9099-C40C66FF867C}">
                  <a14:compatExt spid="_x0000_s26310689"/>
                </a:ext>
                <a:ext uri="{FF2B5EF4-FFF2-40B4-BE49-F238E27FC236}">
                  <a16:creationId xmlns:a16="http://schemas.microsoft.com/office/drawing/2014/main" id="{00000000-0008-0000-0D00-000021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10690" name="Check Box 34" hidden="1">
              <a:extLst>
                <a:ext uri="{63B3BB69-23CF-44E3-9099-C40C66FF867C}">
                  <a14:compatExt spid="_x0000_s26310690"/>
                </a:ext>
                <a:ext uri="{FF2B5EF4-FFF2-40B4-BE49-F238E27FC236}">
                  <a16:creationId xmlns:a16="http://schemas.microsoft.com/office/drawing/2014/main" id="{00000000-0008-0000-0D00-000022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10691" name="Check Box 35" hidden="1">
              <a:extLst>
                <a:ext uri="{63B3BB69-23CF-44E3-9099-C40C66FF867C}">
                  <a14:compatExt spid="_x0000_s26310691"/>
                </a:ext>
                <a:ext uri="{FF2B5EF4-FFF2-40B4-BE49-F238E27FC236}">
                  <a16:creationId xmlns:a16="http://schemas.microsoft.com/office/drawing/2014/main" id="{00000000-0008-0000-0D00-000023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10692" name="Check Box 36" hidden="1">
              <a:extLst>
                <a:ext uri="{63B3BB69-23CF-44E3-9099-C40C66FF867C}">
                  <a14:compatExt spid="_x0000_s26310692"/>
                </a:ext>
                <a:ext uri="{FF2B5EF4-FFF2-40B4-BE49-F238E27FC236}">
                  <a16:creationId xmlns:a16="http://schemas.microsoft.com/office/drawing/2014/main" id="{00000000-0008-0000-0D00-000024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10693" name="Check Box 37" hidden="1">
              <a:extLst>
                <a:ext uri="{63B3BB69-23CF-44E3-9099-C40C66FF867C}">
                  <a14:compatExt spid="_x0000_s26310693"/>
                </a:ext>
                <a:ext uri="{FF2B5EF4-FFF2-40B4-BE49-F238E27FC236}">
                  <a16:creationId xmlns:a16="http://schemas.microsoft.com/office/drawing/2014/main" id="{00000000-0008-0000-0D00-00002578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A05F52E-DD07-41B4-8EB2-360AACEB72A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938A2FD-F8F6-4CA9-AE2E-3BCC9692FA3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09633" name="Check Box 1" hidden="1">
              <a:extLst>
                <a:ext uri="{63B3BB69-23CF-44E3-9099-C40C66FF867C}">
                  <a14:compatExt spid="_x0000_s26309633"/>
                </a:ext>
                <a:ext uri="{FF2B5EF4-FFF2-40B4-BE49-F238E27FC236}">
                  <a16:creationId xmlns:a16="http://schemas.microsoft.com/office/drawing/2014/main" id="{00000000-0008-0000-0E00-000001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09634" name="Check Box 2" hidden="1">
              <a:extLst>
                <a:ext uri="{63B3BB69-23CF-44E3-9099-C40C66FF867C}">
                  <a14:compatExt spid="_x0000_s26309634"/>
                </a:ext>
                <a:ext uri="{FF2B5EF4-FFF2-40B4-BE49-F238E27FC236}">
                  <a16:creationId xmlns:a16="http://schemas.microsoft.com/office/drawing/2014/main" id="{00000000-0008-0000-0E00-000002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09635" name="Check Box 3" hidden="1">
              <a:extLst>
                <a:ext uri="{63B3BB69-23CF-44E3-9099-C40C66FF867C}">
                  <a14:compatExt spid="_x0000_s26309635"/>
                </a:ext>
                <a:ext uri="{FF2B5EF4-FFF2-40B4-BE49-F238E27FC236}">
                  <a16:creationId xmlns:a16="http://schemas.microsoft.com/office/drawing/2014/main" id="{00000000-0008-0000-0E00-000003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09636" name="Check Box 4" hidden="1">
              <a:extLst>
                <a:ext uri="{63B3BB69-23CF-44E3-9099-C40C66FF867C}">
                  <a14:compatExt spid="_x0000_s26309636"/>
                </a:ext>
                <a:ext uri="{FF2B5EF4-FFF2-40B4-BE49-F238E27FC236}">
                  <a16:creationId xmlns:a16="http://schemas.microsoft.com/office/drawing/2014/main" id="{00000000-0008-0000-0E00-000004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09637" name="Check Box 5" hidden="1">
              <a:extLst>
                <a:ext uri="{63B3BB69-23CF-44E3-9099-C40C66FF867C}">
                  <a14:compatExt spid="_x0000_s26309637"/>
                </a:ext>
                <a:ext uri="{FF2B5EF4-FFF2-40B4-BE49-F238E27FC236}">
                  <a16:creationId xmlns:a16="http://schemas.microsoft.com/office/drawing/2014/main" id="{00000000-0008-0000-0E00-000005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09638" name="Check Box 6" hidden="1">
              <a:extLst>
                <a:ext uri="{63B3BB69-23CF-44E3-9099-C40C66FF867C}">
                  <a14:compatExt spid="_x0000_s26309638"/>
                </a:ext>
                <a:ext uri="{FF2B5EF4-FFF2-40B4-BE49-F238E27FC236}">
                  <a16:creationId xmlns:a16="http://schemas.microsoft.com/office/drawing/2014/main" id="{00000000-0008-0000-0E00-000006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09639" name="Check Box 7" hidden="1">
              <a:extLst>
                <a:ext uri="{63B3BB69-23CF-44E3-9099-C40C66FF867C}">
                  <a14:compatExt spid="_x0000_s26309639"/>
                </a:ext>
                <a:ext uri="{FF2B5EF4-FFF2-40B4-BE49-F238E27FC236}">
                  <a16:creationId xmlns:a16="http://schemas.microsoft.com/office/drawing/2014/main" id="{00000000-0008-0000-0E00-000007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09640" name="Button 8" hidden="1">
              <a:extLst>
                <a:ext uri="{63B3BB69-23CF-44E3-9099-C40C66FF867C}">
                  <a14:compatExt spid="_x0000_s26309640"/>
                </a:ext>
                <a:ext uri="{FF2B5EF4-FFF2-40B4-BE49-F238E27FC236}">
                  <a16:creationId xmlns:a16="http://schemas.microsoft.com/office/drawing/2014/main" id="{00000000-0008-0000-0E00-00000874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09641" name="Button 9" hidden="1">
              <a:extLst>
                <a:ext uri="{63B3BB69-23CF-44E3-9099-C40C66FF867C}">
                  <a14:compatExt spid="_x0000_s26309641"/>
                </a:ext>
                <a:ext uri="{FF2B5EF4-FFF2-40B4-BE49-F238E27FC236}">
                  <a16:creationId xmlns:a16="http://schemas.microsoft.com/office/drawing/2014/main" id="{00000000-0008-0000-0E00-00000974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09642" name="Check Box 10" hidden="1">
              <a:extLst>
                <a:ext uri="{63B3BB69-23CF-44E3-9099-C40C66FF867C}">
                  <a14:compatExt spid="_x0000_s26309642"/>
                </a:ext>
                <a:ext uri="{FF2B5EF4-FFF2-40B4-BE49-F238E27FC236}">
                  <a16:creationId xmlns:a16="http://schemas.microsoft.com/office/drawing/2014/main" id="{00000000-0008-0000-0E00-00000A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09643" name="Button 11" hidden="1">
              <a:extLst>
                <a:ext uri="{63B3BB69-23CF-44E3-9099-C40C66FF867C}">
                  <a14:compatExt spid="_x0000_s26309643"/>
                </a:ext>
                <a:ext uri="{FF2B5EF4-FFF2-40B4-BE49-F238E27FC236}">
                  <a16:creationId xmlns:a16="http://schemas.microsoft.com/office/drawing/2014/main" id="{00000000-0008-0000-0E00-00000B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09644" name="Button 12" hidden="1">
              <a:extLst>
                <a:ext uri="{63B3BB69-23CF-44E3-9099-C40C66FF867C}">
                  <a14:compatExt spid="_x0000_s26309644"/>
                </a:ext>
                <a:ext uri="{FF2B5EF4-FFF2-40B4-BE49-F238E27FC236}">
                  <a16:creationId xmlns:a16="http://schemas.microsoft.com/office/drawing/2014/main" id="{00000000-0008-0000-0E00-00000C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09645" name="Button 13" hidden="1">
              <a:extLst>
                <a:ext uri="{63B3BB69-23CF-44E3-9099-C40C66FF867C}">
                  <a14:compatExt spid="_x0000_s26309645"/>
                </a:ext>
                <a:ext uri="{FF2B5EF4-FFF2-40B4-BE49-F238E27FC236}">
                  <a16:creationId xmlns:a16="http://schemas.microsoft.com/office/drawing/2014/main" id="{00000000-0008-0000-0E00-00000D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09646" name="Button 14" hidden="1">
              <a:extLst>
                <a:ext uri="{63B3BB69-23CF-44E3-9099-C40C66FF867C}">
                  <a14:compatExt spid="_x0000_s26309646"/>
                </a:ext>
                <a:ext uri="{FF2B5EF4-FFF2-40B4-BE49-F238E27FC236}">
                  <a16:creationId xmlns:a16="http://schemas.microsoft.com/office/drawing/2014/main" id="{00000000-0008-0000-0E00-00000E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09647" name="Check Box 15" hidden="1">
              <a:extLst>
                <a:ext uri="{63B3BB69-23CF-44E3-9099-C40C66FF867C}">
                  <a14:compatExt spid="_x0000_s26309647"/>
                </a:ext>
                <a:ext uri="{FF2B5EF4-FFF2-40B4-BE49-F238E27FC236}">
                  <a16:creationId xmlns:a16="http://schemas.microsoft.com/office/drawing/2014/main" id="{00000000-0008-0000-0E00-00000F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09648" name="Check Box 16" hidden="1">
              <a:extLst>
                <a:ext uri="{63B3BB69-23CF-44E3-9099-C40C66FF867C}">
                  <a14:compatExt spid="_x0000_s26309648"/>
                </a:ext>
                <a:ext uri="{FF2B5EF4-FFF2-40B4-BE49-F238E27FC236}">
                  <a16:creationId xmlns:a16="http://schemas.microsoft.com/office/drawing/2014/main" id="{00000000-0008-0000-0E00-000010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09649" name="Check Box 17" hidden="1">
              <a:extLst>
                <a:ext uri="{63B3BB69-23CF-44E3-9099-C40C66FF867C}">
                  <a14:compatExt spid="_x0000_s26309649"/>
                </a:ext>
                <a:ext uri="{FF2B5EF4-FFF2-40B4-BE49-F238E27FC236}">
                  <a16:creationId xmlns:a16="http://schemas.microsoft.com/office/drawing/2014/main" id="{00000000-0008-0000-0E00-000011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09650" name="Check Box 18" hidden="1">
              <a:extLst>
                <a:ext uri="{63B3BB69-23CF-44E3-9099-C40C66FF867C}">
                  <a14:compatExt spid="_x0000_s26309650"/>
                </a:ext>
                <a:ext uri="{FF2B5EF4-FFF2-40B4-BE49-F238E27FC236}">
                  <a16:creationId xmlns:a16="http://schemas.microsoft.com/office/drawing/2014/main" id="{00000000-0008-0000-0E00-000012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09651" name="Check Box 19" hidden="1">
              <a:extLst>
                <a:ext uri="{63B3BB69-23CF-44E3-9099-C40C66FF867C}">
                  <a14:compatExt spid="_x0000_s26309651"/>
                </a:ext>
                <a:ext uri="{FF2B5EF4-FFF2-40B4-BE49-F238E27FC236}">
                  <a16:creationId xmlns:a16="http://schemas.microsoft.com/office/drawing/2014/main" id="{00000000-0008-0000-0E00-000013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09652" name="Check Box 20" hidden="1">
              <a:extLst>
                <a:ext uri="{63B3BB69-23CF-44E3-9099-C40C66FF867C}">
                  <a14:compatExt spid="_x0000_s26309652"/>
                </a:ext>
                <a:ext uri="{FF2B5EF4-FFF2-40B4-BE49-F238E27FC236}">
                  <a16:creationId xmlns:a16="http://schemas.microsoft.com/office/drawing/2014/main" id="{00000000-0008-0000-0E00-000014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09653" name="Check Box 21" hidden="1">
              <a:extLst>
                <a:ext uri="{63B3BB69-23CF-44E3-9099-C40C66FF867C}">
                  <a14:compatExt spid="_x0000_s26309653"/>
                </a:ext>
                <a:ext uri="{FF2B5EF4-FFF2-40B4-BE49-F238E27FC236}">
                  <a16:creationId xmlns:a16="http://schemas.microsoft.com/office/drawing/2014/main" id="{00000000-0008-0000-0E00-000015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09654" name="Check Box 22" hidden="1">
              <a:extLst>
                <a:ext uri="{63B3BB69-23CF-44E3-9099-C40C66FF867C}">
                  <a14:compatExt spid="_x0000_s26309654"/>
                </a:ext>
                <a:ext uri="{FF2B5EF4-FFF2-40B4-BE49-F238E27FC236}">
                  <a16:creationId xmlns:a16="http://schemas.microsoft.com/office/drawing/2014/main" id="{00000000-0008-0000-0E00-000016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09655" name="Check Box 23" hidden="1">
              <a:extLst>
                <a:ext uri="{63B3BB69-23CF-44E3-9099-C40C66FF867C}">
                  <a14:compatExt spid="_x0000_s26309655"/>
                </a:ext>
                <a:ext uri="{FF2B5EF4-FFF2-40B4-BE49-F238E27FC236}">
                  <a16:creationId xmlns:a16="http://schemas.microsoft.com/office/drawing/2014/main" id="{00000000-0008-0000-0E00-000017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09656" name="Check Box 24" hidden="1">
              <a:extLst>
                <a:ext uri="{63B3BB69-23CF-44E3-9099-C40C66FF867C}">
                  <a14:compatExt spid="_x0000_s26309656"/>
                </a:ext>
                <a:ext uri="{FF2B5EF4-FFF2-40B4-BE49-F238E27FC236}">
                  <a16:creationId xmlns:a16="http://schemas.microsoft.com/office/drawing/2014/main" id="{00000000-0008-0000-0E00-000018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09657" name="Check Box 25" hidden="1">
              <a:extLst>
                <a:ext uri="{63B3BB69-23CF-44E3-9099-C40C66FF867C}">
                  <a14:compatExt spid="_x0000_s26309657"/>
                </a:ext>
                <a:ext uri="{FF2B5EF4-FFF2-40B4-BE49-F238E27FC236}">
                  <a16:creationId xmlns:a16="http://schemas.microsoft.com/office/drawing/2014/main" id="{00000000-0008-0000-0E00-000019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09658" name="Check Box 26" hidden="1">
              <a:extLst>
                <a:ext uri="{63B3BB69-23CF-44E3-9099-C40C66FF867C}">
                  <a14:compatExt spid="_x0000_s26309658"/>
                </a:ext>
                <a:ext uri="{FF2B5EF4-FFF2-40B4-BE49-F238E27FC236}">
                  <a16:creationId xmlns:a16="http://schemas.microsoft.com/office/drawing/2014/main" id="{00000000-0008-0000-0E00-00001A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09659" name="Check Box 27" hidden="1">
              <a:extLst>
                <a:ext uri="{63B3BB69-23CF-44E3-9099-C40C66FF867C}">
                  <a14:compatExt spid="_x0000_s26309659"/>
                </a:ext>
                <a:ext uri="{FF2B5EF4-FFF2-40B4-BE49-F238E27FC236}">
                  <a16:creationId xmlns:a16="http://schemas.microsoft.com/office/drawing/2014/main" id="{00000000-0008-0000-0E00-00001B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09660" name="Button 28" hidden="1">
              <a:extLst>
                <a:ext uri="{63B3BB69-23CF-44E3-9099-C40C66FF867C}">
                  <a14:compatExt spid="_x0000_s26309660"/>
                </a:ext>
                <a:ext uri="{FF2B5EF4-FFF2-40B4-BE49-F238E27FC236}">
                  <a16:creationId xmlns:a16="http://schemas.microsoft.com/office/drawing/2014/main" id="{00000000-0008-0000-0E00-00001C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09661" name="Button 29" hidden="1">
              <a:extLst>
                <a:ext uri="{63B3BB69-23CF-44E3-9099-C40C66FF867C}">
                  <a14:compatExt spid="_x0000_s26309661"/>
                </a:ext>
                <a:ext uri="{FF2B5EF4-FFF2-40B4-BE49-F238E27FC236}">
                  <a16:creationId xmlns:a16="http://schemas.microsoft.com/office/drawing/2014/main" id="{00000000-0008-0000-0E00-00001D74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09662" name="Check Box 30" hidden="1">
              <a:extLst>
                <a:ext uri="{63B3BB69-23CF-44E3-9099-C40C66FF867C}">
                  <a14:compatExt spid="_x0000_s26309662"/>
                </a:ext>
                <a:ext uri="{FF2B5EF4-FFF2-40B4-BE49-F238E27FC236}">
                  <a16:creationId xmlns:a16="http://schemas.microsoft.com/office/drawing/2014/main" id="{00000000-0008-0000-0E00-00001E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09663" name="Check Box 31" hidden="1">
              <a:extLst>
                <a:ext uri="{63B3BB69-23CF-44E3-9099-C40C66FF867C}">
                  <a14:compatExt spid="_x0000_s26309663"/>
                </a:ext>
                <a:ext uri="{FF2B5EF4-FFF2-40B4-BE49-F238E27FC236}">
                  <a16:creationId xmlns:a16="http://schemas.microsoft.com/office/drawing/2014/main" id="{00000000-0008-0000-0E00-00001F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09664" name="Check Box 32" hidden="1">
              <a:extLst>
                <a:ext uri="{63B3BB69-23CF-44E3-9099-C40C66FF867C}">
                  <a14:compatExt spid="_x0000_s26309664"/>
                </a:ext>
                <a:ext uri="{FF2B5EF4-FFF2-40B4-BE49-F238E27FC236}">
                  <a16:creationId xmlns:a16="http://schemas.microsoft.com/office/drawing/2014/main" id="{00000000-0008-0000-0E00-000020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09665" name="Check Box 33" hidden="1">
              <a:extLst>
                <a:ext uri="{63B3BB69-23CF-44E3-9099-C40C66FF867C}">
                  <a14:compatExt spid="_x0000_s26309665"/>
                </a:ext>
                <a:ext uri="{FF2B5EF4-FFF2-40B4-BE49-F238E27FC236}">
                  <a16:creationId xmlns:a16="http://schemas.microsoft.com/office/drawing/2014/main" id="{00000000-0008-0000-0E00-000021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09666" name="Check Box 34" hidden="1">
              <a:extLst>
                <a:ext uri="{63B3BB69-23CF-44E3-9099-C40C66FF867C}">
                  <a14:compatExt spid="_x0000_s26309666"/>
                </a:ext>
                <a:ext uri="{FF2B5EF4-FFF2-40B4-BE49-F238E27FC236}">
                  <a16:creationId xmlns:a16="http://schemas.microsoft.com/office/drawing/2014/main" id="{00000000-0008-0000-0E00-000022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09667" name="Check Box 35" hidden="1">
              <a:extLst>
                <a:ext uri="{63B3BB69-23CF-44E3-9099-C40C66FF867C}">
                  <a14:compatExt spid="_x0000_s26309667"/>
                </a:ext>
                <a:ext uri="{FF2B5EF4-FFF2-40B4-BE49-F238E27FC236}">
                  <a16:creationId xmlns:a16="http://schemas.microsoft.com/office/drawing/2014/main" id="{00000000-0008-0000-0E00-000023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09668" name="Check Box 36" hidden="1">
              <a:extLst>
                <a:ext uri="{63B3BB69-23CF-44E3-9099-C40C66FF867C}">
                  <a14:compatExt spid="_x0000_s26309668"/>
                </a:ext>
                <a:ext uri="{FF2B5EF4-FFF2-40B4-BE49-F238E27FC236}">
                  <a16:creationId xmlns:a16="http://schemas.microsoft.com/office/drawing/2014/main" id="{00000000-0008-0000-0E00-000024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09669" name="Check Box 37" hidden="1">
              <a:extLst>
                <a:ext uri="{63B3BB69-23CF-44E3-9099-C40C66FF867C}">
                  <a14:compatExt spid="_x0000_s26309669"/>
                </a:ext>
                <a:ext uri="{FF2B5EF4-FFF2-40B4-BE49-F238E27FC236}">
                  <a16:creationId xmlns:a16="http://schemas.microsoft.com/office/drawing/2014/main" id="{00000000-0008-0000-0E00-00002574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CCF582E-F624-4E52-86D0-B5B5ED4B2B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960ABF-760C-47B6-B63E-C59F3EA531B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08609" name="Check Box 1" hidden="1">
              <a:extLst>
                <a:ext uri="{63B3BB69-23CF-44E3-9099-C40C66FF867C}">
                  <a14:compatExt spid="_x0000_s26308609"/>
                </a:ext>
                <a:ext uri="{FF2B5EF4-FFF2-40B4-BE49-F238E27FC236}">
                  <a16:creationId xmlns:a16="http://schemas.microsoft.com/office/drawing/2014/main" id="{00000000-0008-0000-0F00-000001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08610" name="Check Box 2" hidden="1">
              <a:extLst>
                <a:ext uri="{63B3BB69-23CF-44E3-9099-C40C66FF867C}">
                  <a14:compatExt spid="_x0000_s26308610"/>
                </a:ext>
                <a:ext uri="{FF2B5EF4-FFF2-40B4-BE49-F238E27FC236}">
                  <a16:creationId xmlns:a16="http://schemas.microsoft.com/office/drawing/2014/main" id="{00000000-0008-0000-0F00-000002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08611" name="Check Box 3" hidden="1">
              <a:extLst>
                <a:ext uri="{63B3BB69-23CF-44E3-9099-C40C66FF867C}">
                  <a14:compatExt spid="_x0000_s26308611"/>
                </a:ext>
                <a:ext uri="{FF2B5EF4-FFF2-40B4-BE49-F238E27FC236}">
                  <a16:creationId xmlns:a16="http://schemas.microsoft.com/office/drawing/2014/main" id="{00000000-0008-0000-0F00-000003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08612" name="Check Box 4" hidden="1">
              <a:extLst>
                <a:ext uri="{63B3BB69-23CF-44E3-9099-C40C66FF867C}">
                  <a14:compatExt spid="_x0000_s26308612"/>
                </a:ext>
                <a:ext uri="{FF2B5EF4-FFF2-40B4-BE49-F238E27FC236}">
                  <a16:creationId xmlns:a16="http://schemas.microsoft.com/office/drawing/2014/main" id="{00000000-0008-0000-0F00-000004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08613" name="Check Box 5" hidden="1">
              <a:extLst>
                <a:ext uri="{63B3BB69-23CF-44E3-9099-C40C66FF867C}">
                  <a14:compatExt spid="_x0000_s26308613"/>
                </a:ext>
                <a:ext uri="{FF2B5EF4-FFF2-40B4-BE49-F238E27FC236}">
                  <a16:creationId xmlns:a16="http://schemas.microsoft.com/office/drawing/2014/main" id="{00000000-0008-0000-0F00-000005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08614" name="Check Box 6" hidden="1">
              <a:extLst>
                <a:ext uri="{63B3BB69-23CF-44E3-9099-C40C66FF867C}">
                  <a14:compatExt spid="_x0000_s26308614"/>
                </a:ext>
                <a:ext uri="{FF2B5EF4-FFF2-40B4-BE49-F238E27FC236}">
                  <a16:creationId xmlns:a16="http://schemas.microsoft.com/office/drawing/2014/main" id="{00000000-0008-0000-0F00-000006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08615" name="Check Box 7" hidden="1">
              <a:extLst>
                <a:ext uri="{63B3BB69-23CF-44E3-9099-C40C66FF867C}">
                  <a14:compatExt spid="_x0000_s26308615"/>
                </a:ext>
                <a:ext uri="{FF2B5EF4-FFF2-40B4-BE49-F238E27FC236}">
                  <a16:creationId xmlns:a16="http://schemas.microsoft.com/office/drawing/2014/main" id="{00000000-0008-0000-0F00-000007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08616" name="Button 8" hidden="1">
              <a:extLst>
                <a:ext uri="{63B3BB69-23CF-44E3-9099-C40C66FF867C}">
                  <a14:compatExt spid="_x0000_s26308616"/>
                </a:ext>
                <a:ext uri="{FF2B5EF4-FFF2-40B4-BE49-F238E27FC236}">
                  <a16:creationId xmlns:a16="http://schemas.microsoft.com/office/drawing/2014/main" id="{00000000-0008-0000-0F00-00000870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08617" name="Button 9" hidden="1">
              <a:extLst>
                <a:ext uri="{63B3BB69-23CF-44E3-9099-C40C66FF867C}">
                  <a14:compatExt spid="_x0000_s26308617"/>
                </a:ext>
                <a:ext uri="{FF2B5EF4-FFF2-40B4-BE49-F238E27FC236}">
                  <a16:creationId xmlns:a16="http://schemas.microsoft.com/office/drawing/2014/main" id="{00000000-0008-0000-0F00-00000970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08618" name="Check Box 10" hidden="1">
              <a:extLst>
                <a:ext uri="{63B3BB69-23CF-44E3-9099-C40C66FF867C}">
                  <a14:compatExt spid="_x0000_s26308618"/>
                </a:ext>
                <a:ext uri="{FF2B5EF4-FFF2-40B4-BE49-F238E27FC236}">
                  <a16:creationId xmlns:a16="http://schemas.microsoft.com/office/drawing/2014/main" id="{00000000-0008-0000-0F00-00000A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08619" name="Button 11" hidden="1">
              <a:extLst>
                <a:ext uri="{63B3BB69-23CF-44E3-9099-C40C66FF867C}">
                  <a14:compatExt spid="_x0000_s26308619"/>
                </a:ext>
                <a:ext uri="{FF2B5EF4-FFF2-40B4-BE49-F238E27FC236}">
                  <a16:creationId xmlns:a16="http://schemas.microsoft.com/office/drawing/2014/main" id="{00000000-0008-0000-0F00-00000B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08620" name="Button 12" hidden="1">
              <a:extLst>
                <a:ext uri="{63B3BB69-23CF-44E3-9099-C40C66FF867C}">
                  <a14:compatExt spid="_x0000_s26308620"/>
                </a:ext>
                <a:ext uri="{FF2B5EF4-FFF2-40B4-BE49-F238E27FC236}">
                  <a16:creationId xmlns:a16="http://schemas.microsoft.com/office/drawing/2014/main" id="{00000000-0008-0000-0F00-00000C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08621" name="Button 13" hidden="1">
              <a:extLst>
                <a:ext uri="{63B3BB69-23CF-44E3-9099-C40C66FF867C}">
                  <a14:compatExt spid="_x0000_s26308621"/>
                </a:ext>
                <a:ext uri="{FF2B5EF4-FFF2-40B4-BE49-F238E27FC236}">
                  <a16:creationId xmlns:a16="http://schemas.microsoft.com/office/drawing/2014/main" id="{00000000-0008-0000-0F00-00000D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08622" name="Button 14" hidden="1">
              <a:extLst>
                <a:ext uri="{63B3BB69-23CF-44E3-9099-C40C66FF867C}">
                  <a14:compatExt spid="_x0000_s26308622"/>
                </a:ext>
                <a:ext uri="{FF2B5EF4-FFF2-40B4-BE49-F238E27FC236}">
                  <a16:creationId xmlns:a16="http://schemas.microsoft.com/office/drawing/2014/main" id="{00000000-0008-0000-0F00-00000E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08623" name="Check Box 15" hidden="1">
              <a:extLst>
                <a:ext uri="{63B3BB69-23CF-44E3-9099-C40C66FF867C}">
                  <a14:compatExt spid="_x0000_s26308623"/>
                </a:ext>
                <a:ext uri="{FF2B5EF4-FFF2-40B4-BE49-F238E27FC236}">
                  <a16:creationId xmlns:a16="http://schemas.microsoft.com/office/drawing/2014/main" id="{00000000-0008-0000-0F00-00000F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08624" name="Check Box 16" hidden="1">
              <a:extLst>
                <a:ext uri="{63B3BB69-23CF-44E3-9099-C40C66FF867C}">
                  <a14:compatExt spid="_x0000_s26308624"/>
                </a:ext>
                <a:ext uri="{FF2B5EF4-FFF2-40B4-BE49-F238E27FC236}">
                  <a16:creationId xmlns:a16="http://schemas.microsoft.com/office/drawing/2014/main" id="{00000000-0008-0000-0F00-000010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08625" name="Check Box 17" hidden="1">
              <a:extLst>
                <a:ext uri="{63B3BB69-23CF-44E3-9099-C40C66FF867C}">
                  <a14:compatExt spid="_x0000_s26308625"/>
                </a:ext>
                <a:ext uri="{FF2B5EF4-FFF2-40B4-BE49-F238E27FC236}">
                  <a16:creationId xmlns:a16="http://schemas.microsoft.com/office/drawing/2014/main" id="{00000000-0008-0000-0F00-000011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08626" name="Check Box 18" hidden="1">
              <a:extLst>
                <a:ext uri="{63B3BB69-23CF-44E3-9099-C40C66FF867C}">
                  <a14:compatExt spid="_x0000_s26308626"/>
                </a:ext>
                <a:ext uri="{FF2B5EF4-FFF2-40B4-BE49-F238E27FC236}">
                  <a16:creationId xmlns:a16="http://schemas.microsoft.com/office/drawing/2014/main" id="{00000000-0008-0000-0F00-000012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08627" name="Check Box 19" hidden="1">
              <a:extLst>
                <a:ext uri="{63B3BB69-23CF-44E3-9099-C40C66FF867C}">
                  <a14:compatExt spid="_x0000_s26308627"/>
                </a:ext>
                <a:ext uri="{FF2B5EF4-FFF2-40B4-BE49-F238E27FC236}">
                  <a16:creationId xmlns:a16="http://schemas.microsoft.com/office/drawing/2014/main" id="{00000000-0008-0000-0F00-000013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08628" name="Check Box 20" hidden="1">
              <a:extLst>
                <a:ext uri="{63B3BB69-23CF-44E3-9099-C40C66FF867C}">
                  <a14:compatExt spid="_x0000_s26308628"/>
                </a:ext>
                <a:ext uri="{FF2B5EF4-FFF2-40B4-BE49-F238E27FC236}">
                  <a16:creationId xmlns:a16="http://schemas.microsoft.com/office/drawing/2014/main" id="{00000000-0008-0000-0F00-000014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08629" name="Check Box 21" hidden="1">
              <a:extLst>
                <a:ext uri="{63B3BB69-23CF-44E3-9099-C40C66FF867C}">
                  <a14:compatExt spid="_x0000_s26308629"/>
                </a:ext>
                <a:ext uri="{FF2B5EF4-FFF2-40B4-BE49-F238E27FC236}">
                  <a16:creationId xmlns:a16="http://schemas.microsoft.com/office/drawing/2014/main" id="{00000000-0008-0000-0F00-000015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08630" name="Check Box 22" hidden="1">
              <a:extLst>
                <a:ext uri="{63B3BB69-23CF-44E3-9099-C40C66FF867C}">
                  <a14:compatExt spid="_x0000_s26308630"/>
                </a:ext>
                <a:ext uri="{FF2B5EF4-FFF2-40B4-BE49-F238E27FC236}">
                  <a16:creationId xmlns:a16="http://schemas.microsoft.com/office/drawing/2014/main" id="{00000000-0008-0000-0F00-000016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08631" name="Check Box 23" hidden="1">
              <a:extLst>
                <a:ext uri="{63B3BB69-23CF-44E3-9099-C40C66FF867C}">
                  <a14:compatExt spid="_x0000_s26308631"/>
                </a:ext>
                <a:ext uri="{FF2B5EF4-FFF2-40B4-BE49-F238E27FC236}">
                  <a16:creationId xmlns:a16="http://schemas.microsoft.com/office/drawing/2014/main" id="{00000000-0008-0000-0F00-000017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08632" name="Check Box 24" hidden="1">
              <a:extLst>
                <a:ext uri="{63B3BB69-23CF-44E3-9099-C40C66FF867C}">
                  <a14:compatExt spid="_x0000_s26308632"/>
                </a:ext>
                <a:ext uri="{FF2B5EF4-FFF2-40B4-BE49-F238E27FC236}">
                  <a16:creationId xmlns:a16="http://schemas.microsoft.com/office/drawing/2014/main" id="{00000000-0008-0000-0F00-000018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08633" name="Check Box 25" hidden="1">
              <a:extLst>
                <a:ext uri="{63B3BB69-23CF-44E3-9099-C40C66FF867C}">
                  <a14:compatExt spid="_x0000_s26308633"/>
                </a:ext>
                <a:ext uri="{FF2B5EF4-FFF2-40B4-BE49-F238E27FC236}">
                  <a16:creationId xmlns:a16="http://schemas.microsoft.com/office/drawing/2014/main" id="{00000000-0008-0000-0F00-000019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08634" name="Check Box 26" hidden="1">
              <a:extLst>
                <a:ext uri="{63B3BB69-23CF-44E3-9099-C40C66FF867C}">
                  <a14:compatExt spid="_x0000_s26308634"/>
                </a:ext>
                <a:ext uri="{FF2B5EF4-FFF2-40B4-BE49-F238E27FC236}">
                  <a16:creationId xmlns:a16="http://schemas.microsoft.com/office/drawing/2014/main" id="{00000000-0008-0000-0F00-00001A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08635" name="Check Box 27" hidden="1">
              <a:extLst>
                <a:ext uri="{63B3BB69-23CF-44E3-9099-C40C66FF867C}">
                  <a14:compatExt spid="_x0000_s26308635"/>
                </a:ext>
                <a:ext uri="{FF2B5EF4-FFF2-40B4-BE49-F238E27FC236}">
                  <a16:creationId xmlns:a16="http://schemas.microsoft.com/office/drawing/2014/main" id="{00000000-0008-0000-0F00-00001B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08636" name="Button 28" hidden="1">
              <a:extLst>
                <a:ext uri="{63B3BB69-23CF-44E3-9099-C40C66FF867C}">
                  <a14:compatExt spid="_x0000_s26308636"/>
                </a:ext>
                <a:ext uri="{FF2B5EF4-FFF2-40B4-BE49-F238E27FC236}">
                  <a16:creationId xmlns:a16="http://schemas.microsoft.com/office/drawing/2014/main" id="{00000000-0008-0000-0F00-00001C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08637" name="Button 29" hidden="1">
              <a:extLst>
                <a:ext uri="{63B3BB69-23CF-44E3-9099-C40C66FF867C}">
                  <a14:compatExt spid="_x0000_s26308637"/>
                </a:ext>
                <a:ext uri="{FF2B5EF4-FFF2-40B4-BE49-F238E27FC236}">
                  <a16:creationId xmlns:a16="http://schemas.microsoft.com/office/drawing/2014/main" id="{00000000-0008-0000-0F00-00001D70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08638" name="Check Box 30" hidden="1">
              <a:extLst>
                <a:ext uri="{63B3BB69-23CF-44E3-9099-C40C66FF867C}">
                  <a14:compatExt spid="_x0000_s26308638"/>
                </a:ext>
                <a:ext uri="{FF2B5EF4-FFF2-40B4-BE49-F238E27FC236}">
                  <a16:creationId xmlns:a16="http://schemas.microsoft.com/office/drawing/2014/main" id="{00000000-0008-0000-0F00-00001E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08639" name="Check Box 31" hidden="1">
              <a:extLst>
                <a:ext uri="{63B3BB69-23CF-44E3-9099-C40C66FF867C}">
                  <a14:compatExt spid="_x0000_s26308639"/>
                </a:ext>
                <a:ext uri="{FF2B5EF4-FFF2-40B4-BE49-F238E27FC236}">
                  <a16:creationId xmlns:a16="http://schemas.microsoft.com/office/drawing/2014/main" id="{00000000-0008-0000-0F00-00001F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08640" name="Check Box 32" hidden="1">
              <a:extLst>
                <a:ext uri="{63B3BB69-23CF-44E3-9099-C40C66FF867C}">
                  <a14:compatExt spid="_x0000_s26308640"/>
                </a:ext>
                <a:ext uri="{FF2B5EF4-FFF2-40B4-BE49-F238E27FC236}">
                  <a16:creationId xmlns:a16="http://schemas.microsoft.com/office/drawing/2014/main" id="{00000000-0008-0000-0F00-000020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08641" name="Check Box 33" hidden="1">
              <a:extLst>
                <a:ext uri="{63B3BB69-23CF-44E3-9099-C40C66FF867C}">
                  <a14:compatExt spid="_x0000_s26308641"/>
                </a:ext>
                <a:ext uri="{FF2B5EF4-FFF2-40B4-BE49-F238E27FC236}">
                  <a16:creationId xmlns:a16="http://schemas.microsoft.com/office/drawing/2014/main" id="{00000000-0008-0000-0F00-000021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08642" name="Check Box 34" hidden="1">
              <a:extLst>
                <a:ext uri="{63B3BB69-23CF-44E3-9099-C40C66FF867C}">
                  <a14:compatExt spid="_x0000_s26308642"/>
                </a:ext>
                <a:ext uri="{FF2B5EF4-FFF2-40B4-BE49-F238E27FC236}">
                  <a16:creationId xmlns:a16="http://schemas.microsoft.com/office/drawing/2014/main" id="{00000000-0008-0000-0F00-000022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08643" name="Check Box 35" hidden="1">
              <a:extLst>
                <a:ext uri="{63B3BB69-23CF-44E3-9099-C40C66FF867C}">
                  <a14:compatExt spid="_x0000_s26308643"/>
                </a:ext>
                <a:ext uri="{FF2B5EF4-FFF2-40B4-BE49-F238E27FC236}">
                  <a16:creationId xmlns:a16="http://schemas.microsoft.com/office/drawing/2014/main" id="{00000000-0008-0000-0F00-000023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08644" name="Check Box 36" hidden="1">
              <a:extLst>
                <a:ext uri="{63B3BB69-23CF-44E3-9099-C40C66FF867C}">
                  <a14:compatExt spid="_x0000_s26308644"/>
                </a:ext>
                <a:ext uri="{FF2B5EF4-FFF2-40B4-BE49-F238E27FC236}">
                  <a16:creationId xmlns:a16="http://schemas.microsoft.com/office/drawing/2014/main" id="{00000000-0008-0000-0F00-000024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08645" name="Check Box 37" hidden="1">
              <a:extLst>
                <a:ext uri="{63B3BB69-23CF-44E3-9099-C40C66FF867C}">
                  <a14:compatExt spid="_x0000_s26308645"/>
                </a:ext>
                <a:ext uri="{FF2B5EF4-FFF2-40B4-BE49-F238E27FC236}">
                  <a16:creationId xmlns:a16="http://schemas.microsoft.com/office/drawing/2014/main" id="{00000000-0008-0000-0F00-00002570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B525972-413E-4B8B-B4BD-E4585B59C3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C6ED42-FA2A-4121-ADB6-99F0F73247F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307585" name="Check Box 1" hidden="1">
              <a:extLst>
                <a:ext uri="{63B3BB69-23CF-44E3-9099-C40C66FF867C}">
                  <a14:compatExt spid="_x0000_s26307585"/>
                </a:ext>
                <a:ext uri="{FF2B5EF4-FFF2-40B4-BE49-F238E27FC236}">
                  <a16:creationId xmlns:a16="http://schemas.microsoft.com/office/drawing/2014/main" id="{00000000-0008-0000-1000-000001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307586" name="Check Box 2" hidden="1">
              <a:extLst>
                <a:ext uri="{63B3BB69-23CF-44E3-9099-C40C66FF867C}">
                  <a14:compatExt spid="_x0000_s26307586"/>
                </a:ext>
                <a:ext uri="{FF2B5EF4-FFF2-40B4-BE49-F238E27FC236}">
                  <a16:creationId xmlns:a16="http://schemas.microsoft.com/office/drawing/2014/main" id="{00000000-0008-0000-1000-000002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307587" name="Check Box 3" hidden="1">
              <a:extLst>
                <a:ext uri="{63B3BB69-23CF-44E3-9099-C40C66FF867C}">
                  <a14:compatExt spid="_x0000_s26307587"/>
                </a:ext>
                <a:ext uri="{FF2B5EF4-FFF2-40B4-BE49-F238E27FC236}">
                  <a16:creationId xmlns:a16="http://schemas.microsoft.com/office/drawing/2014/main" id="{00000000-0008-0000-1000-000003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307588" name="Check Box 4" hidden="1">
              <a:extLst>
                <a:ext uri="{63B3BB69-23CF-44E3-9099-C40C66FF867C}">
                  <a14:compatExt spid="_x0000_s26307588"/>
                </a:ext>
                <a:ext uri="{FF2B5EF4-FFF2-40B4-BE49-F238E27FC236}">
                  <a16:creationId xmlns:a16="http://schemas.microsoft.com/office/drawing/2014/main" id="{00000000-0008-0000-1000-000004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307589" name="Check Box 5" hidden="1">
              <a:extLst>
                <a:ext uri="{63B3BB69-23CF-44E3-9099-C40C66FF867C}">
                  <a14:compatExt spid="_x0000_s26307589"/>
                </a:ext>
                <a:ext uri="{FF2B5EF4-FFF2-40B4-BE49-F238E27FC236}">
                  <a16:creationId xmlns:a16="http://schemas.microsoft.com/office/drawing/2014/main" id="{00000000-0008-0000-1000-000005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307590" name="Check Box 6" hidden="1">
              <a:extLst>
                <a:ext uri="{63B3BB69-23CF-44E3-9099-C40C66FF867C}">
                  <a14:compatExt spid="_x0000_s26307590"/>
                </a:ext>
                <a:ext uri="{FF2B5EF4-FFF2-40B4-BE49-F238E27FC236}">
                  <a16:creationId xmlns:a16="http://schemas.microsoft.com/office/drawing/2014/main" id="{00000000-0008-0000-1000-000006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307591" name="Check Box 7" hidden="1">
              <a:extLst>
                <a:ext uri="{63B3BB69-23CF-44E3-9099-C40C66FF867C}">
                  <a14:compatExt spid="_x0000_s26307591"/>
                </a:ext>
                <a:ext uri="{FF2B5EF4-FFF2-40B4-BE49-F238E27FC236}">
                  <a16:creationId xmlns:a16="http://schemas.microsoft.com/office/drawing/2014/main" id="{00000000-0008-0000-1000-000007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307592" name="Button 8" hidden="1">
              <a:extLst>
                <a:ext uri="{63B3BB69-23CF-44E3-9099-C40C66FF867C}">
                  <a14:compatExt spid="_x0000_s26307592"/>
                </a:ext>
                <a:ext uri="{FF2B5EF4-FFF2-40B4-BE49-F238E27FC236}">
                  <a16:creationId xmlns:a16="http://schemas.microsoft.com/office/drawing/2014/main" id="{00000000-0008-0000-1000-0000086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307593" name="Button 9" hidden="1">
              <a:extLst>
                <a:ext uri="{63B3BB69-23CF-44E3-9099-C40C66FF867C}">
                  <a14:compatExt spid="_x0000_s26307593"/>
                </a:ext>
                <a:ext uri="{FF2B5EF4-FFF2-40B4-BE49-F238E27FC236}">
                  <a16:creationId xmlns:a16="http://schemas.microsoft.com/office/drawing/2014/main" id="{00000000-0008-0000-1000-0000096C9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307594" name="Check Box 10" hidden="1">
              <a:extLst>
                <a:ext uri="{63B3BB69-23CF-44E3-9099-C40C66FF867C}">
                  <a14:compatExt spid="_x0000_s26307594"/>
                </a:ext>
                <a:ext uri="{FF2B5EF4-FFF2-40B4-BE49-F238E27FC236}">
                  <a16:creationId xmlns:a16="http://schemas.microsoft.com/office/drawing/2014/main" id="{00000000-0008-0000-1000-00000A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307595" name="Button 11" hidden="1">
              <a:extLst>
                <a:ext uri="{63B3BB69-23CF-44E3-9099-C40C66FF867C}">
                  <a14:compatExt spid="_x0000_s26307595"/>
                </a:ext>
                <a:ext uri="{FF2B5EF4-FFF2-40B4-BE49-F238E27FC236}">
                  <a16:creationId xmlns:a16="http://schemas.microsoft.com/office/drawing/2014/main" id="{00000000-0008-0000-1000-00000B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307596" name="Button 12" hidden="1">
              <a:extLst>
                <a:ext uri="{63B3BB69-23CF-44E3-9099-C40C66FF867C}">
                  <a14:compatExt spid="_x0000_s26307596"/>
                </a:ext>
                <a:ext uri="{FF2B5EF4-FFF2-40B4-BE49-F238E27FC236}">
                  <a16:creationId xmlns:a16="http://schemas.microsoft.com/office/drawing/2014/main" id="{00000000-0008-0000-1000-00000C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307597" name="Button 13" hidden="1">
              <a:extLst>
                <a:ext uri="{63B3BB69-23CF-44E3-9099-C40C66FF867C}">
                  <a14:compatExt spid="_x0000_s26307597"/>
                </a:ext>
                <a:ext uri="{FF2B5EF4-FFF2-40B4-BE49-F238E27FC236}">
                  <a16:creationId xmlns:a16="http://schemas.microsoft.com/office/drawing/2014/main" id="{00000000-0008-0000-1000-00000D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307598" name="Button 14" hidden="1">
              <a:extLst>
                <a:ext uri="{63B3BB69-23CF-44E3-9099-C40C66FF867C}">
                  <a14:compatExt spid="_x0000_s26307598"/>
                </a:ext>
                <a:ext uri="{FF2B5EF4-FFF2-40B4-BE49-F238E27FC236}">
                  <a16:creationId xmlns:a16="http://schemas.microsoft.com/office/drawing/2014/main" id="{00000000-0008-0000-1000-00000E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307599" name="Check Box 15" hidden="1">
              <a:extLst>
                <a:ext uri="{63B3BB69-23CF-44E3-9099-C40C66FF867C}">
                  <a14:compatExt spid="_x0000_s26307599"/>
                </a:ext>
                <a:ext uri="{FF2B5EF4-FFF2-40B4-BE49-F238E27FC236}">
                  <a16:creationId xmlns:a16="http://schemas.microsoft.com/office/drawing/2014/main" id="{00000000-0008-0000-1000-00000F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307600" name="Check Box 16" hidden="1">
              <a:extLst>
                <a:ext uri="{63B3BB69-23CF-44E3-9099-C40C66FF867C}">
                  <a14:compatExt spid="_x0000_s26307600"/>
                </a:ext>
                <a:ext uri="{FF2B5EF4-FFF2-40B4-BE49-F238E27FC236}">
                  <a16:creationId xmlns:a16="http://schemas.microsoft.com/office/drawing/2014/main" id="{00000000-0008-0000-1000-000010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307601" name="Check Box 17" hidden="1">
              <a:extLst>
                <a:ext uri="{63B3BB69-23CF-44E3-9099-C40C66FF867C}">
                  <a14:compatExt spid="_x0000_s26307601"/>
                </a:ext>
                <a:ext uri="{FF2B5EF4-FFF2-40B4-BE49-F238E27FC236}">
                  <a16:creationId xmlns:a16="http://schemas.microsoft.com/office/drawing/2014/main" id="{00000000-0008-0000-1000-000011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307602" name="Check Box 18" hidden="1">
              <a:extLst>
                <a:ext uri="{63B3BB69-23CF-44E3-9099-C40C66FF867C}">
                  <a14:compatExt spid="_x0000_s26307602"/>
                </a:ext>
                <a:ext uri="{FF2B5EF4-FFF2-40B4-BE49-F238E27FC236}">
                  <a16:creationId xmlns:a16="http://schemas.microsoft.com/office/drawing/2014/main" id="{00000000-0008-0000-1000-000012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307603" name="Check Box 19" hidden="1">
              <a:extLst>
                <a:ext uri="{63B3BB69-23CF-44E3-9099-C40C66FF867C}">
                  <a14:compatExt spid="_x0000_s26307603"/>
                </a:ext>
                <a:ext uri="{FF2B5EF4-FFF2-40B4-BE49-F238E27FC236}">
                  <a16:creationId xmlns:a16="http://schemas.microsoft.com/office/drawing/2014/main" id="{00000000-0008-0000-1000-000013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307604" name="Check Box 20" hidden="1">
              <a:extLst>
                <a:ext uri="{63B3BB69-23CF-44E3-9099-C40C66FF867C}">
                  <a14:compatExt spid="_x0000_s26307604"/>
                </a:ext>
                <a:ext uri="{FF2B5EF4-FFF2-40B4-BE49-F238E27FC236}">
                  <a16:creationId xmlns:a16="http://schemas.microsoft.com/office/drawing/2014/main" id="{00000000-0008-0000-1000-000014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307605" name="Check Box 21" hidden="1">
              <a:extLst>
                <a:ext uri="{63B3BB69-23CF-44E3-9099-C40C66FF867C}">
                  <a14:compatExt spid="_x0000_s26307605"/>
                </a:ext>
                <a:ext uri="{FF2B5EF4-FFF2-40B4-BE49-F238E27FC236}">
                  <a16:creationId xmlns:a16="http://schemas.microsoft.com/office/drawing/2014/main" id="{00000000-0008-0000-1000-000015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307606" name="Check Box 22" hidden="1">
              <a:extLst>
                <a:ext uri="{63B3BB69-23CF-44E3-9099-C40C66FF867C}">
                  <a14:compatExt spid="_x0000_s26307606"/>
                </a:ext>
                <a:ext uri="{FF2B5EF4-FFF2-40B4-BE49-F238E27FC236}">
                  <a16:creationId xmlns:a16="http://schemas.microsoft.com/office/drawing/2014/main" id="{00000000-0008-0000-1000-000016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307607" name="Check Box 23" hidden="1">
              <a:extLst>
                <a:ext uri="{63B3BB69-23CF-44E3-9099-C40C66FF867C}">
                  <a14:compatExt spid="_x0000_s26307607"/>
                </a:ext>
                <a:ext uri="{FF2B5EF4-FFF2-40B4-BE49-F238E27FC236}">
                  <a16:creationId xmlns:a16="http://schemas.microsoft.com/office/drawing/2014/main" id="{00000000-0008-0000-1000-000017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307608" name="Check Box 24" hidden="1">
              <a:extLst>
                <a:ext uri="{63B3BB69-23CF-44E3-9099-C40C66FF867C}">
                  <a14:compatExt spid="_x0000_s26307608"/>
                </a:ext>
                <a:ext uri="{FF2B5EF4-FFF2-40B4-BE49-F238E27FC236}">
                  <a16:creationId xmlns:a16="http://schemas.microsoft.com/office/drawing/2014/main" id="{00000000-0008-0000-1000-000018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307609" name="Check Box 25" hidden="1">
              <a:extLst>
                <a:ext uri="{63B3BB69-23CF-44E3-9099-C40C66FF867C}">
                  <a14:compatExt spid="_x0000_s26307609"/>
                </a:ext>
                <a:ext uri="{FF2B5EF4-FFF2-40B4-BE49-F238E27FC236}">
                  <a16:creationId xmlns:a16="http://schemas.microsoft.com/office/drawing/2014/main" id="{00000000-0008-0000-1000-000019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307610" name="Check Box 26" hidden="1">
              <a:extLst>
                <a:ext uri="{63B3BB69-23CF-44E3-9099-C40C66FF867C}">
                  <a14:compatExt spid="_x0000_s26307610"/>
                </a:ext>
                <a:ext uri="{FF2B5EF4-FFF2-40B4-BE49-F238E27FC236}">
                  <a16:creationId xmlns:a16="http://schemas.microsoft.com/office/drawing/2014/main" id="{00000000-0008-0000-1000-00001A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307611" name="Check Box 27" hidden="1">
              <a:extLst>
                <a:ext uri="{63B3BB69-23CF-44E3-9099-C40C66FF867C}">
                  <a14:compatExt spid="_x0000_s26307611"/>
                </a:ext>
                <a:ext uri="{FF2B5EF4-FFF2-40B4-BE49-F238E27FC236}">
                  <a16:creationId xmlns:a16="http://schemas.microsoft.com/office/drawing/2014/main" id="{00000000-0008-0000-1000-00001B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307612" name="Button 28" hidden="1">
              <a:extLst>
                <a:ext uri="{63B3BB69-23CF-44E3-9099-C40C66FF867C}">
                  <a14:compatExt spid="_x0000_s26307612"/>
                </a:ext>
                <a:ext uri="{FF2B5EF4-FFF2-40B4-BE49-F238E27FC236}">
                  <a16:creationId xmlns:a16="http://schemas.microsoft.com/office/drawing/2014/main" id="{00000000-0008-0000-1000-00001C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307613" name="Button 29" hidden="1">
              <a:extLst>
                <a:ext uri="{63B3BB69-23CF-44E3-9099-C40C66FF867C}">
                  <a14:compatExt spid="_x0000_s26307613"/>
                </a:ext>
                <a:ext uri="{FF2B5EF4-FFF2-40B4-BE49-F238E27FC236}">
                  <a16:creationId xmlns:a16="http://schemas.microsoft.com/office/drawing/2014/main" id="{00000000-0008-0000-1000-00001D6C9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307614" name="Check Box 30" hidden="1">
              <a:extLst>
                <a:ext uri="{63B3BB69-23CF-44E3-9099-C40C66FF867C}">
                  <a14:compatExt spid="_x0000_s26307614"/>
                </a:ext>
                <a:ext uri="{FF2B5EF4-FFF2-40B4-BE49-F238E27FC236}">
                  <a16:creationId xmlns:a16="http://schemas.microsoft.com/office/drawing/2014/main" id="{00000000-0008-0000-1000-00001E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307615" name="Check Box 31" hidden="1">
              <a:extLst>
                <a:ext uri="{63B3BB69-23CF-44E3-9099-C40C66FF867C}">
                  <a14:compatExt spid="_x0000_s26307615"/>
                </a:ext>
                <a:ext uri="{FF2B5EF4-FFF2-40B4-BE49-F238E27FC236}">
                  <a16:creationId xmlns:a16="http://schemas.microsoft.com/office/drawing/2014/main" id="{00000000-0008-0000-1000-00001F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307616" name="Check Box 32" hidden="1">
              <a:extLst>
                <a:ext uri="{63B3BB69-23CF-44E3-9099-C40C66FF867C}">
                  <a14:compatExt spid="_x0000_s26307616"/>
                </a:ext>
                <a:ext uri="{FF2B5EF4-FFF2-40B4-BE49-F238E27FC236}">
                  <a16:creationId xmlns:a16="http://schemas.microsoft.com/office/drawing/2014/main" id="{00000000-0008-0000-1000-000020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307617" name="Check Box 33" hidden="1">
              <a:extLst>
                <a:ext uri="{63B3BB69-23CF-44E3-9099-C40C66FF867C}">
                  <a14:compatExt spid="_x0000_s26307617"/>
                </a:ext>
                <a:ext uri="{FF2B5EF4-FFF2-40B4-BE49-F238E27FC236}">
                  <a16:creationId xmlns:a16="http://schemas.microsoft.com/office/drawing/2014/main" id="{00000000-0008-0000-1000-000021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307618" name="Check Box 34" hidden="1">
              <a:extLst>
                <a:ext uri="{63B3BB69-23CF-44E3-9099-C40C66FF867C}">
                  <a14:compatExt spid="_x0000_s26307618"/>
                </a:ext>
                <a:ext uri="{FF2B5EF4-FFF2-40B4-BE49-F238E27FC236}">
                  <a16:creationId xmlns:a16="http://schemas.microsoft.com/office/drawing/2014/main" id="{00000000-0008-0000-1000-000022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307619" name="Check Box 35" hidden="1">
              <a:extLst>
                <a:ext uri="{63B3BB69-23CF-44E3-9099-C40C66FF867C}">
                  <a14:compatExt spid="_x0000_s26307619"/>
                </a:ext>
                <a:ext uri="{FF2B5EF4-FFF2-40B4-BE49-F238E27FC236}">
                  <a16:creationId xmlns:a16="http://schemas.microsoft.com/office/drawing/2014/main" id="{00000000-0008-0000-1000-000023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307620" name="Check Box 36" hidden="1">
              <a:extLst>
                <a:ext uri="{63B3BB69-23CF-44E3-9099-C40C66FF867C}">
                  <a14:compatExt spid="_x0000_s26307620"/>
                </a:ext>
                <a:ext uri="{FF2B5EF4-FFF2-40B4-BE49-F238E27FC236}">
                  <a16:creationId xmlns:a16="http://schemas.microsoft.com/office/drawing/2014/main" id="{00000000-0008-0000-1000-000024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307621" name="Check Box 37" hidden="1">
              <a:extLst>
                <a:ext uri="{63B3BB69-23CF-44E3-9099-C40C66FF867C}">
                  <a14:compatExt spid="_x0000_s26307621"/>
                </a:ext>
                <a:ext uri="{FF2B5EF4-FFF2-40B4-BE49-F238E27FC236}">
                  <a16:creationId xmlns:a16="http://schemas.microsoft.com/office/drawing/2014/main" id="{00000000-0008-0000-1000-0000256C9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19BF11CF-9B1A-4F0C-B3F0-DCBA993C9DA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CC24AA2B-74B0-445D-8A5C-D1EF09389FD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4705" name="Check Box 1" hidden="1">
              <a:extLst>
                <a:ext uri="{63B3BB69-23CF-44E3-9099-C40C66FF867C}">
                  <a14:compatExt spid="_x0000_s26184705"/>
                </a:ext>
                <a:ext uri="{FF2B5EF4-FFF2-40B4-BE49-F238E27FC236}">
                  <a16:creationId xmlns:a16="http://schemas.microsoft.com/office/drawing/2014/main" id="{00000000-0008-0000-1100-000001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4706" name="Check Box 2" hidden="1">
              <a:extLst>
                <a:ext uri="{63B3BB69-23CF-44E3-9099-C40C66FF867C}">
                  <a14:compatExt spid="_x0000_s26184706"/>
                </a:ext>
                <a:ext uri="{FF2B5EF4-FFF2-40B4-BE49-F238E27FC236}">
                  <a16:creationId xmlns:a16="http://schemas.microsoft.com/office/drawing/2014/main" id="{00000000-0008-0000-1100-000002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4707" name="Check Box 3" hidden="1">
              <a:extLst>
                <a:ext uri="{63B3BB69-23CF-44E3-9099-C40C66FF867C}">
                  <a14:compatExt spid="_x0000_s26184707"/>
                </a:ext>
                <a:ext uri="{FF2B5EF4-FFF2-40B4-BE49-F238E27FC236}">
                  <a16:creationId xmlns:a16="http://schemas.microsoft.com/office/drawing/2014/main" id="{00000000-0008-0000-1100-000003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4708" name="Check Box 4" hidden="1">
              <a:extLst>
                <a:ext uri="{63B3BB69-23CF-44E3-9099-C40C66FF867C}">
                  <a14:compatExt spid="_x0000_s26184708"/>
                </a:ext>
                <a:ext uri="{FF2B5EF4-FFF2-40B4-BE49-F238E27FC236}">
                  <a16:creationId xmlns:a16="http://schemas.microsoft.com/office/drawing/2014/main" id="{00000000-0008-0000-1100-000004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4709" name="Check Box 5" hidden="1">
              <a:extLst>
                <a:ext uri="{63B3BB69-23CF-44E3-9099-C40C66FF867C}">
                  <a14:compatExt spid="_x0000_s26184709"/>
                </a:ext>
                <a:ext uri="{FF2B5EF4-FFF2-40B4-BE49-F238E27FC236}">
                  <a16:creationId xmlns:a16="http://schemas.microsoft.com/office/drawing/2014/main" id="{00000000-0008-0000-1100-000005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4710" name="Check Box 6" hidden="1">
              <a:extLst>
                <a:ext uri="{63B3BB69-23CF-44E3-9099-C40C66FF867C}">
                  <a14:compatExt spid="_x0000_s26184710"/>
                </a:ext>
                <a:ext uri="{FF2B5EF4-FFF2-40B4-BE49-F238E27FC236}">
                  <a16:creationId xmlns:a16="http://schemas.microsoft.com/office/drawing/2014/main" id="{00000000-0008-0000-1100-000006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4711" name="Check Box 7" hidden="1">
              <a:extLst>
                <a:ext uri="{63B3BB69-23CF-44E3-9099-C40C66FF867C}">
                  <a14:compatExt spid="_x0000_s26184711"/>
                </a:ext>
                <a:ext uri="{FF2B5EF4-FFF2-40B4-BE49-F238E27FC236}">
                  <a16:creationId xmlns:a16="http://schemas.microsoft.com/office/drawing/2014/main" id="{00000000-0008-0000-1100-000007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4712" name="Button 8" hidden="1">
              <a:extLst>
                <a:ext uri="{63B3BB69-23CF-44E3-9099-C40C66FF867C}">
                  <a14:compatExt spid="_x0000_s26184712"/>
                </a:ext>
                <a:ext uri="{FF2B5EF4-FFF2-40B4-BE49-F238E27FC236}">
                  <a16:creationId xmlns:a16="http://schemas.microsoft.com/office/drawing/2014/main" id="{00000000-0008-0000-1100-0000088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4713" name="Button 9" hidden="1">
              <a:extLst>
                <a:ext uri="{63B3BB69-23CF-44E3-9099-C40C66FF867C}">
                  <a14:compatExt spid="_x0000_s26184713"/>
                </a:ext>
                <a:ext uri="{FF2B5EF4-FFF2-40B4-BE49-F238E27FC236}">
                  <a16:creationId xmlns:a16="http://schemas.microsoft.com/office/drawing/2014/main" id="{00000000-0008-0000-1100-0000098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4714" name="Check Box 10" hidden="1">
              <a:extLst>
                <a:ext uri="{63B3BB69-23CF-44E3-9099-C40C66FF867C}">
                  <a14:compatExt spid="_x0000_s26184714"/>
                </a:ext>
                <a:ext uri="{FF2B5EF4-FFF2-40B4-BE49-F238E27FC236}">
                  <a16:creationId xmlns:a16="http://schemas.microsoft.com/office/drawing/2014/main" id="{00000000-0008-0000-1100-00000A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4715" name="Button 11" hidden="1">
              <a:extLst>
                <a:ext uri="{63B3BB69-23CF-44E3-9099-C40C66FF867C}">
                  <a14:compatExt spid="_x0000_s26184715"/>
                </a:ext>
                <a:ext uri="{FF2B5EF4-FFF2-40B4-BE49-F238E27FC236}">
                  <a16:creationId xmlns:a16="http://schemas.microsoft.com/office/drawing/2014/main" id="{00000000-0008-0000-1100-00000B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4716" name="Button 12" hidden="1">
              <a:extLst>
                <a:ext uri="{63B3BB69-23CF-44E3-9099-C40C66FF867C}">
                  <a14:compatExt spid="_x0000_s26184716"/>
                </a:ext>
                <a:ext uri="{FF2B5EF4-FFF2-40B4-BE49-F238E27FC236}">
                  <a16:creationId xmlns:a16="http://schemas.microsoft.com/office/drawing/2014/main" id="{00000000-0008-0000-1100-00000C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4717" name="Button 13" hidden="1">
              <a:extLst>
                <a:ext uri="{63B3BB69-23CF-44E3-9099-C40C66FF867C}">
                  <a14:compatExt spid="_x0000_s26184717"/>
                </a:ext>
                <a:ext uri="{FF2B5EF4-FFF2-40B4-BE49-F238E27FC236}">
                  <a16:creationId xmlns:a16="http://schemas.microsoft.com/office/drawing/2014/main" id="{00000000-0008-0000-1100-00000D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4718" name="Button 14" hidden="1">
              <a:extLst>
                <a:ext uri="{63B3BB69-23CF-44E3-9099-C40C66FF867C}">
                  <a14:compatExt spid="_x0000_s26184718"/>
                </a:ext>
                <a:ext uri="{FF2B5EF4-FFF2-40B4-BE49-F238E27FC236}">
                  <a16:creationId xmlns:a16="http://schemas.microsoft.com/office/drawing/2014/main" id="{00000000-0008-0000-1100-00000E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4719" name="Check Box 15" hidden="1">
              <a:extLst>
                <a:ext uri="{63B3BB69-23CF-44E3-9099-C40C66FF867C}">
                  <a14:compatExt spid="_x0000_s26184719"/>
                </a:ext>
                <a:ext uri="{FF2B5EF4-FFF2-40B4-BE49-F238E27FC236}">
                  <a16:creationId xmlns:a16="http://schemas.microsoft.com/office/drawing/2014/main" id="{00000000-0008-0000-1100-00000F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4720" name="Check Box 16" hidden="1">
              <a:extLst>
                <a:ext uri="{63B3BB69-23CF-44E3-9099-C40C66FF867C}">
                  <a14:compatExt spid="_x0000_s26184720"/>
                </a:ext>
                <a:ext uri="{FF2B5EF4-FFF2-40B4-BE49-F238E27FC236}">
                  <a16:creationId xmlns:a16="http://schemas.microsoft.com/office/drawing/2014/main" id="{00000000-0008-0000-1100-000010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4721" name="Check Box 17" hidden="1">
              <a:extLst>
                <a:ext uri="{63B3BB69-23CF-44E3-9099-C40C66FF867C}">
                  <a14:compatExt spid="_x0000_s26184721"/>
                </a:ext>
                <a:ext uri="{FF2B5EF4-FFF2-40B4-BE49-F238E27FC236}">
                  <a16:creationId xmlns:a16="http://schemas.microsoft.com/office/drawing/2014/main" id="{00000000-0008-0000-1100-000011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4722" name="Check Box 18" hidden="1">
              <a:extLst>
                <a:ext uri="{63B3BB69-23CF-44E3-9099-C40C66FF867C}">
                  <a14:compatExt spid="_x0000_s26184722"/>
                </a:ext>
                <a:ext uri="{FF2B5EF4-FFF2-40B4-BE49-F238E27FC236}">
                  <a16:creationId xmlns:a16="http://schemas.microsoft.com/office/drawing/2014/main" id="{00000000-0008-0000-1100-000012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4723" name="Check Box 19" hidden="1">
              <a:extLst>
                <a:ext uri="{63B3BB69-23CF-44E3-9099-C40C66FF867C}">
                  <a14:compatExt spid="_x0000_s26184723"/>
                </a:ext>
                <a:ext uri="{FF2B5EF4-FFF2-40B4-BE49-F238E27FC236}">
                  <a16:creationId xmlns:a16="http://schemas.microsoft.com/office/drawing/2014/main" id="{00000000-0008-0000-1100-000013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4724" name="Check Box 20" hidden="1">
              <a:extLst>
                <a:ext uri="{63B3BB69-23CF-44E3-9099-C40C66FF867C}">
                  <a14:compatExt spid="_x0000_s26184724"/>
                </a:ext>
                <a:ext uri="{FF2B5EF4-FFF2-40B4-BE49-F238E27FC236}">
                  <a16:creationId xmlns:a16="http://schemas.microsoft.com/office/drawing/2014/main" id="{00000000-0008-0000-1100-000014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4725" name="Check Box 21" hidden="1">
              <a:extLst>
                <a:ext uri="{63B3BB69-23CF-44E3-9099-C40C66FF867C}">
                  <a14:compatExt spid="_x0000_s26184725"/>
                </a:ext>
                <a:ext uri="{FF2B5EF4-FFF2-40B4-BE49-F238E27FC236}">
                  <a16:creationId xmlns:a16="http://schemas.microsoft.com/office/drawing/2014/main" id="{00000000-0008-0000-1100-000015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4726" name="Check Box 22" hidden="1">
              <a:extLst>
                <a:ext uri="{63B3BB69-23CF-44E3-9099-C40C66FF867C}">
                  <a14:compatExt spid="_x0000_s26184726"/>
                </a:ext>
                <a:ext uri="{FF2B5EF4-FFF2-40B4-BE49-F238E27FC236}">
                  <a16:creationId xmlns:a16="http://schemas.microsoft.com/office/drawing/2014/main" id="{00000000-0008-0000-1100-000016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4727" name="Check Box 23" hidden="1">
              <a:extLst>
                <a:ext uri="{63B3BB69-23CF-44E3-9099-C40C66FF867C}">
                  <a14:compatExt spid="_x0000_s26184727"/>
                </a:ext>
                <a:ext uri="{FF2B5EF4-FFF2-40B4-BE49-F238E27FC236}">
                  <a16:creationId xmlns:a16="http://schemas.microsoft.com/office/drawing/2014/main" id="{00000000-0008-0000-1100-000017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4728" name="Check Box 24" hidden="1">
              <a:extLst>
                <a:ext uri="{63B3BB69-23CF-44E3-9099-C40C66FF867C}">
                  <a14:compatExt spid="_x0000_s26184728"/>
                </a:ext>
                <a:ext uri="{FF2B5EF4-FFF2-40B4-BE49-F238E27FC236}">
                  <a16:creationId xmlns:a16="http://schemas.microsoft.com/office/drawing/2014/main" id="{00000000-0008-0000-1100-000018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4729" name="Check Box 25" hidden="1">
              <a:extLst>
                <a:ext uri="{63B3BB69-23CF-44E3-9099-C40C66FF867C}">
                  <a14:compatExt spid="_x0000_s26184729"/>
                </a:ext>
                <a:ext uri="{FF2B5EF4-FFF2-40B4-BE49-F238E27FC236}">
                  <a16:creationId xmlns:a16="http://schemas.microsoft.com/office/drawing/2014/main" id="{00000000-0008-0000-1100-000019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4730" name="Check Box 26" hidden="1">
              <a:extLst>
                <a:ext uri="{63B3BB69-23CF-44E3-9099-C40C66FF867C}">
                  <a14:compatExt spid="_x0000_s26184730"/>
                </a:ext>
                <a:ext uri="{FF2B5EF4-FFF2-40B4-BE49-F238E27FC236}">
                  <a16:creationId xmlns:a16="http://schemas.microsoft.com/office/drawing/2014/main" id="{00000000-0008-0000-1100-00001A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4731" name="Check Box 27" hidden="1">
              <a:extLst>
                <a:ext uri="{63B3BB69-23CF-44E3-9099-C40C66FF867C}">
                  <a14:compatExt spid="_x0000_s26184731"/>
                </a:ext>
                <a:ext uri="{FF2B5EF4-FFF2-40B4-BE49-F238E27FC236}">
                  <a16:creationId xmlns:a16="http://schemas.microsoft.com/office/drawing/2014/main" id="{00000000-0008-0000-1100-00001B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4732" name="Button 28" hidden="1">
              <a:extLst>
                <a:ext uri="{63B3BB69-23CF-44E3-9099-C40C66FF867C}">
                  <a14:compatExt spid="_x0000_s26184732"/>
                </a:ext>
                <a:ext uri="{FF2B5EF4-FFF2-40B4-BE49-F238E27FC236}">
                  <a16:creationId xmlns:a16="http://schemas.microsoft.com/office/drawing/2014/main" id="{00000000-0008-0000-1100-00001C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4733" name="Button 29" hidden="1">
              <a:extLst>
                <a:ext uri="{63B3BB69-23CF-44E3-9099-C40C66FF867C}">
                  <a14:compatExt spid="_x0000_s26184733"/>
                </a:ext>
                <a:ext uri="{FF2B5EF4-FFF2-40B4-BE49-F238E27FC236}">
                  <a16:creationId xmlns:a16="http://schemas.microsoft.com/office/drawing/2014/main" id="{00000000-0008-0000-1100-00001D8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4734" name="Check Box 30" hidden="1">
              <a:extLst>
                <a:ext uri="{63B3BB69-23CF-44E3-9099-C40C66FF867C}">
                  <a14:compatExt spid="_x0000_s26184734"/>
                </a:ext>
                <a:ext uri="{FF2B5EF4-FFF2-40B4-BE49-F238E27FC236}">
                  <a16:creationId xmlns:a16="http://schemas.microsoft.com/office/drawing/2014/main" id="{00000000-0008-0000-1100-00001E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4735" name="Check Box 31" hidden="1">
              <a:extLst>
                <a:ext uri="{63B3BB69-23CF-44E3-9099-C40C66FF867C}">
                  <a14:compatExt spid="_x0000_s26184735"/>
                </a:ext>
                <a:ext uri="{FF2B5EF4-FFF2-40B4-BE49-F238E27FC236}">
                  <a16:creationId xmlns:a16="http://schemas.microsoft.com/office/drawing/2014/main" id="{00000000-0008-0000-1100-00001F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4736" name="Check Box 32" hidden="1">
              <a:extLst>
                <a:ext uri="{63B3BB69-23CF-44E3-9099-C40C66FF867C}">
                  <a14:compatExt spid="_x0000_s26184736"/>
                </a:ext>
                <a:ext uri="{FF2B5EF4-FFF2-40B4-BE49-F238E27FC236}">
                  <a16:creationId xmlns:a16="http://schemas.microsoft.com/office/drawing/2014/main" id="{00000000-0008-0000-1100-000020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4737" name="Check Box 33" hidden="1">
              <a:extLst>
                <a:ext uri="{63B3BB69-23CF-44E3-9099-C40C66FF867C}">
                  <a14:compatExt spid="_x0000_s26184737"/>
                </a:ext>
                <a:ext uri="{FF2B5EF4-FFF2-40B4-BE49-F238E27FC236}">
                  <a16:creationId xmlns:a16="http://schemas.microsoft.com/office/drawing/2014/main" id="{00000000-0008-0000-1100-000021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4738" name="Check Box 34" hidden="1">
              <a:extLst>
                <a:ext uri="{63B3BB69-23CF-44E3-9099-C40C66FF867C}">
                  <a14:compatExt spid="_x0000_s26184738"/>
                </a:ext>
                <a:ext uri="{FF2B5EF4-FFF2-40B4-BE49-F238E27FC236}">
                  <a16:creationId xmlns:a16="http://schemas.microsoft.com/office/drawing/2014/main" id="{00000000-0008-0000-1100-000022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4739" name="Check Box 35" hidden="1">
              <a:extLst>
                <a:ext uri="{63B3BB69-23CF-44E3-9099-C40C66FF867C}">
                  <a14:compatExt spid="_x0000_s26184739"/>
                </a:ext>
                <a:ext uri="{FF2B5EF4-FFF2-40B4-BE49-F238E27FC236}">
                  <a16:creationId xmlns:a16="http://schemas.microsoft.com/office/drawing/2014/main" id="{00000000-0008-0000-1100-000023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4740" name="Check Box 36" hidden="1">
              <a:extLst>
                <a:ext uri="{63B3BB69-23CF-44E3-9099-C40C66FF867C}">
                  <a14:compatExt spid="_x0000_s26184740"/>
                </a:ext>
                <a:ext uri="{FF2B5EF4-FFF2-40B4-BE49-F238E27FC236}">
                  <a16:creationId xmlns:a16="http://schemas.microsoft.com/office/drawing/2014/main" id="{00000000-0008-0000-1100-000024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4741" name="Check Box 37" hidden="1">
              <a:extLst>
                <a:ext uri="{63B3BB69-23CF-44E3-9099-C40C66FF867C}">
                  <a14:compatExt spid="_x0000_s26184741"/>
                </a:ext>
                <a:ext uri="{FF2B5EF4-FFF2-40B4-BE49-F238E27FC236}">
                  <a16:creationId xmlns:a16="http://schemas.microsoft.com/office/drawing/2014/main" id="{00000000-0008-0000-1100-0000258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BE3DC1F-3F9C-4F81-8B4D-85D43E77C6C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9B87732-709E-4B0A-A003-1BFAD5CAF83E}"/>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3681" name="Check Box 1" hidden="1">
              <a:extLst>
                <a:ext uri="{63B3BB69-23CF-44E3-9099-C40C66FF867C}">
                  <a14:compatExt spid="_x0000_s26183681"/>
                </a:ext>
                <a:ext uri="{FF2B5EF4-FFF2-40B4-BE49-F238E27FC236}">
                  <a16:creationId xmlns:a16="http://schemas.microsoft.com/office/drawing/2014/main" id="{00000000-0008-0000-1200-000001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3682" name="Check Box 2" hidden="1">
              <a:extLst>
                <a:ext uri="{63B3BB69-23CF-44E3-9099-C40C66FF867C}">
                  <a14:compatExt spid="_x0000_s26183682"/>
                </a:ext>
                <a:ext uri="{FF2B5EF4-FFF2-40B4-BE49-F238E27FC236}">
                  <a16:creationId xmlns:a16="http://schemas.microsoft.com/office/drawing/2014/main" id="{00000000-0008-0000-1200-000002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3683" name="Check Box 3" hidden="1">
              <a:extLst>
                <a:ext uri="{63B3BB69-23CF-44E3-9099-C40C66FF867C}">
                  <a14:compatExt spid="_x0000_s26183683"/>
                </a:ext>
                <a:ext uri="{FF2B5EF4-FFF2-40B4-BE49-F238E27FC236}">
                  <a16:creationId xmlns:a16="http://schemas.microsoft.com/office/drawing/2014/main" id="{00000000-0008-0000-1200-000003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3684" name="Check Box 4" hidden="1">
              <a:extLst>
                <a:ext uri="{63B3BB69-23CF-44E3-9099-C40C66FF867C}">
                  <a14:compatExt spid="_x0000_s26183684"/>
                </a:ext>
                <a:ext uri="{FF2B5EF4-FFF2-40B4-BE49-F238E27FC236}">
                  <a16:creationId xmlns:a16="http://schemas.microsoft.com/office/drawing/2014/main" id="{00000000-0008-0000-1200-000004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3685" name="Check Box 5" hidden="1">
              <a:extLst>
                <a:ext uri="{63B3BB69-23CF-44E3-9099-C40C66FF867C}">
                  <a14:compatExt spid="_x0000_s26183685"/>
                </a:ext>
                <a:ext uri="{FF2B5EF4-FFF2-40B4-BE49-F238E27FC236}">
                  <a16:creationId xmlns:a16="http://schemas.microsoft.com/office/drawing/2014/main" id="{00000000-0008-0000-1200-000005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3686" name="Check Box 6" hidden="1">
              <a:extLst>
                <a:ext uri="{63B3BB69-23CF-44E3-9099-C40C66FF867C}">
                  <a14:compatExt spid="_x0000_s26183686"/>
                </a:ext>
                <a:ext uri="{FF2B5EF4-FFF2-40B4-BE49-F238E27FC236}">
                  <a16:creationId xmlns:a16="http://schemas.microsoft.com/office/drawing/2014/main" id="{00000000-0008-0000-1200-000006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3687" name="Check Box 7" hidden="1">
              <a:extLst>
                <a:ext uri="{63B3BB69-23CF-44E3-9099-C40C66FF867C}">
                  <a14:compatExt spid="_x0000_s26183687"/>
                </a:ext>
                <a:ext uri="{FF2B5EF4-FFF2-40B4-BE49-F238E27FC236}">
                  <a16:creationId xmlns:a16="http://schemas.microsoft.com/office/drawing/2014/main" id="{00000000-0008-0000-1200-000007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3688" name="Button 8" hidden="1">
              <a:extLst>
                <a:ext uri="{63B3BB69-23CF-44E3-9099-C40C66FF867C}">
                  <a14:compatExt spid="_x0000_s26183688"/>
                </a:ext>
                <a:ext uri="{FF2B5EF4-FFF2-40B4-BE49-F238E27FC236}">
                  <a16:creationId xmlns:a16="http://schemas.microsoft.com/office/drawing/2014/main" id="{00000000-0008-0000-1200-0000088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3689" name="Button 9" hidden="1">
              <a:extLst>
                <a:ext uri="{63B3BB69-23CF-44E3-9099-C40C66FF867C}">
                  <a14:compatExt spid="_x0000_s26183689"/>
                </a:ext>
                <a:ext uri="{FF2B5EF4-FFF2-40B4-BE49-F238E27FC236}">
                  <a16:creationId xmlns:a16="http://schemas.microsoft.com/office/drawing/2014/main" id="{00000000-0008-0000-1200-0000098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3690" name="Check Box 10" hidden="1">
              <a:extLst>
                <a:ext uri="{63B3BB69-23CF-44E3-9099-C40C66FF867C}">
                  <a14:compatExt spid="_x0000_s26183690"/>
                </a:ext>
                <a:ext uri="{FF2B5EF4-FFF2-40B4-BE49-F238E27FC236}">
                  <a16:creationId xmlns:a16="http://schemas.microsoft.com/office/drawing/2014/main" id="{00000000-0008-0000-1200-00000A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3691" name="Button 11" hidden="1">
              <a:extLst>
                <a:ext uri="{63B3BB69-23CF-44E3-9099-C40C66FF867C}">
                  <a14:compatExt spid="_x0000_s26183691"/>
                </a:ext>
                <a:ext uri="{FF2B5EF4-FFF2-40B4-BE49-F238E27FC236}">
                  <a16:creationId xmlns:a16="http://schemas.microsoft.com/office/drawing/2014/main" id="{00000000-0008-0000-1200-00000B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3692" name="Button 12" hidden="1">
              <a:extLst>
                <a:ext uri="{63B3BB69-23CF-44E3-9099-C40C66FF867C}">
                  <a14:compatExt spid="_x0000_s26183692"/>
                </a:ext>
                <a:ext uri="{FF2B5EF4-FFF2-40B4-BE49-F238E27FC236}">
                  <a16:creationId xmlns:a16="http://schemas.microsoft.com/office/drawing/2014/main" id="{00000000-0008-0000-1200-00000C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3693" name="Button 13" hidden="1">
              <a:extLst>
                <a:ext uri="{63B3BB69-23CF-44E3-9099-C40C66FF867C}">
                  <a14:compatExt spid="_x0000_s26183693"/>
                </a:ext>
                <a:ext uri="{FF2B5EF4-FFF2-40B4-BE49-F238E27FC236}">
                  <a16:creationId xmlns:a16="http://schemas.microsoft.com/office/drawing/2014/main" id="{00000000-0008-0000-1200-00000D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3694" name="Button 14" hidden="1">
              <a:extLst>
                <a:ext uri="{63B3BB69-23CF-44E3-9099-C40C66FF867C}">
                  <a14:compatExt spid="_x0000_s26183694"/>
                </a:ext>
                <a:ext uri="{FF2B5EF4-FFF2-40B4-BE49-F238E27FC236}">
                  <a16:creationId xmlns:a16="http://schemas.microsoft.com/office/drawing/2014/main" id="{00000000-0008-0000-1200-00000E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3695" name="Check Box 15" hidden="1">
              <a:extLst>
                <a:ext uri="{63B3BB69-23CF-44E3-9099-C40C66FF867C}">
                  <a14:compatExt spid="_x0000_s26183695"/>
                </a:ext>
                <a:ext uri="{FF2B5EF4-FFF2-40B4-BE49-F238E27FC236}">
                  <a16:creationId xmlns:a16="http://schemas.microsoft.com/office/drawing/2014/main" id="{00000000-0008-0000-1200-00000F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3696" name="Check Box 16" hidden="1">
              <a:extLst>
                <a:ext uri="{63B3BB69-23CF-44E3-9099-C40C66FF867C}">
                  <a14:compatExt spid="_x0000_s26183696"/>
                </a:ext>
                <a:ext uri="{FF2B5EF4-FFF2-40B4-BE49-F238E27FC236}">
                  <a16:creationId xmlns:a16="http://schemas.microsoft.com/office/drawing/2014/main" id="{00000000-0008-0000-1200-000010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3697" name="Check Box 17" hidden="1">
              <a:extLst>
                <a:ext uri="{63B3BB69-23CF-44E3-9099-C40C66FF867C}">
                  <a14:compatExt spid="_x0000_s26183697"/>
                </a:ext>
                <a:ext uri="{FF2B5EF4-FFF2-40B4-BE49-F238E27FC236}">
                  <a16:creationId xmlns:a16="http://schemas.microsoft.com/office/drawing/2014/main" id="{00000000-0008-0000-1200-000011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3698" name="Check Box 18" hidden="1">
              <a:extLst>
                <a:ext uri="{63B3BB69-23CF-44E3-9099-C40C66FF867C}">
                  <a14:compatExt spid="_x0000_s26183698"/>
                </a:ext>
                <a:ext uri="{FF2B5EF4-FFF2-40B4-BE49-F238E27FC236}">
                  <a16:creationId xmlns:a16="http://schemas.microsoft.com/office/drawing/2014/main" id="{00000000-0008-0000-1200-000012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3699" name="Check Box 19" hidden="1">
              <a:extLst>
                <a:ext uri="{63B3BB69-23CF-44E3-9099-C40C66FF867C}">
                  <a14:compatExt spid="_x0000_s26183699"/>
                </a:ext>
                <a:ext uri="{FF2B5EF4-FFF2-40B4-BE49-F238E27FC236}">
                  <a16:creationId xmlns:a16="http://schemas.microsoft.com/office/drawing/2014/main" id="{00000000-0008-0000-1200-000013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3700" name="Check Box 20" hidden="1">
              <a:extLst>
                <a:ext uri="{63B3BB69-23CF-44E3-9099-C40C66FF867C}">
                  <a14:compatExt spid="_x0000_s26183700"/>
                </a:ext>
                <a:ext uri="{FF2B5EF4-FFF2-40B4-BE49-F238E27FC236}">
                  <a16:creationId xmlns:a16="http://schemas.microsoft.com/office/drawing/2014/main" id="{00000000-0008-0000-1200-000014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3701" name="Check Box 21" hidden="1">
              <a:extLst>
                <a:ext uri="{63B3BB69-23CF-44E3-9099-C40C66FF867C}">
                  <a14:compatExt spid="_x0000_s26183701"/>
                </a:ext>
                <a:ext uri="{FF2B5EF4-FFF2-40B4-BE49-F238E27FC236}">
                  <a16:creationId xmlns:a16="http://schemas.microsoft.com/office/drawing/2014/main" id="{00000000-0008-0000-1200-000015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3702" name="Check Box 22" hidden="1">
              <a:extLst>
                <a:ext uri="{63B3BB69-23CF-44E3-9099-C40C66FF867C}">
                  <a14:compatExt spid="_x0000_s26183702"/>
                </a:ext>
                <a:ext uri="{FF2B5EF4-FFF2-40B4-BE49-F238E27FC236}">
                  <a16:creationId xmlns:a16="http://schemas.microsoft.com/office/drawing/2014/main" id="{00000000-0008-0000-1200-000016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3703" name="Check Box 23" hidden="1">
              <a:extLst>
                <a:ext uri="{63B3BB69-23CF-44E3-9099-C40C66FF867C}">
                  <a14:compatExt spid="_x0000_s26183703"/>
                </a:ext>
                <a:ext uri="{FF2B5EF4-FFF2-40B4-BE49-F238E27FC236}">
                  <a16:creationId xmlns:a16="http://schemas.microsoft.com/office/drawing/2014/main" id="{00000000-0008-0000-1200-000017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3704" name="Check Box 24" hidden="1">
              <a:extLst>
                <a:ext uri="{63B3BB69-23CF-44E3-9099-C40C66FF867C}">
                  <a14:compatExt spid="_x0000_s26183704"/>
                </a:ext>
                <a:ext uri="{FF2B5EF4-FFF2-40B4-BE49-F238E27FC236}">
                  <a16:creationId xmlns:a16="http://schemas.microsoft.com/office/drawing/2014/main" id="{00000000-0008-0000-1200-000018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3705" name="Check Box 25" hidden="1">
              <a:extLst>
                <a:ext uri="{63B3BB69-23CF-44E3-9099-C40C66FF867C}">
                  <a14:compatExt spid="_x0000_s26183705"/>
                </a:ext>
                <a:ext uri="{FF2B5EF4-FFF2-40B4-BE49-F238E27FC236}">
                  <a16:creationId xmlns:a16="http://schemas.microsoft.com/office/drawing/2014/main" id="{00000000-0008-0000-1200-000019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3706" name="Check Box 26" hidden="1">
              <a:extLst>
                <a:ext uri="{63B3BB69-23CF-44E3-9099-C40C66FF867C}">
                  <a14:compatExt spid="_x0000_s26183706"/>
                </a:ext>
                <a:ext uri="{FF2B5EF4-FFF2-40B4-BE49-F238E27FC236}">
                  <a16:creationId xmlns:a16="http://schemas.microsoft.com/office/drawing/2014/main" id="{00000000-0008-0000-1200-00001A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3707" name="Check Box 27" hidden="1">
              <a:extLst>
                <a:ext uri="{63B3BB69-23CF-44E3-9099-C40C66FF867C}">
                  <a14:compatExt spid="_x0000_s26183707"/>
                </a:ext>
                <a:ext uri="{FF2B5EF4-FFF2-40B4-BE49-F238E27FC236}">
                  <a16:creationId xmlns:a16="http://schemas.microsoft.com/office/drawing/2014/main" id="{00000000-0008-0000-1200-00001B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3708" name="Button 28" hidden="1">
              <a:extLst>
                <a:ext uri="{63B3BB69-23CF-44E3-9099-C40C66FF867C}">
                  <a14:compatExt spid="_x0000_s26183708"/>
                </a:ext>
                <a:ext uri="{FF2B5EF4-FFF2-40B4-BE49-F238E27FC236}">
                  <a16:creationId xmlns:a16="http://schemas.microsoft.com/office/drawing/2014/main" id="{00000000-0008-0000-1200-00001C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3709" name="Button 29" hidden="1">
              <a:extLst>
                <a:ext uri="{63B3BB69-23CF-44E3-9099-C40C66FF867C}">
                  <a14:compatExt spid="_x0000_s26183709"/>
                </a:ext>
                <a:ext uri="{FF2B5EF4-FFF2-40B4-BE49-F238E27FC236}">
                  <a16:creationId xmlns:a16="http://schemas.microsoft.com/office/drawing/2014/main" id="{00000000-0008-0000-1200-00001D8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3710" name="Check Box 30" hidden="1">
              <a:extLst>
                <a:ext uri="{63B3BB69-23CF-44E3-9099-C40C66FF867C}">
                  <a14:compatExt spid="_x0000_s26183710"/>
                </a:ext>
                <a:ext uri="{FF2B5EF4-FFF2-40B4-BE49-F238E27FC236}">
                  <a16:creationId xmlns:a16="http://schemas.microsoft.com/office/drawing/2014/main" id="{00000000-0008-0000-1200-00001E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3711" name="Check Box 31" hidden="1">
              <a:extLst>
                <a:ext uri="{63B3BB69-23CF-44E3-9099-C40C66FF867C}">
                  <a14:compatExt spid="_x0000_s26183711"/>
                </a:ext>
                <a:ext uri="{FF2B5EF4-FFF2-40B4-BE49-F238E27FC236}">
                  <a16:creationId xmlns:a16="http://schemas.microsoft.com/office/drawing/2014/main" id="{00000000-0008-0000-1200-00001F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3712" name="Check Box 32" hidden="1">
              <a:extLst>
                <a:ext uri="{63B3BB69-23CF-44E3-9099-C40C66FF867C}">
                  <a14:compatExt spid="_x0000_s26183712"/>
                </a:ext>
                <a:ext uri="{FF2B5EF4-FFF2-40B4-BE49-F238E27FC236}">
                  <a16:creationId xmlns:a16="http://schemas.microsoft.com/office/drawing/2014/main" id="{00000000-0008-0000-1200-000020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3713" name="Check Box 33" hidden="1">
              <a:extLst>
                <a:ext uri="{63B3BB69-23CF-44E3-9099-C40C66FF867C}">
                  <a14:compatExt spid="_x0000_s26183713"/>
                </a:ext>
                <a:ext uri="{FF2B5EF4-FFF2-40B4-BE49-F238E27FC236}">
                  <a16:creationId xmlns:a16="http://schemas.microsoft.com/office/drawing/2014/main" id="{00000000-0008-0000-1200-000021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3714" name="Check Box 34" hidden="1">
              <a:extLst>
                <a:ext uri="{63B3BB69-23CF-44E3-9099-C40C66FF867C}">
                  <a14:compatExt spid="_x0000_s26183714"/>
                </a:ext>
                <a:ext uri="{FF2B5EF4-FFF2-40B4-BE49-F238E27FC236}">
                  <a16:creationId xmlns:a16="http://schemas.microsoft.com/office/drawing/2014/main" id="{00000000-0008-0000-1200-000022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3715" name="Check Box 35" hidden="1">
              <a:extLst>
                <a:ext uri="{63B3BB69-23CF-44E3-9099-C40C66FF867C}">
                  <a14:compatExt spid="_x0000_s26183715"/>
                </a:ext>
                <a:ext uri="{FF2B5EF4-FFF2-40B4-BE49-F238E27FC236}">
                  <a16:creationId xmlns:a16="http://schemas.microsoft.com/office/drawing/2014/main" id="{00000000-0008-0000-1200-000023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3716" name="Check Box 36" hidden="1">
              <a:extLst>
                <a:ext uri="{63B3BB69-23CF-44E3-9099-C40C66FF867C}">
                  <a14:compatExt spid="_x0000_s26183716"/>
                </a:ext>
                <a:ext uri="{FF2B5EF4-FFF2-40B4-BE49-F238E27FC236}">
                  <a16:creationId xmlns:a16="http://schemas.microsoft.com/office/drawing/2014/main" id="{00000000-0008-0000-1200-000024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3717" name="Check Box 37" hidden="1">
              <a:extLst>
                <a:ext uri="{63B3BB69-23CF-44E3-9099-C40C66FF867C}">
                  <a14:compatExt spid="_x0000_s26183717"/>
                </a:ext>
                <a:ext uri="{FF2B5EF4-FFF2-40B4-BE49-F238E27FC236}">
                  <a16:creationId xmlns:a16="http://schemas.microsoft.com/office/drawing/2014/main" id="{00000000-0008-0000-1200-0000258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40821BFE-1109-42AC-81EF-BCBC1672EB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28CA611-D538-4782-BF95-F1A676D192A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2657" name="Check Box 1" hidden="1">
              <a:extLst>
                <a:ext uri="{63B3BB69-23CF-44E3-9099-C40C66FF867C}">
                  <a14:compatExt spid="_x0000_s26182657"/>
                </a:ext>
                <a:ext uri="{FF2B5EF4-FFF2-40B4-BE49-F238E27FC236}">
                  <a16:creationId xmlns:a16="http://schemas.microsoft.com/office/drawing/2014/main" id="{00000000-0008-0000-1300-000001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2658" name="Check Box 2" hidden="1">
              <a:extLst>
                <a:ext uri="{63B3BB69-23CF-44E3-9099-C40C66FF867C}">
                  <a14:compatExt spid="_x0000_s26182658"/>
                </a:ext>
                <a:ext uri="{FF2B5EF4-FFF2-40B4-BE49-F238E27FC236}">
                  <a16:creationId xmlns:a16="http://schemas.microsoft.com/office/drawing/2014/main" id="{00000000-0008-0000-1300-000002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2659" name="Check Box 3" hidden="1">
              <a:extLst>
                <a:ext uri="{63B3BB69-23CF-44E3-9099-C40C66FF867C}">
                  <a14:compatExt spid="_x0000_s26182659"/>
                </a:ext>
                <a:ext uri="{FF2B5EF4-FFF2-40B4-BE49-F238E27FC236}">
                  <a16:creationId xmlns:a16="http://schemas.microsoft.com/office/drawing/2014/main" id="{00000000-0008-0000-1300-000003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2660" name="Check Box 4" hidden="1">
              <a:extLst>
                <a:ext uri="{63B3BB69-23CF-44E3-9099-C40C66FF867C}">
                  <a14:compatExt spid="_x0000_s26182660"/>
                </a:ext>
                <a:ext uri="{FF2B5EF4-FFF2-40B4-BE49-F238E27FC236}">
                  <a16:creationId xmlns:a16="http://schemas.microsoft.com/office/drawing/2014/main" id="{00000000-0008-0000-1300-000004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2661" name="Check Box 5" hidden="1">
              <a:extLst>
                <a:ext uri="{63B3BB69-23CF-44E3-9099-C40C66FF867C}">
                  <a14:compatExt spid="_x0000_s26182661"/>
                </a:ext>
                <a:ext uri="{FF2B5EF4-FFF2-40B4-BE49-F238E27FC236}">
                  <a16:creationId xmlns:a16="http://schemas.microsoft.com/office/drawing/2014/main" id="{00000000-0008-0000-1300-000005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2662" name="Check Box 6" hidden="1">
              <a:extLst>
                <a:ext uri="{63B3BB69-23CF-44E3-9099-C40C66FF867C}">
                  <a14:compatExt spid="_x0000_s26182662"/>
                </a:ext>
                <a:ext uri="{FF2B5EF4-FFF2-40B4-BE49-F238E27FC236}">
                  <a16:creationId xmlns:a16="http://schemas.microsoft.com/office/drawing/2014/main" id="{00000000-0008-0000-1300-000006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2663" name="Check Box 7" hidden="1">
              <a:extLst>
                <a:ext uri="{63B3BB69-23CF-44E3-9099-C40C66FF867C}">
                  <a14:compatExt spid="_x0000_s26182663"/>
                </a:ext>
                <a:ext uri="{FF2B5EF4-FFF2-40B4-BE49-F238E27FC236}">
                  <a16:creationId xmlns:a16="http://schemas.microsoft.com/office/drawing/2014/main" id="{00000000-0008-0000-1300-000007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2664" name="Button 8" hidden="1">
              <a:extLst>
                <a:ext uri="{63B3BB69-23CF-44E3-9099-C40C66FF867C}">
                  <a14:compatExt spid="_x0000_s26182664"/>
                </a:ext>
                <a:ext uri="{FF2B5EF4-FFF2-40B4-BE49-F238E27FC236}">
                  <a16:creationId xmlns:a16="http://schemas.microsoft.com/office/drawing/2014/main" id="{00000000-0008-0000-1300-0000088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2665" name="Button 9" hidden="1">
              <a:extLst>
                <a:ext uri="{63B3BB69-23CF-44E3-9099-C40C66FF867C}">
                  <a14:compatExt spid="_x0000_s26182665"/>
                </a:ext>
                <a:ext uri="{FF2B5EF4-FFF2-40B4-BE49-F238E27FC236}">
                  <a16:creationId xmlns:a16="http://schemas.microsoft.com/office/drawing/2014/main" id="{00000000-0008-0000-1300-0000098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2666" name="Check Box 10" hidden="1">
              <a:extLst>
                <a:ext uri="{63B3BB69-23CF-44E3-9099-C40C66FF867C}">
                  <a14:compatExt spid="_x0000_s26182666"/>
                </a:ext>
                <a:ext uri="{FF2B5EF4-FFF2-40B4-BE49-F238E27FC236}">
                  <a16:creationId xmlns:a16="http://schemas.microsoft.com/office/drawing/2014/main" id="{00000000-0008-0000-1300-00000A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2667" name="Button 11" hidden="1">
              <a:extLst>
                <a:ext uri="{63B3BB69-23CF-44E3-9099-C40C66FF867C}">
                  <a14:compatExt spid="_x0000_s26182667"/>
                </a:ext>
                <a:ext uri="{FF2B5EF4-FFF2-40B4-BE49-F238E27FC236}">
                  <a16:creationId xmlns:a16="http://schemas.microsoft.com/office/drawing/2014/main" id="{00000000-0008-0000-1300-00000B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2668" name="Button 12" hidden="1">
              <a:extLst>
                <a:ext uri="{63B3BB69-23CF-44E3-9099-C40C66FF867C}">
                  <a14:compatExt spid="_x0000_s26182668"/>
                </a:ext>
                <a:ext uri="{FF2B5EF4-FFF2-40B4-BE49-F238E27FC236}">
                  <a16:creationId xmlns:a16="http://schemas.microsoft.com/office/drawing/2014/main" id="{00000000-0008-0000-1300-00000C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2669" name="Button 13" hidden="1">
              <a:extLst>
                <a:ext uri="{63B3BB69-23CF-44E3-9099-C40C66FF867C}">
                  <a14:compatExt spid="_x0000_s26182669"/>
                </a:ext>
                <a:ext uri="{FF2B5EF4-FFF2-40B4-BE49-F238E27FC236}">
                  <a16:creationId xmlns:a16="http://schemas.microsoft.com/office/drawing/2014/main" id="{00000000-0008-0000-1300-00000D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2670" name="Button 14" hidden="1">
              <a:extLst>
                <a:ext uri="{63B3BB69-23CF-44E3-9099-C40C66FF867C}">
                  <a14:compatExt spid="_x0000_s26182670"/>
                </a:ext>
                <a:ext uri="{FF2B5EF4-FFF2-40B4-BE49-F238E27FC236}">
                  <a16:creationId xmlns:a16="http://schemas.microsoft.com/office/drawing/2014/main" id="{00000000-0008-0000-1300-00000E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2671" name="Check Box 15" hidden="1">
              <a:extLst>
                <a:ext uri="{63B3BB69-23CF-44E3-9099-C40C66FF867C}">
                  <a14:compatExt spid="_x0000_s26182671"/>
                </a:ext>
                <a:ext uri="{FF2B5EF4-FFF2-40B4-BE49-F238E27FC236}">
                  <a16:creationId xmlns:a16="http://schemas.microsoft.com/office/drawing/2014/main" id="{00000000-0008-0000-1300-00000F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2672" name="Check Box 16" hidden="1">
              <a:extLst>
                <a:ext uri="{63B3BB69-23CF-44E3-9099-C40C66FF867C}">
                  <a14:compatExt spid="_x0000_s26182672"/>
                </a:ext>
                <a:ext uri="{FF2B5EF4-FFF2-40B4-BE49-F238E27FC236}">
                  <a16:creationId xmlns:a16="http://schemas.microsoft.com/office/drawing/2014/main" id="{00000000-0008-0000-1300-000010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2673" name="Check Box 17" hidden="1">
              <a:extLst>
                <a:ext uri="{63B3BB69-23CF-44E3-9099-C40C66FF867C}">
                  <a14:compatExt spid="_x0000_s26182673"/>
                </a:ext>
                <a:ext uri="{FF2B5EF4-FFF2-40B4-BE49-F238E27FC236}">
                  <a16:creationId xmlns:a16="http://schemas.microsoft.com/office/drawing/2014/main" id="{00000000-0008-0000-1300-000011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2674" name="Check Box 18" hidden="1">
              <a:extLst>
                <a:ext uri="{63B3BB69-23CF-44E3-9099-C40C66FF867C}">
                  <a14:compatExt spid="_x0000_s26182674"/>
                </a:ext>
                <a:ext uri="{FF2B5EF4-FFF2-40B4-BE49-F238E27FC236}">
                  <a16:creationId xmlns:a16="http://schemas.microsoft.com/office/drawing/2014/main" id="{00000000-0008-0000-1300-000012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2675" name="Check Box 19" hidden="1">
              <a:extLst>
                <a:ext uri="{63B3BB69-23CF-44E3-9099-C40C66FF867C}">
                  <a14:compatExt spid="_x0000_s26182675"/>
                </a:ext>
                <a:ext uri="{FF2B5EF4-FFF2-40B4-BE49-F238E27FC236}">
                  <a16:creationId xmlns:a16="http://schemas.microsoft.com/office/drawing/2014/main" id="{00000000-0008-0000-1300-000013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2676" name="Check Box 20" hidden="1">
              <a:extLst>
                <a:ext uri="{63B3BB69-23CF-44E3-9099-C40C66FF867C}">
                  <a14:compatExt spid="_x0000_s26182676"/>
                </a:ext>
                <a:ext uri="{FF2B5EF4-FFF2-40B4-BE49-F238E27FC236}">
                  <a16:creationId xmlns:a16="http://schemas.microsoft.com/office/drawing/2014/main" id="{00000000-0008-0000-1300-000014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2677" name="Check Box 21" hidden="1">
              <a:extLst>
                <a:ext uri="{63B3BB69-23CF-44E3-9099-C40C66FF867C}">
                  <a14:compatExt spid="_x0000_s26182677"/>
                </a:ext>
                <a:ext uri="{FF2B5EF4-FFF2-40B4-BE49-F238E27FC236}">
                  <a16:creationId xmlns:a16="http://schemas.microsoft.com/office/drawing/2014/main" id="{00000000-0008-0000-1300-000015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2678" name="Check Box 22" hidden="1">
              <a:extLst>
                <a:ext uri="{63B3BB69-23CF-44E3-9099-C40C66FF867C}">
                  <a14:compatExt spid="_x0000_s26182678"/>
                </a:ext>
                <a:ext uri="{FF2B5EF4-FFF2-40B4-BE49-F238E27FC236}">
                  <a16:creationId xmlns:a16="http://schemas.microsoft.com/office/drawing/2014/main" id="{00000000-0008-0000-1300-000016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2679" name="Check Box 23" hidden="1">
              <a:extLst>
                <a:ext uri="{63B3BB69-23CF-44E3-9099-C40C66FF867C}">
                  <a14:compatExt spid="_x0000_s26182679"/>
                </a:ext>
                <a:ext uri="{FF2B5EF4-FFF2-40B4-BE49-F238E27FC236}">
                  <a16:creationId xmlns:a16="http://schemas.microsoft.com/office/drawing/2014/main" id="{00000000-0008-0000-1300-000017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2680" name="Check Box 24" hidden="1">
              <a:extLst>
                <a:ext uri="{63B3BB69-23CF-44E3-9099-C40C66FF867C}">
                  <a14:compatExt spid="_x0000_s26182680"/>
                </a:ext>
                <a:ext uri="{FF2B5EF4-FFF2-40B4-BE49-F238E27FC236}">
                  <a16:creationId xmlns:a16="http://schemas.microsoft.com/office/drawing/2014/main" id="{00000000-0008-0000-1300-000018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2681" name="Check Box 25" hidden="1">
              <a:extLst>
                <a:ext uri="{63B3BB69-23CF-44E3-9099-C40C66FF867C}">
                  <a14:compatExt spid="_x0000_s26182681"/>
                </a:ext>
                <a:ext uri="{FF2B5EF4-FFF2-40B4-BE49-F238E27FC236}">
                  <a16:creationId xmlns:a16="http://schemas.microsoft.com/office/drawing/2014/main" id="{00000000-0008-0000-1300-000019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2682" name="Check Box 26" hidden="1">
              <a:extLst>
                <a:ext uri="{63B3BB69-23CF-44E3-9099-C40C66FF867C}">
                  <a14:compatExt spid="_x0000_s26182682"/>
                </a:ext>
                <a:ext uri="{FF2B5EF4-FFF2-40B4-BE49-F238E27FC236}">
                  <a16:creationId xmlns:a16="http://schemas.microsoft.com/office/drawing/2014/main" id="{00000000-0008-0000-1300-00001A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2683" name="Check Box 27" hidden="1">
              <a:extLst>
                <a:ext uri="{63B3BB69-23CF-44E3-9099-C40C66FF867C}">
                  <a14:compatExt spid="_x0000_s26182683"/>
                </a:ext>
                <a:ext uri="{FF2B5EF4-FFF2-40B4-BE49-F238E27FC236}">
                  <a16:creationId xmlns:a16="http://schemas.microsoft.com/office/drawing/2014/main" id="{00000000-0008-0000-1300-00001B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2684" name="Button 28" hidden="1">
              <a:extLst>
                <a:ext uri="{63B3BB69-23CF-44E3-9099-C40C66FF867C}">
                  <a14:compatExt spid="_x0000_s26182684"/>
                </a:ext>
                <a:ext uri="{FF2B5EF4-FFF2-40B4-BE49-F238E27FC236}">
                  <a16:creationId xmlns:a16="http://schemas.microsoft.com/office/drawing/2014/main" id="{00000000-0008-0000-1300-00001C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2685" name="Button 29" hidden="1">
              <a:extLst>
                <a:ext uri="{63B3BB69-23CF-44E3-9099-C40C66FF867C}">
                  <a14:compatExt spid="_x0000_s26182685"/>
                </a:ext>
                <a:ext uri="{FF2B5EF4-FFF2-40B4-BE49-F238E27FC236}">
                  <a16:creationId xmlns:a16="http://schemas.microsoft.com/office/drawing/2014/main" id="{00000000-0008-0000-1300-00001D8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2686" name="Check Box 30" hidden="1">
              <a:extLst>
                <a:ext uri="{63B3BB69-23CF-44E3-9099-C40C66FF867C}">
                  <a14:compatExt spid="_x0000_s26182686"/>
                </a:ext>
                <a:ext uri="{FF2B5EF4-FFF2-40B4-BE49-F238E27FC236}">
                  <a16:creationId xmlns:a16="http://schemas.microsoft.com/office/drawing/2014/main" id="{00000000-0008-0000-1300-00001E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2687" name="Check Box 31" hidden="1">
              <a:extLst>
                <a:ext uri="{63B3BB69-23CF-44E3-9099-C40C66FF867C}">
                  <a14:compatExt spid="_x0000_s26182687"/>
                </a:ext>
                <a:ext uri="{FF2B5EF4-FFF2-40B4-BE49-F238E27FC236}">
                  <a16:creationId xmlns:a16="http://schemas.microsoft.com/office/drawing/2014/main" id="{00000000-0008-0000-1300-00001F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2688" name="Check Box 32" hidden="1">
              <a:extLst>
                <a:ext uri="{63B3BB69-23CF-44E3-9099-C40C66FF867C}">
                  <a14:compatExt spid="_x0000_s26182688"/>
                </a:ext>
                <a:ext uri="{FF2B5EF4-FFF2-40B4-BE49-F238E27FC236}">
                  <a16:creationId xmlns:a16="http://schemas.microsoft.com/office/drawing/2014/main" id="{00000000-0008-0000-1300-000020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2689" name="Check Box 33" hidden="1">
              <a:extLst>
                <a:ext uri="{63B3BB69-23CF-44E3-9099-C40C66FF867C}">
                  <a14:compatExt spid="_x0000_s26182689"/>
                </a:ext>
                <a:ext uri="{FF2B5EF4-FFF2-40B4-BE49-F238E27FC236}">
                  <a16:creationId xmlns:a16="http://schemas.microsoft.com/office/drawing/2014/main" id="{00000000-0008-0000-1300-000021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2690" name="Check Box 34" hidden="1">
              <a:extLst>
                <a:ext uri="{63B3BB69-23CF-44E3-9099-C40C66FF867C}">
                  <a14:compatExt spid="_x0000_s26182690"/>
                </a:ext>
                <a:ext uri="{FF2B5EF4-FFF2-40B4-BE49-F238E27FC236}">
                  <a16:creationId xmlns:a16="http://schemas.microsoft.com/office/drawing/2014/main" id="{00000000-0008-0000-1300-000022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2691" name="Check Box 35" hidden="1">
              <a:extLst>
                <a:ext uri="{63B3BB69-23CF-44E3-9099-C40C66FF867C}">
                  <a14:compatExt spid="_x0000_s26182691"/>
                </a:ext>
                <a:ext uri="{FF2B5EF4-FFF2-40B4-BE49-F238E27FC236}">
                  <a16:creationId xmlns:a16="http://schemas.microsoft.com/office/drawing/2014/main" id="{00000000-0008-0000-1300-000023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2692" name="Check Box 36" hidden="1">
              <a:extLst>
                <a:ext uri="{63B3BB69-23CF-44E3-9099-C40C66FF867C}">
                  <a14:compatExt spid="_x0000_s26182692"/>
                </a:ext>
                <a:ext uri="{FF2B5EF4-FFF2-40B4-BE49-F238E27FC236}">
                  <a16:creationId xmlns:a16="http://schemas.microsoft.com/office/drawing/2014/main" id="{00000000-0008-0000-1300-000024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2693" name="Check Box 37" hidden="1">
              <a:extLst>
                <a:ext uri="{63B3BB69-23CF-44E3-9099-C40C66FF867C}">
                  <a14:compatExt spid="_x0000_s26182693"/>
                </a:ext>
                <a:ext uri="{FF2B5EF4-FFF2-40B4-BE49-F238E27FC236}">
                  <a16:creationId xmlns:a16="http://schemas.microsoft.com/office/drawing/2014/main" id="{00000000-0008-0000-1300-0000258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8AAA1DF-E38A-4786-AE14-9327A774050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BFF18CC-F14B-4E0D-BFB9-28E79284B48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1633" name="Check Box 1" hidden="1">
              <a:extLst>
                <a:ext uri="{63B3BB69-23CF-44E3-9099-C40C66FF867C}">
                  <a14:compatExt spid="_x0000_s26181633"/>
                </a:ext>
                <a:ext uri="{FF2B5EF4-FFF2-40B4-BE49-F238E27FC236}">
                  <a16:creationId xmlns:a16="http://schemas.microsoft.com/office/drawing/2014/main" id="{00000000-0008-0000-1400-000001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1634" name="Check Box 2" hidden="1">
              <a:extLst>
                <a:ext uri="{63B3BB69-23CF-44E3-9099-C40C66FF867C}">
                  <a14:compatExt spid="_x0000_s26181634"/>
                </a:ext>
                <a:ext uri="{FF2B5EF4-FFF2-40B4-BE49-F238E27FC236}">
                  <a16:creationId xmlns:a16="http://schemas.microsoft.com/office/drawing/2014/main" id="{00000000-0008-0000-1400-000002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1635" name="Check Box 3" hidden="1">
              <a:extLst>
                <a:ext uri="{63B3BB69-23CF-44E3-9099-C40C66FF867C}">
                  <a14:compatExt spid="_x0000_s26181635"/>
                </a:ext>
                <a:ext uri="{FF2B5EF4-FFF2-40B4-BE49-F238E27FC236}">
                  <a16:creationId xmlns:a16="http://schemas.microsoft.com/office/drawing/2014/main" id="{00000000-0008-0000-1400-000003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1636" name="Check Box 4" hidden="1">
              <a:extLst>
                <a:ext uri="{63B3BB69-23CF-44E3-9099-C40C66FF867C}">
                  <a14:compatExt spid="_x0000_s26181636"/>
                </a:ext>
                <a:ext uri="{FF2B5EF4-FFF2-40B4-BE49-F238E27FC236}">
                  <a16:creationId xmlns:a16="http://schemas.microsoft.com/office/drawing/2014/main" id="{00000000-0008-0000-1400-000004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1637" name="Check Box 5" hidden="1">
              <a:extLst>
                <a:ext uri="{63B3BB69-23CF-44E3-9099-C40C66FF867C}">
                  <a14:compatExt spid="_x0000_s26181637"/>
                </a:ext>
                <a:ext uri="{FF2B5EF4-FFF2-40B4-BE49-F238E27FC236}">
                  <a16:creationId xmlns:a16="http://schemas.microsoft.com/office/drawing/2014/main" id="{00000000-0008-0000-1400-000005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1638" name="Check Box 6" hidden="1">
              <a:extLst>
                <a:ext uri="{63B3BB69-23CF-44E3-9099-C40C66FF867C}">
                  <a14:compatExt spid="_x0000_s26181638"/>
                </a:ext>
                <a:ext uri="{FF2B5EF4-FFF2-40B4-BE49-F238E27FC236}">
                  <a16:creationId xmlns:a16="http://schemas.microsoft.com/office/drawing/2014/main" id="{00000000-0008-0000-1400-000006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1639" name="Check Box 7" hidden="1">
              <a:extLst>
                <a:ext uri="{63B3BB69-23CF-44E3-9099-C40C66FF867C}">
                  <a14:compatExt spid="_x0000_s26181639"/>
                </a:ext>
                <a:ext uri="{FF2B5EF4-FFF2-40B4-BE49-F238E27FC236}">
                  <a16:creationId xmlns:a16="http://schemas.microsoft.com/office/drawing/2014/main" id="{00000000-0008-0000-1400-000007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1640" name="Button 8" hidden="1">
              <a:extLst>
                <a:ext uri="{63B3BB69-23CF-44E3-9099-C40C66FF867C}">
                  <a14:compatExt spid="_x0000_s26181640"/>
                </a:ext>
                <a:ext uri="{FF2B5EF4-FFF2-40B4-BE49-F238E27FC236}">
                  <a16:creationId xmlns:a16="http://schemas.microsoft.com/office/drawing/2014/main" id="{00000000-0008-0000-1400-0000088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1641" name="Button 9" hidden="1">
              <a:extLst>
                <a:ext uri="{63B3BB69-23CF-44E3-9099-C40C66FF867C}">
                  <a14:compatExt spid="_x0000_s26181641"/>
                </a:ext>
                <a:ext uri="{FF2B5EF4-FFF2-40B4-BE49-F238E27FC236}">
                  <a16:creationId xmlns:a16="http://schemas.microsoft.com/office/drawing/2014/main" id="{00000000-0008-0000-1400-0000098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1642" name="Check Box 10" hidden="1">
              <a:extLst>
                <a:ext uri="{63B3BB69-23CF-44E3-9099-C40C66FF867C}">
                  <a14:compatExt spid="_x0000_s26181642"/>
                </a:ext>
                <a:ext uri="{FF2B5EF4-FFF2-40B4-BE49-F238E27FC236}">
                  <a16:creationId xmlns:a16="http://schemas.microsoft.com/office/drawing/2014/main" id="{00000000-0008-0000-1400-00000A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1643" name="Button 11" hidden="1">
              <a:extLst>
                <a:ext uri="{63B3BB69-23CF-44E3-9099-C40C66FF867C}">
                  <a14:compatExt spid="_x0000_s26181643"/>
                </a:ext>
                <a:ext uri="{FF2B5EF4-FFF2-40B4-BE49-F238E27FC236}">
                  <a16:creationId xmlns:a16="http://schemas.microsoft.com/office/drawing/2014/main" id="{00000000-0008-0000-1400-00000B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1644" name="Button 12" hidden="1">
              <a:extLst>
                <a:ext uri="{63B3BB69-23CF-44E3-9099-C40C66FF867C}">
                  <a14:compatExt spid="_x0000_s26181644"/>
                </a:ext>
                <a:ext uri="{FF2B5EF4-FFF2-40B4-BE49-F238E27FC236}">
                  <a16:creationId xmlns:a16="http://schemas.microsoft.com/office/drawing/2014/main" id="{00000000-0008-0000-1400-00000C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1645" name="Button 13" hidden="1">
              <a:extLst>
                <a:ext uri="{63B3BB69-23CF-44E3-9099-C40C66FF867C}">
                  <a14:compatExt spid="_x0000_s26181645"/>
                </a:ext>
                <a:ext uri="{FF2B5EF4-FFF2-40B4-BE49-F238E27FC236}">
                  <a16:creationId xmlns:a16="http://schemas.microsoft.com/office/drawing/2014/main" id="{00000000-0008-0000-1400-00000D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1646" name="Button 14" hidden="1">
              <a:extLst>
                <a:ext uri="{63B3BB69-23CF-44E3-9099-C40C66FF867C}">
                  <a14:compatExt spid="_x0000_s26181646"/>
                </a:ext>
                <a:ext uri="{FF2B5EF4-FFF2-40B4-BE49-F238E27FC236}">
                  <a16:creationId xmlns:a16="http://schemas.microsoft.com/office/drawing/2014/main" id="{00000000-0008-0000-1400-00000E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1647" name="Check Box 15" hidden="1">
              <a:extLst>
                <a:ext uri="{63B3BB69-23CF-44E3-9099-C40C66FF867C}">
                  <a14:compatExt spid="_x0000_s26181647"/>
                </a:ext>
                <a:ext uri="{FF2B5EF4-FFF2-40B4-BE49-F238E27FC236}">
                  <a16:creationId xmlns:a16="http://schemas.microsoft.com/office/drawing/2014/main" id="{00000000-0008-0000-1400-00000F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1648" name="Check Box 16" hidden="1">
              <a:extLst>
                <a:ext uri="{63B3BB69-23CF-44E3-9099-C40C66FF867C}">
                  <a14:compatExt spid="_x0000_s26181648"/>
                </a:ext>
                <a:ext uri="{FF2B5EF4-FFF2-40B4-BE49-F238E27FC236}">
                  <a16:creationId xmlns:a16="http://schemas.microsoft.com/office/drawing/2014/main" id="{00000000-0008-0000-1400-000010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1649" name="Check Box 17" hidden="1">
              <a:extLst>
                <a:ext uri="{63B3BB69-23CF-44E3-9099-C40C66FF867C}">
                  <a14:compatExt spid="_x0000_s26181649"/>
                </a:ext>
                <a:ext uri="{FF2B5EF4-FFF2-40B4-BE49-F238E27FC236}">
                  <a16:creationId xmlns:a16="http://schemas.microsoft.com/office/drawing/2014/main" id="{00000000-0008-0000-1400-000011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1650" name="Check Box 18" hidden="1">
              <a:extLst>
                <a:ext uri="{63B3BB69-23CF-44E3-9099-C40C66FF867C}">
                  <a14:compatExt spid="_x0000_s26181650"/>
                </a:ext>
                <a:ext uri="{FF2B5EF4-FFF2-40B4-BE49-F238E27FC236}">
                  <a16:creationId xmlns:a16="http://schemas.microsoft.com/office/drawing/2014/main" id="{00000000-0008-0000-1400-000012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1651" name="Check Box 19" hidden="1">
              <a:extLst>
                <a:ext uri="{63B3BB69-23CF-44E3-9099-C40C66FF867C}">
                  <a14:compatExt spid="_x0000_s26181651"/>
                </a:ext>
                <a:ext uri="{FF2B5EF4-FFF2-40B4-BE49-F238E27FC236}">
                  <a16:creationId xmlns:a16="http://schemas.microsoft.com/office/drawing/2014/main" id="{00000000-0008-0000-1400-000013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1652" name="Check Box 20" hidden="1">
              <a:extLst>
                <a:ext uri="{63B3BB69-23CF-44E3-9099-C40C66FF867C}">
                  <a14:compatExt spid="_x0000_s26181652"/>
                </a:ext>
                <a:ext uri="{FF2B5EF4-FFF2-40B4-BE49-F238E27FC236}">
                  <a16:creationId xmlns:a16="http://schemas.microsoft.com/office/drawing/2014/main" id="{00000000-0008-0000-1400-000014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1653" name="Check Box 21" hidden="1">
              <a:extLst>
                <a:ext uri="{63B3BB69-23CF-44E3-9099-C40C66FF867C}">
                  <a14:compatExt spid="_x0000_s26181653"/>
                </a:ext>
                <a:ext uri="{FF2B5EF4-FFF2-40B4-BE49-F238E27FC236}">
                  <a16:creationId xmlns:a16="http://schemas.microsoft.com/office/drawing/2014/main" id="{00000000-0008-0000-1400-000015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1654" name="Check Box 22" hidden="1">
              <a:extLst>
                <a:ext uri="{63B3BB69-23CF-44E3-9099-C40C66FF867C}">
                  <a14:compatExt spid="_x0000_s26181654"/>
                </a:ext>
                <a:ext uri="{FF2B5EF4-FFF2-40B4-BE49-F238E27FC236}">
                  <a16:creationId xmlns:a16="http://schemas.microsoft.com/office/drawing/2014/main" id="{00000000-0008-0000-1400-000016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1655" name="Check Box 23" hidden="1">
              <a:extLst>
                <a:ext uri="{63B3BB69-23CF-44E3-9099-C40C66FF867C}">
                  <a14:compatExt spid="_x0000_s26181655"/>
                </a:ext>
                <a:ext uri="{FF2B5EF4-FFF2-40B4-BE49-F238E27FC236}">
                  <a16:creationId xmlns:a16="http://schemas.microsoft.com/office/drawing/2014/main" id="{00000000-0008-0000-1400-000017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1656" name="Check Box 24" hidden="1">
              <a:extLst>
                <a:ext uri="{63B3BB69-23CF-44E3-9099-C40C66FF867C}">
                  <a14:compatExt spid="_x0000_s26181656"/>
                </a:ext>
                <a:ext uri="{FF2B5EF4-FFF2-40B4-BE49-F238E27FC236}">
                  <a16:creationId xmlns:a16="http://schemas.microsoft.com/office/drawing/2014/main" id="{00000000-0008-0000-1400-000018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1657" name="Check Box 25" hidden="1">
              <a:extLst>
                <a:ext uri="{63B3BB69-23CF-44E3-9099-C40C66FF867C}">
                  <a14:compatExt spid="_x0000_s26181657"/>
                </a:ext>
                <a:ext uri="{FF2B5EF4-FFF2-40B4-BE49-F238E27FC236}">
                  <a16:creationId xmlns:a16="http://schemas.microsoft.com/office/drawing/2014/main" id="{00000000-0008-0000-1400-000019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1658" name="Check Box 26" hidden="1">
              <a:extLst>
                <a:ext uri="{63B3BB69-23CF-44E3-9099-C40C66FF867C}">
                  <a14:compatExt spid="_x0000_s26181658"/>
                </a:ext>
                <a:ext uri="{FF2B5EF4-FFF2-40B4-BE49-F238E27FC236}">
                  <a16:creationId xmlns:a16="http://schemas.microsoft.com/office/drawing/2014/main" id="{00000000-0008-0000-1400-00001A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1659" name="Check Box 27" hidden="1">
              <a:extLst>
                <a:ext uri="{63B3BB69-23CF-44E3-9099-C40C66FF867C}">
                  <a14:compatExt spid="_x0000_s26181659"/>
                </a:ext>
                <a:ext uri="{FF2B5EF4-FFF2-40B4-BE49-F238E27FC236}">
                  <a16:creationId xmlns:a16="http://schemas.microsoft.com/office/drawing/2014/main" id="{00000000-0008-0000-1400-00001B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1660" name="Button 28" hidden="1">
              <a:extLst>
                <a:ext uri="{63B3BB69-23CF-44E3-9099-C40C66FF867C}">
                  <a14:compatExt spid="_x0000_s26181660"/>
                </a:ext>
                <a:ext uri="{FF2B5EF4-FFF2-40B4-BE49-F238E27FC236}">
                  <a16:creationId xmlns:a16="http://schemas.microsoft.com/office/drawing/2014/main" id="{00000000-0008-0000-1400-00001C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1661" name="Button 29" hidden="1">
              <a:extLst>
                <a:ext uri="{63B3BB69-23CF-44E3-9099-C40C66FF867C}">
                  <a14:compatExt spid="_x0000_s26181661"/>
                </a:ext>
                <a:ext uri="{FF2B5EF4-FFF2-40B4-BE49-F238E27FC236}">
                  <a16:creationId xmlns:a16="http://schemas.microsoft.com/office/drawing/2014/main" id="{00000000-0008-0000-1400-00001D8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1662" name="Check Box 30" hidden="1">
              <a:extLst>
                <a:ext uri="{63B3BB69-23CF-44E3-9099-C40C66FF867C}">
                  <a14:compatExt spid="_x0000_s26181662"/>
                </a:ext>
                <a:ext uri="{FF2B5EF4-FFF2-40B4-BE49-F238E27FC236}">
                  <a16:creationId xmlns:a16="http://schemas.microsoft.com/office/drawing/2014/main" id="{00000000-0008-0000-1400-00001E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1663" name="Check Box 31" hidden="1">
              <a:extLst>
                <a:ext uri="{63B3BB69-23CF-44E3-9099-C40C66FF867C}">
                  <a14:compatExt spid="_x0000_s26181663"/>
                </a:ext>
                <a:ext uri="{FF2B5EF4-FFF2-40B4-BE49-F238E27FC236}">
                  <a16:creationId xmlns:a16="http://schemas.microsoft.com/office/drawing/2014/main" id="{00000000-0008-0000-1400-00001F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1664" name="Check Box 32" hidden="1">
              <a:extLst>
                <a:ext uri="{63B3BB69-23CF-44E3-9099-C40C66FF867C}">
                  <a14:compatExt spid="_x0000_s26181664"/>
                </a:ext>
                <a:ext uri="{FF2B5EF4-FFF2-40B4-BE49-F238E27FC236}">
                  <a16:creationId xmlns:a16="http://schemas.microsoft.com/office/drawing/2014/main" id="{00000000-0008-0000-1400-000020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1665" name="Check Box 33" hidden="1">
              <a:extLst>
                <a:ext uri="{63B3BB69-23CF-44E3-9099-C40C66FF867C}">
                  <a14:compatExt spid="_x0000_s26181665"/>
                </a:ext>
                <a:ext uri="{FF2B5EF4-FFF2-40B4-BE49-F238E27FC236}">
                  <a16:creationId xmlns:a16="http://schemas.microsoft.com/office/drawing/2014/main" id="{00000000-0008-0000-1400-000021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1666" name="Check Box 34" hidden="1">
              <a:extLst>
                <a:ext uri="{63B3BB69-23CF-44E3-9099-C40C66FF867C}">
                  <a14:compatExt spid="_x0000_s26181666"/>
                </a:ext>
                <a:ext uri="{FF2B5EF4-FFF2-40B4-BE49-F238E27FC236}">
                  <a16:creationId xmlns:a16="http://schemas.microsoft.com/office/drawing/2014/main" id="{00000000-0008-0000-1400-000022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1667" name="Check Box 35" hidden="1">
              <a:extLst>
                <a:ext uri="{63B3BB69-23CF-44E3-9099-C40C66FF867C}">
                  <a14:compatExt spid="_x0000_s26181667"/>
                </a:ext>
                <a:ext uri="{FF2B5EF4-FFF2-40B4-BE49-F238E27FC236}">
                  <a16:creationId xmlns:a16="http://schemas.microsoft.com/office/drawing/2014/main" id="{00000000-0008-0000-1400-000023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1668" name="Check Box 36" hidden="1">
              <a:extLst>
                <a:ext uri="{63B3BB69-23CF-44E3-9099-C40C66FF867C}">
                  <a14:compatExt spid="_x0000_s26181668"/>
                </a:ext>
                <a:ext uri="{FF2B5EF4-FFF2-40B4-BE49-F238E27FC236}">
                  <a16:creationId xmlns:a16="http://schemas.microsoft.com/office/drawing/2014/main" id="{00000000-0008-0000-1400-000024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1669" name="Check Box 37" hidden="1">
              <a:extLst>
                <a:ext uri="{63B3BB69-23CF-44E3-9099-C40C66FF867C}">
                  <a14:compatExt spid="_x0000_s26181669"/>
                </a:ext>
                <a:ext uri="{FF2B5EF4-FFF2-40B4-BE49-F238E27FC236}">
                  <a16:creationId xmlns:a16="http://schemas.microsoft.com/office/drawing/2014/main" id="{00000000-0008-0000-1400-0000258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72357B4-8F04-4A45-86D9-0CFF3C8829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E6A43F7-D3A8-4EE1-9EC6-C545E9638F78}"/>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80609" name="Check Box 1" hidden="1">
              <a:extLst>
                <a:ext uri="{63B3BB69-23CF-44E3-9099-C40C66FF867C}">
                  <a14:compatExt spid="_x0000_s26180609"/>
                </a:ext>
                <a:ext uri="{FF2B5EF4-FFF2-40B4-BE49-F238E27FC236}">
                  <a16:creationId xmlns:a16="http://schemas.microsoft.com/office/drawing/2014/main" id="{00000000-0008-0000-1500-000001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80610" name="Check Box 2" hidden="1">
              <a:extLst>
                <a:ext uri="{63B3BB69-23CF-44E3-9099-C40C66FF867C}">
                  <a14:compatExt spid="_x0000_s26180610"/>
                </a:ext>
                <a:ext uri="{FF2B5EF4-FFF2-40B4-BE49-F238E27FC236}">
                  <a16:creationId xmlns:a16="http://schemas.microsoft.com/office/drawing/2014/main" id="{00000000-0008-0000-1500-000002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80611" name="Check Box 3" hidden="1">
              <a:extLst>
                <a:ext uri="{63B3BB69-23CF-44E3-9099-C40C66FF867C}">
                  <a14:compatExt spid="_x0000_s26180611"/>
                </a:ext>
                <a:ext uri="{FF2B5EF4-FFF2-40B4-BE49-F238E27FC236}">
                  <a16:creationId xmlns:a16="http://schemas.microsoft.com/office/drawing/2014/main" id="{00000000-0008-0000-1500-000003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80612" name="Check Box 4" hidden="1">
              <a:extLst>
                <a:ext uri="{63B3BB69-23CF-44E3-9099-C40C66FF867C}">
                  <a14:compatExt spid="_x0000_s26180612"/>
                </a:ext>
                <a:ext uri="{FF2B5EF4-FFF2-40B4-BE49-F238E27FC236}">
                  <a16:creationId xmlns:a16="http://schemas.microsoft.com/office/drawing/2014/main" id="{00000000-0008-0000-1500-000004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80613" name="Check Box 5" hidden="1">
              <a:extLst>
                <a:ext uri="{63B3BB69-23CF-44E3-9099-C40C66FF867C}">
                  <a14:compatExt spid="_x0000_s26180613"/>
                </a:ext>
                <a:ext uri="{FF2B5EF4-FFF2-40B4-BE49-F238E27FC236}">
                  <a16:creationId xmlns:a16="http://schemas.microsoft.com/office/drawing/2014/main" id="{00000000-0008-0000-1500-000005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80614" name="Check Box 6" hidden="1">
              <a:extLst>
                <a:ext uri="{63B3BB69-23CF-44E3-9099-C40C66FF867C}">
                  <a14:compatExt spid="_x0000_s26180614"/>
                </a:ext>
                <a:ext uri="{FF2B5EF4-FFF2-40B4-BE49-F238E27FC236}">
                  <a16:creationId xmlns:a16="http://schemas.microsoft.com/office/drawing/2014/main" id="{00000000-0008-0000-1500-000006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80615" name="Check Box 7" hidden="1">
              <a:extLst>
                <a:ext uri="{63B3BB69-23CF-44E3-9099-C40C66FF867C}">
                  <a14:compatExt spid="_x0000_s26180615"/>
                </a:ext>
                <a:ext uri="{FF2B5EF4-FFF2-40B4-BE49-F238E27FC236}">
                  <a16:creationId xmlns:a16="http://schemas.microsoft.com/office/drawing/2014/main" id="{00000000-0008-0000-1500-000007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80616" name="Button 8" hidden="1">
              <a:extLst>
                <a:ext uri="{63B3BB69-23CF-44E3-9099-C40C66FF867C}">
                  <a14:compatExt spid="_x0000_s26180616"/>
                </a:ext>
                <a:ext uri="{FF2B5EF4-FFF2-40B4-BE49-F238E27FC236}">
                  <a16:creationId xmlns:a16="http://schemas.microsoft.com/office/drawing/2014/main" id="{00000000-0008-0000-1500-0000087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80617" name="Button 9" hidden="1">
              <a:extLst>
                <a:ext uri="{63B3BB69-23CF-44E3-9099-C40C66FF867C}">
                  <a14:compatExt spid="_x0000_s26180617"/>
                </a:ext>
                <a:ext uri="{FF2B5EF4-FFF2-40B4-BE49-F238E27FC236}">
                  <a16:creationId xmlns:a16="http://schemas.microsoft.com/office/drawing/2014/main" id="{00000000-0008-0000-1500-0000097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80618" name="Check Box 10" hidden="1">
              <a:extLst>
                <a:ext uri="{63B3BB69-23CF-44E3-9099-C40C66FF867C}">
                  <a14:compatExt spid="_x0000_s26180618"/>
                </a:ext>
                <a:ext uri="{FF2B5EF4-FFF2-40B4-BE49-F238E27FC236}">
                  <a16:creationId xmlns:a16="http://schemas.microsoft.com/office/drawing/2014/main" id="{00000000-0008-0000-1500-00000A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80619" name="Button 11" hidden="1">
              <a:extLst>
                <a:ext uri="{63B3BB69-23CF-44E3-9099-C40C66FF867C}">
                  <a14:compatExt spid="_x0000_s26180619"/>
                </a:ext>
                <a:ext uri="{FF2B5EF4-FFF2-40B4-BE49-F238E27FC236}">
                  <a16:creationId xmlns:a16="http://schemas.microsoft.com/office/drawing/2014/main" id="{00000000-0008-0000-1500-00000B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80620" name="Button 12" hidden="1">
              <a:extLst>
                <a:ext uri="{63B3BB69-23CF-44E3-9099-C40C66FF867C}">
                  <a14:compatExt spid="_x0000_s26180620"/>
                </a:ext>
                <a:ext uri="{FF2B5EF4-FFF2-40B4-BE49-F238E27FC236}">
                  <a16:creationId xmlns:a16="http://schemas.microsoft.com/office/drawing/2014/main" id="{00000000-0008-0000-1500-00000C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80621" name="Button 13" hidden="1">
              <a:extLst>
                <a:ext uri="{63B3BB69-23CF-44E3-9099-C40C66FF867C}">
                  <a14:compatExt spid="_x0000_s26180621"/>
                </a:ext>
                <a:ext uri="{FF2B5EF4-FFF2-40B4-BE49-F238E27FC236}">
                  <a16:creationId xmlns:a16="http://schemas.microsoft.com/office/drawing/2014/main" id="{00000000-0008-0000-1500-00000D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80622" name="Button 14" hidden="1">
              <a:extLst>
                <a:ext uri="{63B3BB69-23CF-44E3-9099-C40C66FF867C}">
                  <a14:compatExt spid="_x0000_s26180622"/>
                </a:ext>
                <a:ext uri="{FF2B5EF4-FFF2-40B4-BE49-F238E27FC236}">
                  <a16:creationId xmlns:a16="http://schemas.microsoft.com/office/drawing/2014/main" id="{00000000-0008-0000-1500-00000E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80623" name="Check Box 15" hidden="1">
              <a:extLst>
                <a:ext uri="{63B3BB69-23CF-44E3-9099-C40C66FF867C}">
                  <a14:compatExt spid="_x0000_s26180623"/>
                </a:ext>
                <a:ext uri="{FF2B5EF4-FFF2-40B4-BE49-F238E27FC236}">
                  <a16:creationId xmlns:a16="http://schemas.microsoft.com/office/drawing/2014/main" id="{00000000-0008-0000-1500-00000F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80624" name="Check Box 16" hidden="1">
              <a:extLst>
                <a:ext uri="{63B3BB69-23CF-44E3-9099-C40C66FF867C}">
                  <a14:compatExt spid="_x0000_s26180624"/>
                </a:ext>
                <a:ext uri="{FF2B5EF4-FFF2-40B4-BE49-F238E27FC236}">
                  <a16:creationId xmlns:a16="http://schemas.microsoft.com/office/drawing/2014/main" id="{00000000-0008-0000-1500-000010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80625" name="Check Box 17" hidden="1">
              <a:extLst>
                <a:ext uri="{63B3BB69-23CF-44E3-9099-C40C66FF867C}">
                  <a14:compatExt spid="_x0000_s26180625"/>
                </a:ext>
                <a:ext uri="{FF2B5EF4-FFF2-40B4-BE49-F238E27FC236}">
                  <a16:creationId xmlns:a16="http://schemas.microsoft.com/office/drawing/2014/main" id="{00000000-0008-0000-1500-000011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80626" name="Check Box 18" hidden="1">
              <a:extLst>
                <a:ext uri="{63B3BB69-23CF-44E3-9099-C40C66FF867C}">
                  <a14:compatExt spid="_x0000_s26180626"/>
                </a:ext>
                <a:ext uri="{FF2B5EF4-FFF2-40B4-BE49-F238E27FC236}">
                  <a16:creationId xmlns:a16="http://schemas.microsoft.com/office/drawing/2014/main" id="{00000000-0008-0000-1500-000012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80627" name="Check Box 19" hidden="1">
              <a:extLst>
                <a:ext uri="{63B3BB69-23CF-44E3-9099-C40C66FF867C}">
                  <a14:compatExt spid="_x0000_s26180627"/>
                </a:ext>
                <a:ext uri="{FF2B5EF4-FFF2-40B4-BE49-F238E27FC236}">
                  <a16:creationId xmlns:a16="http://schemas.microsoft.com/office/drawing/2014/main" id="{00000000-0008-0000-1500-000013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80628" name="Check Box 20" hidden="1">
              <a:extLst>
                <a:ext uri="{63B3BB69-23CF-44E3-9099-C40C66FF867C}">
                  <a14:compatExt spid="_x0000_s26180628"/>
                </a:ext>
                <a:ext uri="{FF2B5EF4-FFF2-40B4-BE49-F238E27FC236}">
                  <a16:creationId xmlns:a16="http://schemas.microsoft.com/office/drawing/2014/main" id="{00000000-0008-0000-1500-000014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80629" name="Check Box 21" hidden="1">
              <a:extLst>
                <a:ext uri="{63B3BB69-23CF-44E3-9099-C40C66FF867C}">
                  <a14:compatExt spid="_x0000_s26180629"/>
                </a:ext>
                <a:ext uri="{FF2B5EF4-FFF2-40B4-BE49-F238E27FC236}">
                  <a16:creationId xmlns:a16="http://schemas.microsoft.com/office/drawing/2014/main" id="{00000000-0008-0000-1500-000015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80630" name="Check Box 22" hidden="1">
              <a:extLst>
                <a:ext uri="{63B3BB69-23CF-44E3-9099-C40C66FF867C}">
                  <a14:compatExt spid="_x0000_s26180630"/>
                </a:ext>
                <a:ext uri="{FF2B5EF4-FFF2-40B4-BE49-F238E27FC236}">
                  <a16:creationId xmlns:a16="http://schemas.microsoft.com/office/drawing/2014/main" id="{00000000-0008-0000-1500-000016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80631" name="Check Box 23" hidden="1">
              <a:extLst>
                <a:ext uri="{63B3BB69-23CF-44E3-9099-C40C66FF867C}">
                  <a14:compatExt spid="_x0000_s26180631"/>
                </a:ext>
                <a:ext uri="{FF2B5EF4-FFF2-40B4-BE49-F238E27FC236}">
                  <a16:creationId xmlns:a16="http://schemas.microsoft.com/office/drawing/2014/main" id="{00000000-0008-0000-1500-000017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80632" name="Check Box 24" hidden="1">
              <a:extLst>
                <a:ext uri="{63B3BB69-23CF-44E3-9099-C40C66FF867C}">
                  <a14:compatExt spid="_x0000_s26180632"/>
                </a:ext>
                <a:ext uri="{FF2B5EF4-FFF2-40B4-BE49-F238E27FC236}">
                  <a16:creationId xmlns:a16="http://schemas.microsoft.com/office/drawing/2014/main" id="{00000000-0008-0000-1500-000018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80633" name="Check Box 25" hidden="1">
              <a:extLst>
                <a:ext uri="{63B3BB69-23CF-44E3-9099-C40C66FF867C}">
                  <a14:compatExt spid="_x0000_s26180633"/>
                </a:ext>
                <a:ext uri="{FF2B5EF4-FFF2-40B4-BE49-F238E27FC236}">
                  <a16:creationId xmlns:a16="http://schemas.microsoft.com/office/drawing/2014/main" id="{00000000-0008-0000-1500-000019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80634" name="Check Box 26" hidden="1">
              <a:extLst>
                <a:ext uri="{63B3BB69-23CF-44E3-9099-C40C66FF867C}">
                  <a14:compatExt spid="_x0000_s26180634"/>
                </a:ext>
                <a:ext uri="{FF2B5EF4-FFF2-40B4-BE49-F238E27FC236}">
                  <a16:creationId xmlns:a16="http://schemas.microsoft.com/office/drawing/2014/main" id="{00000000-0008-0000-1500-00001A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80635" name="Check Box 27" hidden="1">
              <a:extLst>
                <a:ext uri="{63B3BB69-23CF-44E3-9099-C40C66FF867C}">
                  <a14:compatExt spid="_x0000_s26180635"/>
                </a:ext>
                <a:ext uri="{FF2B5EF4-FFF2-40B4-BE49-F238E27FC236}">
                  <a16:creationId xmlns:a16="http://schemas.microsoft.com/office/drawing/2014/main" id="{00000000-0008-0000-1500-00001B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80636" name="Button 28" hidden="1">
              <a:extLst>
                <a:ext uri="{63B3BB69-23CF-44E3-9099-C40C66FF867C}">
                  <a14:compatExt spid="_x0000_s26180636"/>
                </a:ext>
                <a:ext uri="{FF2B5EF4-FFF2-40B4-BE49-F238E27FC236}">
                  <a16:creationId xmlns:a16="http://schemas.microsoft.com/office/drawing/2014/main" id="{00000000-0008-0000-1500-00001C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80637" name="Button 29" hidden="1">
              <a:extLst>
                <a:ext uri="{63B3BB69-23CF-44E3-9099-C40C66FF867C}">
                  <a14:compatExt spid="_x0000_s26180637"/>
                </a:ext>
                <a:ext uri="{FF2B5EF4-FFF2-40B4-BE49-F238E27FC236}">
                  <a16:creationId xmlns:a16="http://schemas.microsoft.com/office/drawing/2014/main" id="{00000000-0008-0000-1500-00001D7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80638" name="Check Box 30" hidden="1">
              <a:extLst>
                <a:ext uri="{63B3BB69-23CF-44E3-9099-C40C66FF867C}">
                  <a14:compatExt spid="_x0000_s26180638"/>
                </a:ext>
                <a:ext uri="{FF2B5EF4-FFF2-40B4-BE49-F238E27FC236}">
                  <a16:creationId xmlns:a16="http://schemas.microsoft.com/office/drawing/2014/main" id="{00000000-0008-0000-1500-00001E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80639" name="Check Box 31" hidden="1">
              <a:extLst>
                <a:ext uri="{63B3BB69-23CF-44E3-9099-C40C66FF867C}">
                  <a14:compatExt spid="_x0000_s26180639"/>
                </a:ext>
                <a:ext uri="{FF2B5EF4-FFF2-40B4-BE49-F238E27FC236}">
                  <a16:creationId xmlns:a16="http://schemas.microsoft.com/office/drawing/2014/main" id="{00000000-0008-0000-1500-00001F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80640" name="Check Box 32" hidden="1">
              <a:extLst>
                <a:ext uri="{63B3BB69-23CF-44E3-9099-C40C66FF867C}">
                  <a14:compatExt spid="_x0000_s26180640"/>
                </a:ext>
                <a:ext uri="{FF2B5EF4-FFF2-40B4-BE49-F238E27FC236}">
                  <a16:creationId xmlns:a16="http://schemas.microsoft.com/office/drawing/2014/main" id="{00000000-0008-0000-1500-000020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80641" name="Check Box 33" hidden="1">
              <a:extLst>
                <a:ext uri="{63B3BB69-23CF-44E3-9099-C40C66FF867C}">
                  <a14:compatExt spid="_x0000_s26180641"/>
                </a:ext>
                <a:ext uri="{FF2B5EF4-FFF2-40B4-BE49-F238E27FC236}">
                  <a16:creationId xmlns:a16="http://schemas.microsoft.com/office/drawing/2014/main" id="{00000000-0008-0000-1500-000021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80642" name="Check Box 34" hidden="1">
              <a:extLst>
                <a:ext uri="{63B3BB69-23CF-44E3-9099-C40C66FF867C}">
                  <a14:compatExt spid="_x0000_s26180642"/>
                </a:ext>
                <a:ext uri="{FF2B5EF4-FFF2-40B4-BE49-F238E27FC236}">
                  <a16:creationId xmlns:a16="http://schemas.microsoft.com/office/drawing/2014/main" id="{00000000-0008-0000-1500-000022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80643" name="Check Box 35" hidden="1">
              <a:extLst>
                <a:ext uri="{63B3BB69-23CF-44E3-9099-C40C66FF867C}">
                  <a14:compatExt spid="_x0000_s26180643"/>
                </a:ext>
                <a:ext uri="{FF2B5EF4-FFF2-40B4-BE49-F238E27FC236}">
                  <a16:creationId xmlns:a16="http://schemas.microsoft.com/office/drawing/2014/main" id="{00000000-0008-0000-1500-000023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80644" name="Check Box 36" hidden="1">
              <a:extLst>
                <a:ext uri="{63B3BB69-23CF-44E3-9099-C40C66FF867C}">
                  <a14:compatExt spid="_x0000_s26180644"/>
                </a:ext>
                <a:ext uri="{FF2B5EF4-FFF2-40B4-BE49-F238E27FC236}">
                  <a16:creationId xmlns:a16="http://schemas.microsoft.com/office/drawing/2014/main" id="{00000000-0008-0000-1500-000024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80645" name="Check Box 37" hidden="1">
              <a:extLst>
                <a:ext uri="{63B3BB69-23CF-44E3-9099-C40C66FF867C}">
                  <a14:compatExt spid="_x0000_s26180645"/>
                </a:ext>
                <a:ext uri="{FF2B5EF4-FFF2-40B4-BE49-F238E27FC236}">
                  <a16:creationId xmlns:a16="http://schemas.microsoft.com/office/drawing/2014/main" id="{00000000-0008-0000-1500-0000257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CF66E03-9371-48A8-A0FC-F3FF739D41C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68B5847-B779-4F42-BD03-8EE7F7222B2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Crossover and Shed</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9585" name="Check Box 1" hidden="1">
              <a:extLst>
                <a:ext uri="{63B3BB69-23CF-44E3-9099-C40C66FF867C}">
                  <a14:compatExt spid="_x0000_s26179585"/>
                </a:ext>
                <a:ext uri="{FF2B5EF4-FFF2-40B4-BE49-F238E27FC236}">
                  <a16:creationId xmlns:a16="http://schemas.microsoft.com/office/drawing/2014/main" id="{00000000-0008-0000-1600-000001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9586" name="Check Box 2" hidden="1">
              <a:extLst>
                <a:ext uri="{63B3BB69-23CF-44E3-9099-C40C66FF867C}">
                  <a14:compatExt spid="_x0000_s26179586"/>
                </a:ext>
                <a:ext uri="{FF2B5EF4-FFF2-40B4-BE49-F238E27FC236}">
                  <a16:creationId xmlns:a16="http://schemas.microsoft.com/office/drawing/2014/main" id="{00000000-0008-0000-1600-000002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9587" name="Check Box 3" hidden="1">
              <a:extLst>
                <a:ext uri="{63B3BB69-23CF-44E3-9099-C40C66FF867C}">
                  <a14:compatExt spid="_x0000_s26179587"/>
                </a:ext>
                <a:ext uri="{FF2B5EF4-FFF2-40B4-BE49-F238E27FC236}">
                  <a16:creationId xmlns:a16="http://schemas.microsoft.com/office/drawing/2014/main" id="{00000000-0008-0000-1600-000003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9588" name="Check Box 4" hidden="1">
              <a:extLst>
                <a:ext uri="{63B3BB69-23CF-44E3-9099-C40C66FF867C}">
                  <a14:compatExt spid="_x0000_s26179588"/>
                </a:ext>
                <a:ext uri="{FF2B5EF4-FFF2-40B4-BE49-F238E27FC236}">
                  <a16:creationId xmlns:a16="http://schemas.microsoft.com/office/drawing/2014/main" id="{00000000-0008-0000-1600-000004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9589" name="Check Box 5" hidden="1">
              <a:extLst>
                <a:ext uri="{63B3BB69-23CF-44E3-9099-C40C66FF867C}">
                  <a14:compatExt spid="_x0000_s26179589"/>
                </a:ext>
                <a:ext uri="{FF2B5EF4-FFF2-40B4-BE49-F238E27FC236}">
                  <a16:creationId xmlns:a16="http://schemas.microsoft.com/office/drawing/2014/main" id="{00000000-0008-0000-1600-000005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9590" name="Check Box 6" hidden="1">
              <a:extLst>
                <a:ext uri="{63B3BB69-23CF-44E3-9099-C40C66FF867C}">
                  <a14:compatExt spid="_x0000_s26179590"/>
                </a:ext>
                <a:ext uri="{FF2B5EF4-FFF2-40B4-BE49-F238E27FC236}">
                  <a16:creationId xmlns:a16="http://schemas.microsoft.com/office/drawing/2014/main" id="{00000000-0008-0000-1600-000006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9591" name="Check Box 7" hidden="1">
              <a:extLst>
                <a:ext uri="{63B3BB69-23CF-44E3-9099-C40C66FF867C}">
                  <a14:compatExt spid="_x0000_s26179591"/>
                </a:ext>
                <a:ext uri="{FF2B5EF4-FFF2-40B4-BE49-F238E27FC236}">
                  <a16:creationId xmlns:a16="http://schemas.microsoft.com/office/drawing/2014/main" id="{00000000-0008-0000-1600-000007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9592" name="Button 8" hidden="1">
              <a:extLst>
                <a:ext uri="{63B3BB69-23CF-44E3-9099-C40C66FF867C}">
                  <a14:compatExt spid="_x0000_s26179592"/>
                </a:ext>
                <a:ext uri="{FF2B5EF4-FFF2-40B4-BE49-F238E27FC236}">
                  <a16:creationId xmlns:a16="http://schemas.microsoft.com/office/drawing/2014/main" id="{00000000-0008-0000-1600-0000087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9593" name="Button 9" hidden="1">
              <a:extLst>
                <a:ext uri="{63B3BB69-23CF-44E3-9099-C40C66FF867C}">
                  <a14:compatExt spid="_x0000_s26179593"/>
                </a:ext>
                <a:ext uri="{FF2B5EF4-FFF2-40B4-BE49-F238E27FC236}">
                  <a16:creationId xmlns:a16="http://schemas.microsoft.com/office/drawing/2014/main" id="{00000000-0008-0000-1600-00000978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9594" name="Check Box 10" hidden="1">
              <a:extLst>
                <a:ext uri="{63B3BB69-23CF-44E3-9099-C40C66FF867C}">
                  <a14:compatExt spid="_x0000_s26179594"/>
                </a:ext>
                <a:ext uri="{FF2B5EF4-FFF2-40B4-BE49-F238E27FC236}">
                  <a16:creationId xmlns:a16="http://schemas.microsoft.com/office/drawing/2014/main" id="{00000000-0008-0000-1600-00000A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9595" name="Button 11" hidden="1">
              <a:extLst>
                <a:ext uri="{63B3BB69-23CF-44E3-9099-C40C66FF867C}">
                  <a14:compatExt spid="_x0000_s26179595"/>
                </a:ext>
                <a:ext uri="{FF2B5EF4-FFF2-40B4-BE49-F238E27FC236}">
                  <a16:creationId xmlns:a16="http://schemas.microsoft.com/office/drawing/2014/main" id="{00000000-0008-0000-1600-00000B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9596" name="Button 12" hidden="1">
              <a:extLst>
                <a:ext uri="{63B3BB69-23CF-44E3-9099-C40C66FF867C}">
                  <a14:compatExt spid="_x0000_s26179596"/>
                </a:ext>
                <a:ext uri="{FF2B5EF4-FFF2-40B4-BE49-F238E27FC236}">
                  <a16:creationId xmlns:a16="http://schemas.microsoft.com/office/drawing/2014/main" id="{00000000-0008-0000-1600-00000C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9597" name="Button 13" hidden="1">
              <a:extLst>
                <a:ext uri="{63B3BB69-23CF-44E3-9099-C40C66FF867C}">
                  <a14:compatExt spid="_x0000_s26179597"/>
                </a:ext>
                <a:ext uri="{FF2B5EF4-FFF2-40B4-BE49-F238E27FC236}">
                  <a16:creationId xmlns:a16="http://schemas.microsoft.com/office/drawing/2014/main" id="{00000000-0008-0000-1600-00000D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9598" name="Button 14" hidden="1">
              <a:extLst>
                <a:ext uri="{63B3BB69-23CF-44E3-9099-C40C66FF867C}">
                  <a14:compatExt spid="_x0000_s26179598"/>
                </a:ext>
                <a:ext uri="{FF2B5EF4-FFF2-40B4-BE49-F238E27FC236}">
                  <a16:creationId xmlns:a16="http://schemas.microsoft.com/office/drawing/2014/main" id="{00000000-0008-0000-1600-00000E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9599" name="Check Box 15" hidden="1">
              <a:extLst>
                <a:ext uri="{63B3BB69-23CF-44E3-9099-C40C66FF867C}">
                  <a14:compatExt spid="_x0000_s26179599"/>
                </a:ext>
                <a:ext uri="{FF2B5EF4-FFF2-40B4-BE49-F238E27FC236}">
                  <a16:creationId xmlns:a16="http://schemas.microsoft.com/office/drawing/2014/main" id="{00000000-0008-0000-1600-00000F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9600" name="Check Box 16" hidden="1">
              <a:extLst>
                <a:ext uri="{63B3BB69-23CF-44E3-9099-C40C66FF867C}">
                  <a14:compatExt spid="_x0000_s26179600"/>
                </a:ext>
                <a:ext uri="{FF2B5EF4-FFF2-40B4-BE49-F238E27FC236}">
                  <a16:creationId xmlns:a16="http://schemas.microsoft.com/office/drawing/2014/main" id="{00000000-0008-0000-1600-000010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9601" name="Check Box 17" hidden="1">
              <a:extLst>
                <a:ext uri="{63B3BB69-23CF-44E3-9099-C40C66FF867C}">
                  <a14:compatExt spid="_x0000_s26179601"/>
                </a:ext>
                <a:ext uri="{FF2B5EF4-FFF2-40B4-BE49-F238E27FC236}">
                  <a16:creationId xmlns:a16="http://schemas.microsoft.com/office/drawing/2014/main" id="{00000000-0008-0000-1600-000011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9602" name="Check Box 18" hidden="1">
              <a:extLst>
                <a:ext uri="{63B3BB69-23CF-44E3-9099-C40C66FF867C}">
                  <a14:compatExt spid="_x0000_s26179602"/>
                </a:ext>
                <a:ext uri="{FF2B5EF4-FFF2-40B4-BE49-F238E27FC236}">
                  <a16:creationId xmlns:a16="http://schemas.microsoft.com/office/drawing/2014/main" id="{00000000-0008-0000-1600-000012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9603" name="Check Box 19" hidden="1">
              <a:extLst>
                <a:ext uri="{63B3BB69-23CF-44E3-9099-C40C66FF867C}">
                  <a14:compatExt spid="_x0000_s26179603"/>
                </a:ext>
                <a:ext uri="{FF2B5EF4-FFF2-40B4-BE49-F238E27FC236}">
                  <a16:creationId xmlns:a16="http://schemas.microsoft.com/office/drawing/2014/main" id="{00000000-0008-0000-1600-000013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9604" name="Check Box 20" hidden="1">
              <a:extLst>
                <a:ext uri="{63B3BB69-23CF-44E3-9099-C40C66FF867C}">
                  <a14:compatExt spid="_x0000_s26179604"/>
                </a:ext>
                <a:ext uri="{FF2B5EF4-FFF2-40B4-BE49-F238E27FC236}">
                  <a16:creationId xmlns:a16="http://schemas.microsoft.com/office/drawing/2014/main" id="{00000000-0008-0000-1600-000014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9605" name="Check Box 21" hidden="1">
              <a:extLst>
                <a:ext uri="{63B3BB69-23CF-44E3-9099-C40C66FF867C}">
                  <a14:compatExt spid="_x0000_s26179605"/>
                </a:ext>
                <a:ext uri="{FF2B5EF4-FFF2-40B4-BE49-F238E27FC236}">
                  <a16:creationId xmlns:a16="http://schemas.microsoft.com/office/drawing/2014/main" id="{00000000-0008-0000-1600-000015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9606" name="Check Box 22" hidden="1">
              <a:extLst>
                <a:ext uri="{63B3BB69-23CF-44E3-9099-C40C66FF867C}">
                  <a14:compatExt spid="_x0000_s26179606"/>
                </a:ext>
                <a:ext uri="{FF2B5EF4-FFF2-40B4-BE49-F238E27FC236}">
                  <a16:creationId xmlns:a16="http://schemas.microsoft.com/office/drawing/2014/main" id="{00000000-0008-0000-1600-000016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9607" name="Check Box 23" hidden="1">
              <a:extLst>
                <a:ext uri="{63B3BB69-23CF-44E3-9099-C40C66FF867C}">
                  <a14:compatExt spid="_x0000_s26179607"/>
                </a:ext>
                <a:ext uri="{FF2B5EF4-FFF2-40B4-BE49-F238E27FC236}">
                  <a16:creationId xmlns:a16="http://schemas.microsoft.com/office/drawing/2014/main" id="{00000000-0008-0000-1600-000017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9608" name="Check Box 24" hidden="1">
              <a:extLst>
                <a:ext uri="{63B3BB69-23CF-44E3-9099-C40C66FF867C}">
                  <a14:compatExt spid="_x0000_s26179608"/>
                </a:ext>
                <a:ext uri="{FF2B5EF4-FFF2-40B4-BE49-F238E27FC236}">
                  <a16:creationId xmlns:a16="http://schemas.microsoft.com/office/drawing/2014/main" id="{00000000-0008-0000-1600-000018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9609" name="Check Box 25" hidden="1">
              <a:extLst>
                <a:ext uri="{63B3BB69-23CF-44E3-9099-C40C66FF867C}">
                  <a14:compatExt spid="_x0000_s26179609"/>
                </a:ext>
                <a:ext uri="{FF2B5EF4-FFF2-40B4-BE49-F238E27FC236}">
                  <a16:creationId xmlns:a16="http://schemas.microsoft.com/office/drawing/2014/main" id="{00000000-0008-0000-1600-000019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9610" name="Check Box 26" hidden="1">
              <a:extLst>
                <a:ext uri="{63B3BB69-23CF-44E3-9099-C40C66FF867C}">
                  <a14:compatExt spid="_x0000_s26179610"/>
                </a:ext>
                <a:ext uri="{FF2B5EF4-FFF2-40B4-BE49-F238E27FC236}">
                  <a16:creationId xmlns:a16="http://schemas.microsoft.com/office/drawing/2014/main" id="{00000000-0008-0000-1600-00001A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9611" name="Check Box 27" hidden="1">
              <a:extLst>
                <a:ext uri="{63B3BB69-23CF-44E3-9099-C40C66FF867C}">
                  <a14:compatExt spid="_x0000_s26179611"/>
                </a:ext>
                <a:ext uri="{FF2B5EF4-FFF2-40B4-BE49-F238E27FC236}">
                  <a16:creationId xmlns:a16="http://schemas.microsoft.com/office/drawing/2014/main" id="{00000000-0008-0000-1600-00001B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9612" name="Button 28" hidden="1">
              <a:extLst>
                <a:ext uri="{63B3BB69-23CF-44E3-9099-C40C66FF867C}">
                  <a14:compatExt spid="_x0000_s26179612"/>
                </a:ext>
                <a:ext uri="{FF2B5EF4-FFF2-40B4-BE49-F238E27FC236}">
                  <a16:creationId xmlns:a16="http://schemas.microsoft.com/office/drawing/2014/main" id="{00000000-0008-0000-1600-00001C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9613" name="Button 29" hidden="1">
              <a:extLst>
                <a:ext uri="{63B3BB69-23CF-44E3-9099-C40C66FF867C}">
                  <a14:compatExt spid="_x0000_s26179613"/>
                </a:ext>
                <a:ext uri="{FF2B5EF4-FFF2-40B4-BE49-F238E27FC236}">
                  <a16:creationId xmlns:a16="http://schemas.microsoft.com/office/drawing/2014/main" id="{00000000-0008-0000-1600-00001D78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9614" name="Check Box 30" hidden="1">
              <a:extLst>
                <a:ext uri="{63B3BB69-23CF-44E3-9099-C40C66FF867C}">
                  <a14:compatExt spid="_x0000_s26179614"/>
                </a:ext>
                <a:ext uri="{FF2B5EF4-FFF2-40B4-BE49-F238E27FC236}">
                  <a16:creationId xmlns:a16="http://schemas.microsoft.com/office/drawing/2014/main" id="{00000000-0008-0000-1600-00001E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9615" name="Check Box 31" hidden="1">
              <a:extLst>
                <a:ext uri="{63B3BB69-23CF-44E3-9099-C40C66FF867C}">
                  <a14:compatExt spid="_x0000_s26179615"/>
                </a:ext>
                <a:ext uri="{FF2B5EF4-FFF2-40B4-BE49-F238E27FC236}">
                  <a16:creationId xmlns:a16="http://schemas.microsoft.com/office/drawing/2014/main" id="{00000000-0008-0000-1600-00001F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9616" name="Check Box 32" hidden="1">
              <a:extLst>
                <a:ext uri="{63B3BB69-23CF-44E3-9099-C40C66FF867C}">
                  <a14:compatExt spid="_x0000_s26179616"/>
                </a:ext>
                <a:ext uri="{FF2B5EF4-FFF2-40B4-BE49-F238E27FC236}">
                  <a16:creationId xmlns:a16="http://schemas.microsoft.com/office/drawing/2014/main" id="{00000000-0008-0000-1600-000020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9617" name="Check Box 33" hidden="1">
              <a:extLst>
                <a:ext uri="{63B3BB69-23CF-44E3-9099-C40C66FF867C}">
                  <a14:compatExt spid="_x0000_s26179617"/>
                </a:ext>
                <a:ext uri="{FF2B5EF4-FFF2-40B4-BE49-F238E27FC236}">
                  <a16:creationId xmlns:a16="http://schemas.microsoft.com/office/drawing/2014/main" id="{00000000-0008-0000-1600-000021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9618" name="Check Box 34" hidden="1">
              <a:extLst>
                <a:ext uri="{63B3BB69-23CF-44E3-9099-C40C66FF867C}">
                  <a14:compatExt spid="_x0000_s26179618"/>
                </a:ext>
                <a:ext uri="{FF2B5EF4-FFF2-40B4-BE49-F238E27FC236}">
                  <a16:creationId xmlns:a16="http://schemas.microsoft.com/office/drawing/2014/main" id="{00000000-0008-0000-1600-000022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9619" name="Check Box 35" hidden="1">
              <a:extLst>
                <a:ext uri="{63B3BB69-23CF-44E3-9099-C40C66FF867C}">
                  <a14:compatExt spid="_x0000_s26179619"/>
                </a:ext>
                <a:ext uri="{FF2B5EF4-FFF2-40B4-BE49-F238E27FC236}">
                  <a16:creationId xmlns:a16="http://schemas.microsoft.com/office/drawing/2014/main" id="{00000000-0008-0000-1600-000023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9620" name="Check Box 36" hidden="1">
              <a:extLst>
                <a:ext uri="{63B3BB69-23CF-44E3-9099-C40C66FF867C}">
                  <a14:compatExt spid="_x0000_s26179620"/>
                </a:ext>
                <a:ext uri="{FF2B5EF4-FFF2-40B4-BE49-F238E27FC236}">
                  <a16:creationId xmlns:a16="http://schemas.microsoft.com/office/drawing/2014/main" id="{00000000-0008-0000-1600-000024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9621" name="Check Box 37" hidden="1">
              <a:extLst>
                <a:ext uri="{63B3BB69-23CF-44E3-9099-C40C66FF867C}">
                  <a14:compatExt spid="_x0000_s26179621"/>
                </a:ext>
                <a:ext uri="{FF2B5EF4-FFF2-40B4-BE49-F238E27FC236}">
                  <a16:creationId xmlns:a16="http://schemas.microsoft.com/office/drawing/2014/main" id="{00000000-0008-0000-1600-00002578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AF8EC65-33E8-4933-BA29-4652AC6D9B7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FB313CF-5ED0-4094-9D33-F540685B239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8561" name="Check Box 1" hidden="1">
              <a:extLst>
                <a:ext uri="{63B3BB69-23CF-44E3-9099-C40C66FF867C}">
                  <a14:compatExt spid="_x0000_s26178561"/>
                </a:ext>
                <a:ext uri="{FF2B5EF4-FFF2-40B4-BE49-F238E27FC236}">
                  <a16:creationId xmlns:a16="http://schemas.microsoft.com/office/drawing/2014/main" id="{00000000-0008-0000-1700-000001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8562" name="Check Box 2" hidden="1">
              <a:extLst>
                <a:ext uri="{63B3BB69-23CF-44E3-9099-C40C66FF867C}">
                  <a14:compatExt spid="_x0000_s26178562"/>
                </a:ext>
                <a:ext uri="{FF2B5EF4-FFF2-40B4-BE49-F238E27FC236}">
                  <a16:creationId xmlns:a16="http://schemas.microsoft.com/office/drawing/2014/main" id="{00000000-0008-0000-1700-000002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8563" name="Check Box 3" hidden="1">
              <a:extLst>
                <a:ext uri="{63B3BB69-23CF-44E3-9099-C40C66FF867C}">
                  <a14:compatExt spid="_x0000_s26178563"/>
                </a:ext>
                <a:ext uri="{FF2B5EF4-FFF2-40B4-BE49-F238E27FC236}">
                  <a16:creationId xmlns:a16="http://schemas.microsoft.com/office/drawing/2014/main" id="{00000000-0008-0000-1700-000003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8564" name="Check Box 4" hidden="1">
              <a:extLst>
                <a:ext uri="{63B3BB69-23CF-44E3-9099-C40C66FF867C}">
                  <a14:compatExt spid="_x0000_s26178564"/>
                </a:ext>
                <a:ext uri="{FF2B5EF4-FFF2-40B4-BE49-F238E27FC236}">
                  <a16:creationId xmlns:a16="http://schemas.microsoft.com/office/drawing/2014/main" id="{00000000-0008-0000-1700-000004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8565" name="Check Box 5" hidden="1">
              <a:extLst>
                <a:ext uri="{63B3BB69-23CF-44E3-9099-C40C66FF867C}">
                  <a14:compatExt spid="_x0000_s26178565"/>
                </a:ext>
                <a:ext uri="{FF2B5EF4-FFF2-40B4-BE49-F238E27FC236}">
                  <a16:creationId xmlns:a16="http://schemas.microsoft.com/office/drawing/2014/main" id="{00000000-0008-0000-1700-000005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8566" name="Check Box 6" hidden="1">
              <a:extLst>
                <a:ext uri="{63B3BB69-23CF-44E3-9099-C40C66FF867C}">
                  <a14:compatExt spid="_x0000_s26178566"/>
                </a:ext>
                <a:ext uri="{FF2B5EF4-FFF2-40B4-BE49-F238E27FC236}">
                  <a16:creationId xmlns:a16="http://schemas.microsoft.com/office/drawing/2014/main" id="{00000000-0008-0000-1700-000006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8567" name="Check Box 7" hidden="1">
              <a:extLst>
                <a:ext uri="{63B3BB69-23CF-44E3-9099-C40C66FF867C}">
                  <a14:compatExt spid="_x0000_s26178567"/>
                </a:ext>
                <a:ext uri="{FF2B5EF4-FFF2-40B4-BE49-F238E27FC236}">
                  <a16:creationId xmlns:a16="http://schemas.microsoft.com/office/drawing/2014/main" id="{00000000-0008-0000-1700-000007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8568" name="Button 8" hidden="1">
              <a:extLst>
                <a:ext uri="{63B3BB69-23CF-44E3-9099-C40C66FF867C}">
                  <a14:compatExt spid="_x0000_s26178568"/>
                </a:ext>
                <a:ext uri="{FF2B5EF4-FFF2-40B4-BE49-F238E27FC236}">
                  <a16:creationId xmlns:a16="http://schemas.microsoft.com/office/drawing/2014/main" id="{00000000-0008-0000-1700-0000087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8569" name="Button 9" hidden="1">
              <a:extLst>
                <a:ext uri="{63B3BB69-23CF-44E3-9099-C40C66FF867C}">
                  <a14:compatExt spid="_x0000_s26178569"/>
                </a:ext>
                <a:ext uri="{FF2B5EF4-FFF2-40B4-BE49-F238E27FC236}">
                  <a16:creationId xmlns:a16="http://schemas.microsoft.com/office/drawing/2014/main" id="{00000000-0008-0000-1700-00000974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8570" name="Check Box 10" hidden="1">
              <a:extLst>
                <a:ext uri="{63B3BB69-23CF-44E3-9099-C40C66FF867C}">
                  <a14:compatExt spid="_x0000_s26178570"/>
                </a:ext>
                <a:ext uri="{FF2B5EF4-FFF2-40B4-BE49-F238E27FC236}">
                  <a16:creationId xmlns:a16="http://schemas.microsoft.com/office/drawing/2014/main" id="{00000000-0008-0000-1700-00000A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8571" name="Button 11" hidden="1">
              <a:extLst>
                <a:ext uri="{63B3BB69-23CF-44E3-9099-C40C66FF867C}">
                  <a14:compatExt spid="_x0000_s26178571"/>
                </a:ext>
                <a:ext uri="{FF2B5EF4-FFF2-40B4-BE49-F238E27FC236}">
                  <a16:creationId xmlns:a16="http://schemas.microsoft.com/office/drawing/2014/main" id="{00000000-0008-0000-1700-00000B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8572" name="Button 12" hidden="1">
              <a:extLst>
                <a:ext uri="{63B3BB69-23CF-44E3-9099-C40C66FF867C}">
                  <a14:compatExt spid="_x0000_s26178572"/>
                </a:ext>
                <a:ext uri="{FF2B5EF4-FFF2-40B4-BE49-F238E27FC236}">
                  <a16:creationId xmlns:a16="http://schemas.microsoft.com/office/drawing/2014/main" id="{00000000-0008-0000-1700-00000C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8573" name="Button 13" hidden="1">
              <a:extLst>
                <a:ext uri="{63B3BB69-23CF-44E3-9099-C40C66FF867C}">
                  <a14:compatExt spid="_x0000_s26178573"/>
                </a:ext>
                <a:ext uri="{FF2B5EF4-FFF2-40B4-BE49-F238E27FC236}">
                  <a16:creationId xmlns:a16="http://schemas.microsoft.com/office/drawing/2014/main" id="{00000000-0008-0000-1700-00000D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8574" name="Button 14" hidden="1">
              <a:extLst>
                <a:ext uri="{63B3BB69-23CF-44E3-9099-C40C66FF867C}">
                  <a14:compatExt spid="_x0000_s26178574"/>
                </a:ext>
                <a:ext uri="{FF2B5EF4-FFF2-40B4-BE49-F238E27FC236}">
                  <a16:creationId xmlns:a16="http://schemas.microsoft.com/office/drawing/2014/main" id="{00000000-0008-0000-1700-00000E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8575" name="Check Box 15" hidden="1">
              <a:extLst>
                <a:ext uri="{63B3BB69-23CF-44E3-9099-C40C66FF867C}">
                  <a14:compatExt spid="_x0000_s26178575"/>
                </a:ext>
                <a:ext uri="{FF2B5EF4-FFF2-40B4-BE49-F238E27FC236}">
                  <a16:creationId xmlns:a16="http://schemas.microsoft.com/office/drawing/2014/main" id="{00000000-0008-0000-1700-00000F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8576" name="Check Box 16" hidden="1">
              <a:extLst>
                <a:ext uri="{63B3BB69-23CF-44E3-9099-C40C66FF867C}">
                  <a14:compatExt spid="_x0000_s26178576"/>
                </a:ext>
                <a:ext uri="{FF2B5EF4-FFF2-40B4-BE49-F238E27FC236}">
                  <a16:creationId xmlns:a16="http://schemas.microsoft.com/office/drawing/2014/main" id="{00000000-0008-0000-1700-000010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8577" name="Check Box 17" hidden="1">
              <a:extLst>
                <a:ext uri="{63B3BB69-23CF-44E3-9099-C40C66FF867C}">
                  <a14:compatExt spid="_x0000_s26178577"/>
                </a:ext>
                <a:ext uri="{FF2B5EF4-FFF2-40B4-BE49-F238E27FC236}">
                  <a16:creationId xmlns:a16="http://schemas.microsoft.com/office/drawing/2014/main" id="{00000000-0008-0000-1700-000011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8578" name="Check Box 18" hidden="1">
              <a:extLst>
                <a:ext uri="{63B3BB69-23CF-44E3-9099-C40C66FF867C}">
                  <a14:compatExt spid="_x0000_s26178578"/>
                </a:ext>
                <a:ext uri="{FF2B5EF4-FFF2-40B4-BE49-F238E27FC236}">
                  <a16:creationId xmlns:a16="http://schemas.microsoft.com/office/drawing/2014/main" id="{00000000-0008-0000-1700-000012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8579" name="Check Box 19" hidden="1">
              <a:extLst>
                <a:ext uri="{63B3BB69-23CF-44E3-9099-C40C66FF867C}">
                  <a14:compatExt spid="_x0000_s26178579"/>
                </a:ext>
                <a:ext uri="{FF2B5EF4-FFF2-40B4-BE49-F238E27FC236}">
                  <a16:creationId xmlns:a16="http://schemas.microsoft.com/office/drawing/2014/main" id="{00000000-0008-0000-1700-000013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8580" name="Check Box 20" hidden="1">
              <a:extLst>
                <a:ext uri="{63B3BB69-23CF-44E3-9099-C40C66FF867C}">
                  <a14:compatExt spid="_x0000_s26178580"/>
                </a:ext>
                <a:ext uri="{FF2B5EF4-FFF2-40B4-BE49-F238E27FC236}">
                  <a16:creationId xmlns:a16="http://schemas.microsoft.com/office/drawing/2014/main" id="{00000000-0008-0000-1700-000014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8581" name="Check Box 21" hidden="1">
              <a:extLst>
                <a:ext uri="{63B3BB69-23CF-44E3-9099-C40C66FF867C}">
                  <a14:compatExt spid="_x0000_s26178581"/>
                </a:ext>
                <a:ext uri="{FF2B5EF4-FFF2-40B4-BE49-F238E27FC236}">
                  <a16:creationId xmlns:a16="http://schemas.microsoft.com/office/drawing/2014/main" id="{00000000-0008-0000-1700-000015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8582" name="Check Box 22" hidden="1">
              <a:extLst>
                <a:ext uri="{63B3BB69-23CF-44E3-9099-C40C66FF867C}">
                  <a14:compatExt spid="_x0000_s26178582"/>
                </a:ext>
                <a:ext uri="{FF2B5EF4-FFF2-40B4-BE49-F238E27FC236}">
                  <a16:creationId xmlns:a16="http://schemas.microsoft.com/office/drawing/2014/main" id="{00000000-0008-0000-1700-000016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8583" name="Check Box 23" hidden="1">
              <a:extLst>
                <a:ext uri="{63B3BB69-23CF-44E3-9099-C40C66FF867C}">
                  <a14:compatExt spid="_x0000_s26178583"/>
                </a:ext>
                <a:ext uri="{FF2B5EF4-FFF2-40B4-BE49-F238E27FC236}">
                  <a16:creationId xmlns:a16="http://schemas.microsoft.com/office/drawing/2014/main" id="{00000000-0008-0000-1700-000017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8584" name="Check Box 24" hidden="1">
              <a:extLst>
                <a:ext uri="{63B3BB69-23CF-44E3-9099-C40C66FF867C}">
                  <a14:compatExt spid="_x0000_s26178584"/>
                </a:ext>
                <a:ext uri="{FF2B5EF4-FFF2-40B4-BE49-F238E27FC236}">
                  <a16:creationId xmlns:a16="http://schemas.microsoft.com/office/drawing/2014/main" id="{00000000-0008-0000-1700-000018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8585" name="Check Box 25" hidden="1">
              <a:extLst>
                <a:ext uri="{63B3BB69-23CF-44E3-9099-C40C66FF867C}">
                  <a14:compatExt spid="_x0000_s26178585"/>
                </a:ext>
                <a:ext uri="{FF2B5EF4-FFF2-40B4-BE49-F238E27FC236}">
                  <a16:creationId xmlns:a16="http://schemas.microsoft.com/office/drawing/2014/main" id="{00000000-0008-0000-1700-000019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8586" name="Check Box 26" hidden="1">
              <a:extLst>
                <a:ext uri="{63B3BB69-23CF-44E3-9099-C40C66FF867C}">
                  <a14:compatExt spid="_x0000_s26178586"/>
                </a:ext>
                <a:ext uri="{FF2B5EF4-FFF2-40B4-BE49-F238E27FC236}">
                  <a16:creationId xmlns:a16="http://schemas.microsoft.com/office/drawing/2014/main" id="{00000000-0008-0000-1700-00001A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8587" name="Check Box 27" hidden="1">
              <a:extLst>
                <a:ext uri="{63B3BB69-23CF-44E3-9099-C40C66FF867C}">
                  <a14:compatExt spid="_x0000_s26178587"/>
                </a:ext>
                <a:ext uri="{FF2B5EF4-FFF2-40B4-BE49-F238E27FC236}">
                  <a16:creationId xmlns:a16="http://schemas.microsoft.com/office/drawing/2014/main" id="{00000000-0008-0000-1700-00001B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8588" name="Button 28" hidden="1">
              <a:extLst>
                <a:ext uri="{63B3BB69-23CF-44E3-9099-C40C66FF867C}">
                  <a14:compatExt spid="_x0000_s26178588"/>
                </a:ext>
                <a:ext uri="{FF2B5EF4-FFF2-40B4-BE49-F238E27FC236}">
                  <a16:creationId xmlns:a16="http://schemas.microsoft.com/office/drawing/2014/main" id="{00000000-0008-0000-1700-00001C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8589" name="Button 29" hidden="1">
              <a:extLst>
                <a:ext uri="{63B3BB69-23CF-44E3-9099-C40C66FF867C}">
                  <a14:compatExt spid="_x0000_s26178589"/>
                </a:ext>
                <a:ext uri="{FF2B5EF4-FFF2-40B4-BE49-F238E27FC236}">
                  <a16:creationId xmlns:a16="http://schemas.microsoft.com/office/drawing/2014/main" id="{00000000-0008-0000-1700-00001D74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8590" name="Check Box 30" hidden="1">
              <a:extLst>
                <a:ext uri="{63B3BB69-23CF-44E3-9099-C40C66FF867C}">
                  <a14:compatExt spid="_x0000_s26178590"/>
                </a:ext>
                <a:ext uri="{FF2B5EF4-FFF2-40B4-BE49-F238E27FC236}">
                  <a16:creationId xmlns:a16="http://schemas.microsoft.com/office/drawing/2014/main" id="{00000000-0008-0000-1700-00001E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8591" name="Check Box 31" hidden="1">
              <a:extLst>
                <a:ext uri="{63B3BB69-23CF-44E3-9099-C40C66FF867C}">
                  <a14:compatExt spid="_x0000_s26178591"/>
                </a:ext>
                <a:ext uri="{FF2B5EF4-FFF2-40B4-BE49-F238E27FC236}">
                  <a16:creationId xmlns:a16="http://schemas.microsoft.com/office/drawing/2014/main" id="{00000000-0008-0000-1700-00001F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8592" name="Check Box 32" hidden="1">
              <a:extLst>
                <a:ext uri="{63B3BB69-23CF-44E3-9099-C40C66FF867C}">
                  <a14:compatExt spid="_x0000_s26178592"/>
                </a:ext>
                <a:ext uri="{FF2B5EF4-FFF2-40B4-BE49-F238E27FC236}">
                  <a16:creationId xmlns:a16="http://schemas.microsoft.com/office/drawing/2014/main" id="{00000000-0008-0000-1700-000020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8593" name="Check Box 33" hidden="1">
              <a:extLst>
                <a:ext uri="{63B3BB69-23CF-44E3-9099-C40C66FF867C}">
                  <a14:compatExt spid="_x0000_s26178593"/>
                </a:ext>
                <a:ext uri="{FF2B5EF4-FFF2-40B4-BE49-F238E27FC236}">
                  <a16:creationId xmlns:a16="http://schemas.microsoft.com/office/drawing/2014/main" id="{00000000-0008-0000-1700-000021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8594" name="Check Box 34" hidden="1">
              <a:extLst>
                <a:ext uri="{63B3BB69-23CF-44E3-9099-C40C66FF867C}">
                  <a14:compatExt spid="_x0000_s26178594"/>
                </a:ext>
                <a:ext uri="{FF2B5EF4-FFF2-40B4-BE49-F238E27FC236}">
                  <a16:creationId xmlns:a16="http://schemas.microsoft.com/office/drawing/2014/main" id="{00000000-0008-0000-1700-000022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8595" name="Check Box 35" hidden="1">
              <a:extLst>
                <a:ext uri="{63B3BB69-23CF-44E3-9099-C40C66FF867C}">
                  <a14:compatExt spid="_x0000_s26178595"/>
                </a:ext>
                <a:ext uri="{FF2B5EF4-FFF2-40B4-BE49-F238E27FC236}">
                  <a16:creationId xmlns:a16="http://schemas.microsoft.com/office/drawing/2014/main" id="{00000000-0008-0000-1700-000023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8596" name="Check Box 36" hidden="1">
              <a:extLst>
                <a:ext uri="{63B3BB69-23CF-44E3-9099-C40C66FF867C}">
                  <a14:compatExt spid="_x0000_s26178596"/>
                </a:ext>
                <a:ext uri="{FF2B5EF4-FFF2-40B4-BE49-F238E27FC236}">
                  <a16:creationId xmlns:a16="http://schemas.microsoft.com/office/drawing/2014/main" id="{00000000-0008-0000-1700-000024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8597" name="Check Box 37" hidden="1">
              <a:extLst>
                <a:ext uri="{63B3BB69-23CF-44E3-9099-C40C66FF867C}">
                  <a14:compatExt spid="_x0000_s26178597"/>
                </a:ext>
                <a:ext uri="{FF2B5EF4-FFF2-40B4-BE49-F238E27FC236}">
                  <a16:creationId xmlns:a16="http://schemas.microsoft.com/office/drawing/2014/main" id="{00000000-0008-0000-1700-00002574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99DE91C-A17B-497C-A494-2A5E71B9EBF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EC39E52-B472-4B19-A809-93FE4B2AC1D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7537" name="Check Box 1" hidden="1">
              <a:extLst>
                <a:ext uri="{63B3BB69-23CF-44E3-9099-C40C66FF867C}">
                  <a14:compatExt spid="_x0000_s26177537"/>
                </a:ext>
                <a:ext uri="{FF2B5EF4-FFF2-40B4-BE49-F238E27FC236}">
                  <a16:creationId xmlns:a16="http://schemas.microsoft.com/office/drawing/2014/main" id="{00000000-0008-0000-1800-000001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7538" name="Check Box 2" hidden="1">
              <a:extLst>
                <a:ext uri="{63B3BB69-23CF-44E3-9099-C40C66FF867C}">
                  <a14:compatExt spid="_x0000_s26177538"/>
                </a:ext>
                <a:ext uri="{FF2B5EF4-FFF2-40B4-BE49-F238E27FC236}">
                  <a16:creationId xmlns:a16="http://schemas.microsoft.com/office/drawing/2014/main" id="{00000000-0008-0000-1800-000002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7539" name="Check Box 3" hidden="1">
              <a:extLst>
                <a:ext uri="{63B3BB69-23CF-44E3-9099-C40C66FF867C}">
                  <a14:compatExt spid="_x0000_s26177539"/>
                </a:ext>
                <a:ext uri="{FF2B5EF4-FFF2-40B4-BE49-F238E27FC236}">
                  <a16:creationId xmlns:a16="http://schemas.microsoft.com/office/drawing/2014/main" id="{00000000-0008-0000-1800-000003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7540" name="Check Box 4" hidden="1">
              <a:extLst>
                <a:ext uri="{63B3BB69-23CF-44E3-9099-C40C66FF867C}">
                  <a14:compatExt spid="_x0000_s26177540"/>
                </a:ext>
                <a:ext uri="{FF2B5EF4-FFF2-40B4-BE49-F238E27FC236}">
                  <a16:creationId xmlns:a16="http://schemas.microsoft.com/office/drawing/2014/main" id="{00000000-0008-0000-1800-000004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7541" name="Check Box 5" hidden="1">
              <a:extLst>
                <a:ext uri="{63B3BB69-23CF-44E3-9099-C40C66FF867C}">
                  <a14:compatExt spid="_x0000_s26177541"/>
                </a:ext>
                <a:ext uri="{FF2B5EF4-FFF2-40B4-BE49-F238E27FC236}">
                  <a16:creationId xmlns:a16="http://schemas.microsoft.com/office/drawing/2014/main" id="{00000000-0008-0000-1800-000005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7542" name="Check Box 6" hidden="1">
              <a:extLst>
                <a:ext uri="{63B3BB69-23CF-44E3-9099-C40C66FF867C}">
                  <a14:compatExt spid="_x0000_s26177542"/>
                </a:ext>
                <a:ext uri="{FF2B5EF4-FFF2-40B4-BE49-F238E27FC236}">
                  <a16:creationId xmlns:a16="http://schemas.microsoft.com/office/drawing/2014/main" id="{00000000-0008-0000-1800-000006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7543" name="Check Box 7" hidden="1">
              <a:extLst>
                <a:ext uri="{63B3BB69-23CF-44E3-9099-C40C66FF867C}">
                  <a14:compatExt spid="_x0000_s26177543"/>
                </a:ext>
                <a:ext uri="{FF2B5EF4-FFF2-40B4-BE49-F238E27FC236}">
                  <a16:creationId xmlns:a16="http://schemas.microsoft.com/office/drawing/2014/main" id="{00000000-0008-0000-1800-000007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7544" name="Button 8" hidden="1">
              <a:extLst>
                <a:ext uri="{63B3BB69-23CF-44E3-9099-C40C66FF867C}">
                  <a14:compatExt spid="_x0000_s26177544"/>
                </a:ext>
                <a:ext uri="{FF2B5EF4-FFF2-40B4-BE49-F238E27FC236}">
                  <a16:creationId xmlns:a16="http://schemas.microsoft.com/office/drawing/2014/main" id="{00000000-0008-0000-1800-0000087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7545" name="Button 9" hidden="1">
              <a:extLst>
                <a:ext uri="{63B3BB69-23CF-44E3-9099-C40C66FF867C}">
                  <a14:compatExt spid="_x0000_s26177545"/>
                </a:ext>
                <a:ext uri="{FF2B5EF4-FFF2-40B4-BE49-F238E27FC236}">
                  <a16:creationId xmlns:a16="http://schemas.microsoft.com/office/drawing/2014/main" id="{00000000-0008-0000-1800-00000970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7546" name="Check Box 10" hidden="1">
              <a:extLst>
                <a:ext uri="{63B3BB69-23CF-44E3-9099-C40C66FF867C}">
                  <a14:compatExt spid="_x0000_s26177546"/>
                </a:ext>
                <a:ext uri="{FF2B5EF4-FFF2-40B4-BE49-F238E27FC236}">
                  <a16:creationId xmlns:a16="http://schemas.microsoft.com/office/drawing/2014/main" id="{00000000-0008-0000-1800-00000A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7547" name="Button 11" hidden="1">
              <a:extLst>
                <a:ext uri="{63B3BB69-23CF-44E3-9099-C40C66FF867C}">
                  <a14:compatExt spid="_x0000_s26177547"/>
                </a:ext>
                <a:ext uri="{FF2B5EF4-FFF2-40B4-BE49-F238E27FC236}">
                  <a16:creationId xmlns:a16="http://schemas.microsoft.com/office/drawing/2014/main" id="{00000000-0008-0000-1800-00000B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7548" name="Button 12" hidden="1">
              <a:extLst>
                <a:ext uri="{63B3BB69-23CF-44E3-9099-C40C66FF867C}">
                  <a14:compatExt spid="_x0000_s26177548"/>
                </a:ext>
                <a:ext uri="{FF2B5EF4-FFF2-40B4-BE49-F238E27FC236}">
                  <a16:creationId xmlns:a16="http://schemas.microsoft.com/office/drawing/2014/main" id="{00000000-0008-0000-1800-00000C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7549" name="Button 13" hidden="1">
              <a:extLst>
                <a:ext uri="{63B3BB69-23CF-44E3-9099-C40C66FF867C}">
                  <a14:compatExt spid="_x0000_s26177549"/>
                </a:ext>
                <a:ext uri="{FF2B5EF4-FFF2-40B4-BE49-F238E27FC236}">
                  <a16:creationId xmlns:a16="http://schemas.microsoft.com/office/drawing/2014/main" id="{00000000-0008-0000-1800-00000D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7550" name="Button 14" hidden="1">
              <a:extLst>
                <a:ext uri="{63B3BB69-23CF-44E3-9099-C40C66FF867C}">
                  <a14:compatExt spid="_x0000_s26177550"/>
                </a:ext>
                <a:ext uri="{FF2B5EF4-FFF2-40B4-BE49-F238E27FC236}">
                  <a16:creationId xmlns:a16="http://schemas.microsoft.com/office/drawing/2014/main" id="{00000000-0008-0000-1800-00000E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7551" name="Check Box 15" hidden="1">
              <a:extLst>
                <a:ext uri="{63B3BB69-23CF-44E3-9099-C40C66FF867C}">
                  <a14:compatExt spid="_x0000_s26177551"/>
                </a:ext>
                <a:ext uri="{FF2B5EF4-FFF2-40B4-BE49-F238E27FC236}">
                  <a16:creationId xmlns:a16="http://schemas.microsoft.com/office/drawing/2014/main" id="{00000000-0008-0000-1800-00000F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7552" name="Check Box 16" hidden="1">
              <a:extLst>
                <a:ext uri="{63B3BB69-23CF-44E3-9099-C40C66FF867C}">
                  <a14:compatExt spid="_x0000_s26177552"/>
                </a:ext>
                <a:ext uri="{FF2B5EF4-FFF2-40B4-BE49-F238E27FC236}">
                  <a16:creationId xmlns:a16="http://schemas.microsoft.com/office/drawing/2014/main" id="{00000000-0008-0000-1800-000010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7553" name="Check Box 17" hidden="1">
              <a:extLst>
                <a:ext uri="{63B3BB69-23CF-44E3-9099-C40C66FF867C}">
                  <a14:compatExt spid="_x0000_s26177553"/>
                </a:ext>
                <a:ext uri="{FF2B5EF4-FFF2-40B4-BE49-F238E27FC236}">
                  <a16:creationId xmlns:a16="http://schemas.microsoft.com/office/drawing/2014/main" id="{00000000-0008-0000-1800-000011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7554" name="Check Box 18" hidden="1">
              <a:extLst>
                <a:ext uri="{63B3BB69-23CF-44E3-9099-C40C66FF867C}">
                  <a14:compatExt spid="_x0000_s26177554"/>
                </a:ext>
                <a:ext uri="{FF2B5EF4-FFF2-40B4-BE49-F238E27FC236}">
                  <a16:creationId xmlns:a16="http://schemas.microsoft.com/office/drawing/2014/main" id="{00000000-0008-0000-1800-000012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7555" name="Check Box 19" hidden="1">
              <a:extLst>
                <a:ext uri="{63B3BB69-23CF-44E3-9099-C40C66FF867C}">
                  <a14:compatExt spid="_x0000_s26177555"/>
                </a:ext>
                <a:ext uri="{FF2B5EF4-FFF2-40B4-BE49-F238E27FC236}">
                  <a16:creationId xmlns:a16="http://schemas.microsoft.com/office/drawing/2014/main" id="{00000000-0008-0000-1800-000013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7556" name="Check Box 20" hidden="1">
              <a:extLst>
                <a:ext uri="{63B3BB69-23CF-44E3-9099-C40C66FF867C}">
                  <a14:compatExt spid="_x0000_s26177556"/>
                </a:ext>
                <a:ext uri="{FF2B5EF4-FFF2-40B4-BE49-F238E27FC236}">
                  <a16:creationId xmlns:a16="http://schemas.microsoft.com/office/drawing/2014/main" id="{00000000-0008-0000-1800-000014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7557" name="Check Box 21" hidden="1">
              <a:extLst>
                <a:ext uri="{63B3BB69-23CF-44E3-9099-C40C66FF867C}">
                  <a14:compatExt spid="_x0000_s26177557"/>
                </a:ext>
                <a:ext uri="{FF2B5EF4-FFF2-40B4-BE49-F238E27FC236}">
                  <a16:creationId xmlns:a16="http://schemas.microsoft.com/office/drawing/2014/main" id="{00000000-0008-0000-1800-000015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7558" name="Check Box 22" hidden="1">
              <a:extLst>
                <a:ext uri="{63B3BB69-23CF-44E3-9099-C40C66FF867C}">
                  <a14:compatExt spid="_x0000_s26177558"/>
                </a:ext>
                <a:ext uri="{FF2B5EF4-FFF2-40B4-BE49-F238E27FC236}">
                  <a16:creationId xmlns:a16="http://schemas.microsoft.com/office/drawing/2014/main" id="{00000000-0008-0000-1800-000016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7559" name="Check Box 23" hidden="1">
              <a:extLst>
                <a:ext uri="{63B3BB69-23CF-44E3-9099-C40C66FF867C}">
                  <a14:compatExt spid="_x0000_s26177559"/>
                </a:ext>
                <a:ext uri="{FF2B5EF4-FFF2-40B4-BE49-F238E27FC236}">
                  <a16:creationId xmlns:a16="http://schemas.microsoft.com/office/drawing/2014/main" id="{00000000-0008-0000-1800-000017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7560" name="Check Box 24" hidden="1">
              <a:extLst>
                <a:ext uri="{63B3BB69-23CF-44E3-9099-C40C66FF867C}">
                  <a14:compatExt spid="_x0000_s26177560"/>
                </a:ext>
                <a:ext uri="{FF2B5EF4-FFF2-40B4-BE49-F238E27FC236}">
                  <a16:creationId xmlns:a16="http://schemas.microsoft.com/office/drawing/2014/main" id="{00000000-0008-0000-1800-000018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7561" name="Check Box 25" hidden="1">
              <a:extLst>
                <a:ext uri="{63B3BB69-23CF-44E3-9099-C40C66FF867C}">
                  <a14:compatExt spid="_x0000_s26177561"/>
                </a:ext>
                <a:ext uri="{FF2B5EF4-FFF2-40B4-BE49-F238E27FC236}">
                  <a16:creationId xmlns:a16="http://schemas.microsoft.com/office/drawing/2014/main" id="{00000000-0008-0000-1800-000019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7562" name="Check Box 26" hidden="1">
              <a:extLst>
                <a:ext uri="{63B3BB69-23CF-44E3-9099-C40C66FF867C}">
                  <a14:compatExt spid="_x0000_s26177562"/>
                </a:ext>
                <a:ext uri="{FF2B5EF4-FFF2-40B4-BE49-F238E27FC236}">
                  <a16:creationId xmlns:a16="http://schemas.microsoft.com/office/drawing/2014/main" id="{00000000-0008-0000-1800-00001A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7563" name="Check Box 27" hidden="1">
              <a:extLst>
                <a:ext uri="{63B3BB69-23CF-44E3-9099-C40C66FF867C}">
                  <a14:compatExt spid="_x0000_s26177563"/>
                </a:ext>
                <a:ext uri="{FF2B5EF4-FFF2-40B4-BE49-F238E27FC236}">
                  <a16:creationId xmlns:a16="http://schemas.microsoft.com/office/drawing/2014/main" id="{00000000-0008-0000-1800-00001B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7564" name="Button 28" hidden="1">
              <a:extLst>
                <a:ext uri="{63B3BB69-23CF-44E3-9099-C40C66FF867C}">
                  <a14:compatExt spid="_x0000_s26177564"/>
                </a:ext>
                <a:ext uri="{FF2B5EF4-FFF2-40B4-BE49-F238E27FC236}">
                  <a16:creationId xmlns:a16="http://schemas.microsoft.com/office/drawing/2014/main" id="{00000000-0008-0000-1800-00001C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7565" name="Button 29" hidden="1">
              <a:extLst>
                <a:ext uri="{63B3BB69-23CF-44E3-9099-C40C66FF867C}">
                  <a14:compatExt spid="_x0000_s26177565"/>
                </a:ext>
                <a:ext uri="{FF2B5EF4-FFF2-40B4-BE49-F238E27FC236}">
                  <a16:creationId xmlns:a16="http://schemas.microsoft.com/office/drawing/2014/main" id="{00000000-0008-0000-1800-00001D70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7566" name="Check Box 30" hidden="1">
              <a:extLst>
                <a:ext uri="{63B3BB69-23CF-44E3-9099-C40C66FF867C}">
                  <a14:compatExt spid="_x0000_s26177566"/>
                </a:ext>
                <a:ext uri="{FF2B5EF4-FFF2-40B4-BE49-F238E27FC236}">
                  <a16:creationId xmlns:a16="http://schemas.microsoft.com/office/drawing/2014/main" id="{00000000-0008-0000-1800-00001E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7567" name="Check Box 31" hidden="1">
              <a:extLst>
                <a:ext uri="{63B3BB69-23CF-44E3-9099-C40C66FF867C}">
                  <a14:compatExt spid="_x0000_s26177567"/>
                </a:ext>
                <a:ext uri="{FF2B5EF4-FFF2-40B4-BE49-F238E27FC236}">
                  <a16:creationId xmlns:a16="http://schemas.microsoft.com/office/drawing/2014/main" id="{00000000-0008-0000-1800-00001F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7568" name="Check Box 32" hidden="1">
              <a:extLst>
                <a:ext uri="{63B3BB69-23CF-44E3-9099-C40C66FF867C}">
                  <a14:compatExt spid="_x0000_s26177568"/>
                </a:ext>
                <a:ext uri="{FF2B5EF4-FFF2-40B4-BE49-F238E27FC236}">
                  <a16:creationId xmlns:a16="http://schemas.microsoft.com/office/drawing/2014/main" id="{00000000-0008-0000-1800-000020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7569" name="Check Box 33" hidden="1">
              <a:extLst>
                <a:ext uri="{63B3BB69-23CF-44E3-9099-C40C66FF867C}">
                  <a14:compatExt spid="_x0000_s26177569"/>
                </a:ext>
                <a:ext uri="{FF2B5EF4-FFF2-40B4-BE49-F238E27FC236}">
                  <a16:creationId xmlns:a16="http://schemas.microsoft.com/office/drawing/2014/main" id="{00000000-0008-0000-1800-000021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7570" name="Check Box 34" hidden="1">
              <a:extLst>
                <a:ext uri="{63B3BB69-23CF-44E3-9099-C40C66FF867C}">
                  <a14:compatExt spid="_x0000_s26177570"/>
                </a:ext>
                <a:ext uri="{FF2B5EF4-FFF2-40B4-BE49-F238E27FC236}">
                  <a16:creationId xmlns:a16="http://schemas.microsoft.com/office/drawing/2014/main" id="{00000000-0008-0000-1800-000022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7571" name="Check Box 35" hidden="1">
              <a:extLst>
                <a:ext uri="{63B3BB69-23CF-44E3-9099-C40C66FF867C}">
                  <a14:compatExt spid="_x0000_s26177571"/>
                </a:ext>
                <a:ext uri="{FF2B5EF4-FFF2-40B4-BE49-F238E27FC236}">
                  <a16:creationId xmlns:a16="http://schemas.microsoft.com/office/drawing/2014/main" id="{00000000-0008-0000-1800-000023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7572" name="Check Box 36" hidden="1">
              <a:extLst>
                <a:ext uri="{63B3BB69-23CF-44E3-9099-C40C66FF867C}">
                  <a14:compatExt spid="_x0000_s26177572"/>
                </a:ext>
                <a:ext uri="{FF2B5EF4-FFF2-40B4-BE49-F238E27FC236}">
                  <a16:creationId xmlns:a16="http://schemas.microsoft.com/office/drawing/2014/main" id="{00000000-0008-0000-1800-000024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7573" name="Check Box 37" hidden="1">
              <a:extLst>
                <a:ext uri="{63B3BB69-23CF-44E3-9099-C40C66FF867C}">
                  <a14:compatExt spid="_x0000_s26177573"/>
                </a:ext>
                <a:ext uri="{FF2B5EF4-FFF2-40B4-BE49-F238E27FC236}">
                  <a16:creationId xmlns:a16="http://schemas.microsoft.com/office/drawing/2014/main" id="{00000000-0008-0000-1800-00002570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CC7701B2-348C-4D5A-AF8B-11D3528B23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C7ECE6F1-055B-4AA8-A183-70CCF8BA6C6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176513" name="Check Box 1" hidden="1">
              <a:extLst>
                <a:ext uri="{63B3BB69-23CF-44E3-9099-C40C66FF867C}">
                  <a14:compatExt spid="_x0000_s26176513"/>
                </a:ext>
                <a:ext uri="{FF2B5EF4-FFF2-40B4-BE49-F238E27FC236}">
                  <a16:creationId xmlns:a16="http://schemas.microsoft.com/office/drawing/2014/main" id="{00000000-0008-0000-1900-000001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176514" name="Check Box 2" hidden="1">
              <a:extLst>
                <a:ext uri="{63B3BB69-23CF-44E3-9099-C40C66FF867C}">
                  <a14:compatExt spid="_x0000_s26176514"/>
                </a:ext>
                <a:ext uri="{FF2B5EF4-FFF2-40B4-BE49-F238E27FC236}">
                  <a16:creationId xmlns:a16="http://schemas.microsoft.com/office/drawing/2014/main" id="{00000000-0008-0000-1900-000002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176515" name="Check Box 3" hidden="1">
              <a:extLst>
                <a:ext uri="{63B3BB69-23CF-44E3-9099-C40C66FF867C}">
                  <a14:compatExt spid="_x0000_s26176515"/>
                </a:ext>
                <a:ext uri="{FF2B5EF4-FFF2-40B4-BE49-F238E27FC236}">
                  <a16:creationId xmlns:a16="http://schemas.microsoft.com/office/drawing/2014/main" id="{00000000-0008-0000-1900-000003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176516" name="Check Box 4" hidden="1">
              <a:extLst>
                <a:ext uri="{63B3BB69-23CF-44E3-9099-C40C66FF867C}">
                  <a14:compatExt spid="_x0000_s26176516"/>
                </a:ext>
                <a:ext uri="{FF2B5EF4-FFF2-40B4-BE49-F238E27FC236}">
                  <a16:creationId xmlns:a16="http://schemas.microsoft.com/office/drawing/2014/main" id="{00000000-0008-0000-1900-000004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176517" name="Check Box 5" hidden="1">
              <a:extLst>
                <a:ext uri="{63B3BB69-23CF-44E3-9099-C40C66FF867C}">
                  <a14:compatExt spid="_x0000_s26176517"/>
                </a:ext>
                <a:ext uri="{FF2B5EF4-FFF2-40B4-BE49-F238E27FC236}">
                  <a16:creationId xmlns:a16="http://schemas.microsoft.com/office/drawing/2014/main" id="{00000000-0008-0000-1900-000005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176518" name="Check Box 6" hidden="1">
              <a:extLst>
                <a:ext uri="{63B3BB69-23CF-44E3-9099-C40C66FF867C}">
                  <a14:compatExt spid="_x0000_s26176518"/>
                </a:ext>
                <a:ext uri="{FF2B5EF4-FFF2-40B4-BE49-F238E27FC236}">
                  <a16:creationId xmlns:a16="http://schemas.microsoft.com/office/drawing/2014/main" id="{00000000-0008-0000-1900-000006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176519" name="Check Box 7" hidden="1">
              <a:extLst>
                <a:ext uri="{63B3BB69-23CF-44E3-9099-C40C66FF867C}">
                  <a14:compatExt spid="_x0000_s26176519"/>
                </a:ext>
                <a:ext uri="{FF2B5EF4-FFF2-40B4-BE49-F238E27FC236}">
                  <a16:creationId xmlns:a16="http://schemas.microsoft.com/office/drawing/2014/main" id="{00000000-0008-0000-1900-000007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176520" name="Button 8" hidden="1">
              <a:extLst>
                <a:ext uri="{63B3BB69-23CF-44E3-9099-C40C66FF867C}">
                  <a14:compatExt spid="_x0000_s26176520"/>
                </a:ext>
                <a:ext uri="{FF2B5EF4-FFF2-40B4-BE49-F238E27FC236}">
                  <a16:creationId xmlns:a16="http://schemas.microsoft.com/office/drawing/2014/main" id="{00000000-0008-0000-1900-0000086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176521" name="Button 9" hidden="1">
              <a:extLst>
                <a:ext uri="{63B3BB69-23CF-44E3-9099-C40C66FF867C}">
                  <a14:compatExt spid="_x0000_s26176521"/>
                </a:ext>
                <a:ext uri="{FF2B5EF4-FFF2-40B4-BE49-F238E27FC236}">
                  <a16:creationId xmlns:a16="http://schemas.microsoft.com/office/drawing/2014/main" id="{00000000-0008-0000-1900-0000096C8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176522" name="Check Box 10" hidden="1">
              <a:extLst>
                <a:ext uri="{63B3BB69-23CF-44E3-9099-C40C66FF867C}">
                  <a14:compatExt spid="_x0000_s26176522"/>
                </a:ext>
                <a:ext uri="{FF2B5EF4-FFF2-40B4-BE49-F238E27FC236}">
                  <a16:creationId xmlns:a16="http://schemas.microsoft.com/office/drawing/2014/main" id="{00000000-0008-0000-1900-00000A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176523" name="Button 11" hidden="1">
              <a:extLst>
                <a:ext uri="{63B3BB69-23CF-44E3-9099-C40C66FF867C}">
                  <a14:compatExt spid="_x0000_s26176523"/>
                </a:ext>
                <a:ext uri="{FF2B5EF4-FFF2-40B4-BE49-F238E27FC236}">
                  <a16:creationId xmlns:a16="http://schemas.microsoft.com/office/drawing/2014/main" id="{00000000-0008-0000-1900-00000B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176524" name="Button 12" hidden="1">
              <a:extLst>
                <a:ext uri="{63B3BB69-23CF-44E3-9099-C40C66FF867C}">
                  <a14:compatExt spid="_x0000_s26176524"/>
                </a:ext>
                <a:ext uri="{FF2B5EF4-FFF2-40B4-BE49-F238E27FC236}">
                  <a16:creationId xmlns:a16="http://schemas.microsoft.com/office/drawing/2014/main" id="{00000000-0008-0000-1900-00000C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176525" name="Button 13" hidden="1">
              <a:extLst>
                <a:ext uri="{63B3BB69-23CF-44E3-9099-C40C66FF867C}">
                  <a14:compatExt spid="_x0000_s26176525"/>
                </a:ext>
                <a:ext uri="{FF2B5EF4-FFF2-40B4-BE49-F238E27FC236}">
                  <a16:creationId xmlns:a16="http://schemas.microsoft.com/office/drawing/2014/main" id="{00000000-0008-0000-1900-00000D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176526" name="Button 14" hidden="1">
              <a:extLst>
                <a:ext uri="{63B3BB69-23CF-44E3-9099-C40C66FF867C}">
                  <a14:compatExt spid="_x0000_s26176526"/>
                </a:ext>
                <a:ext uri="{FF2B5EF4-FFF2-40B4-BE49-F238E27FC236}">
                  <a16:creationId xmlns:a16="http://schemas.microsoft.com/office/drawing/2014/main" id="{00000000-0008-0000-1900-00000E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176527" name="Check Box 15" hidden="1">
              <a:extLst>
                <a:ext uri="{63B3BB69-23CF-44E3-9099-C40C66FF867C}">
                  <a14:compatExt spid="_x0000_s26176527"/>
                </a:ext>
                <a:ext uri="{FF2B5EF4-FFF2-40B4-BE49-F238E27FC236}">
                  <a16:creationId xmlns:a16="http://schemas.microsoft.com/office/drawing/2014/main" id="{00000000-0008-0000-1900-00000F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176528" name="Check Box 16" hidden="1">
              <a:extLst>
                <a:ext uri="{63B3BB69-23CF-44E3-9099-C40C66FF867C}">
                  <a14:compatExt spid="_x0000_s26176528"/>
                </a:ext>
                <a:ext uri="{FF2B5EF4-FFF2-40B4-BE49-F238E27FC236}">
                  <a16:creationId xmlns:a16="http://schemas.microsoft.com/office/drawing/2014/main" id="{00000000-0008-0000-1900-000010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176529" name="Check Box 17" hidden="1">
              <a:extLst>
                <a:ext uri="{63B3BB69-23CF-44E3-9099-C40C66FF867C}">
                  <a14:compatExt spid="_x0000_s26176529"/>
                </a:ext>
                <a:ext uri="{FF2B5EF4-FFF2-40B4-BE49-F238E27FC236}">
                  <a16:creationId xmlns:a16="http://schemas.microsoft.com/office/drawing/2014/main" id="{00000000-0008-0000-1900-000011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176530" name="Check Box 18" hidden="1">
              <a:extLst>
                <a:ext uri="{63B3BB69-23CF-44E3-9099-C40C66FF867C}">
                  <a14:compatExt spid="_x0000_s26176530"/>
                </a:ext>
                <a:ext uri="{FF2B5EF4-FFF2-40B4-BE49-F238E27FC236}">
                  <a16:creationId xmlns:a16="http://schemas.microsoft.com/office/drawing/2014/main" id="{00000000-0008-0000-1900-000012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176531" name="Check Box 19" hidden="1">
              <a:extLst>
                <a:ext uri="{63B3BB69-23CF-44E3-9099-C40C66FF867C}">
                  <a14:compatExt spid="_x0000_s26176531"/>
                </a:ext>
                <a:ext uri="{FF2B5EF4-FFF2-40B4-BE49-F238E27FC236}">
                  <a16:creationId xmlns:a16="http://schemas.microsoft.com/office/drawing/2014/main" id="{00000000-0008-0000-1900-000013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176532" name="Check Box 20" hidden="1">
              <a:extLst>
                <a:ext uri="{63B3BB69-23CF-44E3-9099-C40C66FF867C}">
                  <a14:compatExt spid="_x0000_s26176532"/>
                </a:ext>
                <a:ext uri="{FF2B5EF4-FFF2-40B4-BE49-F238E27FC236}">
                  <a16:creationId xmlns:a16="http://schemas.microsoft.com/office/drawing/2014/main" id="{00000000-0008-0000-1900-000014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176533" name="Check Box 21" hidden="1">
              <a:extLst>
                <a:ext uri="{63B3BB69-23CF-44E3-9099-C40C66FF867C}">
                  <a14:compatExt spid="_x0000_s26176533"/>
                </a:ext>
                <a:ext uri="{FF2B5EF4-FFF2-40B4-BE49-F238E27FC236}">
                  <a16:creationId xmlns:a16="http://schemas.microsoft.com/office/drawing/2014/main" id="{00000000-0008-0000-1900-000015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176534" name="Check Box 22" hidden="1">
              <a:extLst>
                <a:ext uri="{63B3BB69-23CF-44E3-9099-C40C66FF867C}">
                  <a14:compatExt spid="_x0000_s26176534"/>
                </a:ext>
                <a:ext uri="{FF2B5EF4-FFF2-40B4-BE49-F238E27FC236}">
                  <a16:creationId xmlns:a16="http://schemas.microsoft.com/office/drawing/2014/main" id="{00000000-0008-0000-1900-000016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176535" name="Check Box 23" hidden="1">
              <a:extLst>
                <a:ext uri="{63B3BB69-23CF-44E3-9099-C40C66FF867C}">
                  <a14:compatExt spid="_x0000_s26176535"/>
                </a:ext>
                <a:ext uri="{FF2B5EF4-FFF2-40B4-BE49-F238E27FC236}">
                  <a16:creationId xmlns:a16="http://schemas.microsoft.com/office/drawing/2014/main" id="{00000000-0008-0000-1900-000017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176536" name="Check Box 24" hidden="1">
              <a:extLst>
                <a:ext uri="{63B3BB69-23CF-44E3-9099-C40C66FF867C}">
                  <a14:compatExt spid="_x0000_s26176536"/>
                </a:ext>
                <a:ext uri="{FF2B5EF4-FFF2-40B4-BE49-F238E27FC236}">
                  <a16:creationId xmlns:a16="http://schemas.microsoft.com/office/drawing/2014/main" id="{00000000-0008-0000-1900-000018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176537" name="Check Box 25" hidden="1">
              <a:extLst>
                <a:ext uri="{63B3BB69-23CF-44E3-9099-C40C66FF867C}">
                  <a14:compatExt spid="_x0000_s26176537"/>
                </a:ext>
                <a:ext uri="{FF2B5EF4-FFF2-40B4-BE49-F238E27FC236}">
                  <a16:creationId xmlns:a16="http://schemas.microsoft.com/office/drawing/2014/main" id="{00000000-0008-0000-1900-000019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176538" name="Check Box 26" hidden="1">
              <a:extLst>
                <a:ext uri="{63B3BB69-23CF-44E3-9099-C40C66FF867C}">
                  <a14:compatExt spid="_x0000_s26176538"/>
                </a:ext>
                <a:ext uri="{FF2B5EF4-FFF2-40B4-BE49-F238E27FC236}">
                  <a16:creationId xmlns:a16="http://schemas.microsoft.com/office/drawing/2014/main" id="{00000000-0008-0000-1900-00001A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176539" name="Check Box 27" hidden="1">
              <a:extLst>
                <a:ext uri="{63B3BB69-23CF-44E3-9099-C40C66FF867C}">
                  <a14:compatExt spid="_x0000_s26176539"/>
                </a:ext>
                <a:ext uri="{FF2B5EF4-FFF2-40B4-BE49-F238E27FC236}">
                  <a16:creationId xmlns:a16="http://schemas.microsoft.com/office/drawing/2014/main" id="{00000000-0008-0000-1900-00001B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176540" name="Button 28" hidden="1">
              <a:extLst>
                <a:ext uri="{63B3BB69-23CF-44E3-9099-C40C66FF867C}">
                  <a14:compatExt spid="_x0000_s26176540"/>
                </a:ext>
                <a:ext uri="{FF2B5EF4-FFF2-40B4-BE49-F238E27FC236}">
                  <a16:creationId xmlns:a16="http://schemas.microsoft.com/office/drawing/2014/main" id="{00000000-0008-0000-1900-00001C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176541" name="Button 29" hidden="1">
              <a:extLst>
                <a:ext uri="{63B3BB69-23CF-44E3-9099-C40C66FF867C}">
                  <a14:compatExt spid="_x0000_s26176541"/>
                </a:ext>
                <a:ext uri="{FF2B5EF4-FFF2-40B4-BE49-F238E27FC236}">
                  <a16:creationId xmlns:a16="http://schemas.microsoft.com/office/drawing/2014/main" id="{00000000-0008-0000-1900-00001D6C8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176542" name="Check Box 30" hidden="1">
              <a:extLst>
                <a:ext uri="{63B3BB69-23CF-44E3-9099-C40C66FF867C}">
                  <a14:compatExt spid="_x0000_s26176542"/>
                </a:ext>
                <a:ext uri="{FF2B5EF4-FFF2-40B4-BE49-F238E27FC236}">
                  <a16:creationId xmlns:a16="http://schemas.microsoft.com/office/drawing/2014/main" id="{00000000-0008-0000-1900-00001E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176543" name="Check Box 31" hidden="1">
              <a:extLst>
                <a:ext uri="{63B3BB69-23CF-44E3-9099-C40C66FF867C}">
                  <a14:compatExt spid="_x0000_s26176543"/>
                </a:ext>
                <a:ext uri="{FF2B5EF4-FFF2-40B4-BE49-F238E27FC236}">
                  <a16:creationId xmlns:a16="http://schemas.microsoft.com/office/drawing/2014/main" id="{00000000-0008-0000-1900-00001F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176544" name="Check Box 32" hidden="1">
              <a:extLst>
                <a:ext uri="{63B3BB69-23CF-44E3-9099-C40C66FF867C}">
                  <a14:compatExt spid="_x0000_s26176544"/>
                </a:ext>
                <a:ext uri="{FF2B5EF4-FFF2-40B4-BE49-F238E27FC236}">
                  <a16:creationId xmlns:a16="http://schemas.microsoft.com/office/drawing/2014/main" id="{00000000-0008-0000-1900-000020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176545" name="Check Box 33" hidden="1">
              <a:extLst>
                <a:ext uri="{63B3BB69-23CF-44E3-9099-C40C66FF867C}">
                  <a14:compatExt spid="_x0000_s26176545"/>
                </a:ext>
                <a:ext uri="{FF2B5EF4-FFF2-40B4-BE49-F238E27FC236}">
                  <a16:creationId xmlns:a16="http://schemas.microsoft.com/office/drawing/2014/main" id="{00000000-0008-0000-1900-000021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176546" name="Check Box 34" hidden="1">
              <a:extLst>
                <a:ext uri="{63B3BB69-23CF-44E3-9099-C40C66FF867C}">
                  <a14:compatExt spid="_x0000_s26176546"/>
                </a:ext>
                <a:ext uri="{FF2B5EF4-FFF2-40B4-BE49-F238E27FC236}">
                  <a16:creationId xmlns:a16="http://schemas.microsoft.com/office/drawing/2014/main" id="{00000000-0008-0000-1900-000022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176547" name="Check Box 35" hidden="1">
              <a:extLst>
                <a:ext uri="{63B3BB69-23CF-44E3-9099-C40C66FF867C}">
                  <a14:compatExt spid="_x0000_s26176547"/>
                </a:ext>
                <a:ext uri="{FF2B5EF4-FFF2-40B4-BE49-F238E27FC236}">
                  <a16:creationId xmlns:a16="http://schemas.microsoft.com/office/drawing/2014/main" id="{00000000-0008-0000-1900-000023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176548" name="Check Box 36" hidden="1">
              <a:extLst>
                <a:ext uri="{63B3BB69-23CF-44E3-9099-C40C66FF867C}">
                  <a14:compatExt spid="_x0000_s26176548"/>
                </a:ext>
                <a:ext uri="{FF2B5EF4-FFF2-40B4-BE49-F238E27FC236}">
                  <a16:creationId xmlns:a16="http://schemas.microsoft.com/office/drawing/2014/main" id="{00000000-0008-0000-1900-000024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176549" name="Check Box 37" hidden="1">
              <a:extLst>
                <a:ext uri="{63B3BB69-23CF-44E3-9099-C40C66FF867C}">
                  <a14:compatExt spid="_x0000_s26176549"/>
                </a:ext>
                <a:ext uri="{FF2B5EF4-FFF2-40B4-BE49-F238E27FC236}">
                  <a16:creationId xmlns:a16="http://schemas.microsoft.com/office/drawing/2014/main" id="{00000000-0008-0000-1900-0000256C8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708626A3-E1ED-4876-A0FA-DA084551A3D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C92A27D4-10FD-4939-8B0A-1E89B61F66B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072065" name="Check Box 1" hidden="1">
              <a:extLst>
                <a:ext uri="{63B3BB69-23CF-44E3-9099-C40C66FF867C}">
                  <a14:compatExt spid="_x0000_s26072065"/>
                </a:ext>
                <a:ext uri="{FF2B5EF4-FFF2-40B4-BE49-F238E27FC236}">
                  <a16:creationId xmlns:a16="http://schemas.microsoft.com/office/drawing/2014/main" id="{00000000-0008-0000-1A00-000001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072066" name="Check Box 2" hidden="1">
              <a:extLst>
                <a:ext uri="{63B3BB69-23CF-44E3-9099-C40C66FF867C}">
                  <a14:compatExt spid="_x0000_s26072066"/>
                </a:ext>
                <a:ext uri="{FF2B5EF4-FFF2-40B4-BE49-F238E27FC236}">
                  <a16:creationId xmlns:a16="http://schemas.microsoft.com/office/drawing/2014/main" id="{00000000-0008-0000-1A00-000002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072067" name="Check Box 3" hidden="1">
              <a:extLst>
                <a:ext uri="{63B3BB69-23CF-44E3-9099-C40C66FF867C}">
                  <a14:compatExt spid="_x0000_s26072067"/>
                </a:ext>
                <a:ext uri="{FF2B5EF4-FFF2-40B4-BE49-F238E27FC236}">
                  <a16:creationId xmlns:a16="http://schemas.microsoft.com/office/drawing/2014/main" id="{00000000-0008-0000-1A00-000003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072068" name="Check Box 4" hidden="1">
              <a:extLst>
                <a:ext uri="{63B3BB69-23CF-44E3-9099-C40C66FF867C}">
                  <a14:compatExt spid="_x0000_s26072068"/>
                </a:ext>
                <a:ext uri="{FF2B5EF4-FFF2-40B4-BE49-F238E27FC236}">
                  <a16:creationId xmlns:a16="http://schemas.microsoft.com/office/drawing/2014/main" id="{00000000-0008-0000-1A00-000004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072069" name="Check Box 5" hidden="1">
              <a:extLst>
                <a:ext uri="{63B3BB69-23CF-44E3-9099-C40C66FF867C}">
                  <a14:compatExt spid="_x0000_s26072069"/>
                </a:ext>
                <a:ext uri="{FF2B5EF4-FFF2-40B4-BE49-F238E27FC236}">
                  <a16:creationId xmlns:a16="http://schemas.microsoft.com/office/drawing/2014/main" id="{00000000-0008-0000-1A00-000005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072070" name="Check Box 6" hidden="1">
              <a:extLst>
                <a:ext uri="{63B3BB69-23CF-44E3-9099-C40C66FF867C}">
                  <a14:compatExt spid="_x0000_s26072070"/>
                </a:ext>
                <a:ext uri="{FF2B5EF4-FFF2-40B4-BE49-F238E27FC236}">
                  <a16:creationId xmlns:a16="http://schemas.microsoft.com/office/drawing/2014/main" id="{00000000-0008-0000-1A00-000006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072071" name="Check Box 7" hidden="1">
              <a:extLst>
                <a:ext uri="{63B3BB69-23CF-44E3-9099-C40C66FF867C}">
                  <a14:compatExt spid="_x0000_s26072071"/>
                </a:ext>
                <a:ext uri="{FF2B5EF4-FFF2-40B4-BE49-F238E27FC236}">
                  <a16:creationId xmlns:a16="http://schemas.microsoft.com/office/drawing/2014/main" id="{00000000-0008-0000-1A00-000007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072072" name="Button 8" hidden="1">
              <a:extLst>
                <a:ext uri="{63B3BB69-23CF-44E3-9099-C40C66FF867C}">
                  <a14:compatExt spid="_x0000_s26072072"/>
                </a:ext>
                <a:ext uri="{FF2B5EF4-FFF2-40B4-BE49-F238E27FC236}">
                  <a16:creationId xmlns:a16="http://schemas.microsoft.com/office/drawing/2014/main" id="{00000000-0008-0000-1A00-000008D4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072073" name="Button 9" hidden="1">
              <a:extLst>
                <a:ext uri="{63B3BB69-23CF-44E3-9099-C40C66FF867C}">
                  <a14:compatExt spid="_x0000_s26072073"/>
                </a:ext>
                <a:ext uri="{FF2B5EF4-FFF2-40B4-BE49-F238E27FC236}">
                  <a16:creationId xmlns:a16="http://schemas.microsoft.com/office/drawing/2014/main" id="{00000000-0008-0000-1A00-000009D4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072074" name="Check Box 10" hidden="1">
              <a:extLst>
                <a:ext uri="{63B3BB69-23CF-44E3-9099-C40C66FF867C}">
                  <a14:compatExt spid="_x0000_s26072074"/>
                </a:ext>
                <a:ext uri="{FF2B5EF4-FFF2-40B4-BE49-F238E27FC236}">
                  <a16:creationId xmlns:a16="http://schemas.microsoft.com/office/drawing/2014/main" id="{00000000-0008-0000-1A00-00000A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072075" name="Button 11" hidden="1">
              <a:extLst>
                <a:ext uri="{63B3BB69-23CF-44E3-9099-C40C66FF867C}">
                  <a14:compatExt spid="_x0000_s26072075"/>
                </a:ext>
                <a:ext uri="{FF2B5EF4-FFF2-40B4-BE49-F238E27FC236}">
                  <a16:creationId xmlns:a16="http://schemas.microsoft.com/office/drawing/2014/main" id="{00000000-0008-0000-1A00-00000B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072076" name="Button 12" hidden="1">
              <a:extLst>
                <a:ext uri="{63B3BB69-23CF-44E3-9099-C40C66FF867C}">
                  <a14:compatExt spid="_x0000_s26072076"/>
                </a:ext>
                <a:ext uri="{FF2B5EF4-FFF2-40B4-BE49-F238E27FC236}">
                  <a16:creationId xmlns:a16="http://schemas.microsoft.com/office/drawing/2014/main" id="{00000000-0008-0000-1A00-00000C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072077" name="Button 13" hidden="1">
              <a:extLst>
                <a:ext uri="{63B3BB69-23CF-44E3-9099-C40C66FF867C}">
                  <a14:compatExt spid="_x0000_s26072077"/>
                </a:ext>
                <a:ext uri="{FF2B5EF4-FFF2-40B4-BE49-F238E27FC236}">
                  <a16:creationId xmlns:a16="http://schemas.microsoft.com/office/drawing/2014/main" id="{00000000-0008-0000-1A00-00000D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072078" name="Button 14" hidden="1">
              <a:extLst>
                <a:ext uri="{63B3BB69-23CF-44E3-9099-C40C66FF867C}">
                  <a14:compatExt spid="_x0000_s26072078"/>
                </a:ext>
                <a:ext uri="{FF2B5EF4-FFF2-40B4-BE49-F238E27FC236}">
                  <a16:creationId xmlns:a16="http://schemas.microsoft.com/office/drawing/2014/main" id="{00000000-0008-0000-1A00-00000E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072079" name="Check Box 15" hidden="1">
              <a:extLst>
                <a:ext uri="{63B3BB69-23CF-44E3-9099-C40C66FF867C}">
                  <a14:compatExt spid="_x0000_s26072079"/>
                </a:ext>
                <a:ext uri="{FF2B5EF4-FFF2-40B4-BE49-F238E27FC236}">
                  <a16:creationId xmlns:a16="http://schemas.microsoft.com/office/drawing/2014/main" id="{00000000-0008-0000-1A00-00000F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072080" name="Check Box 16" hidden="1">
              <a:extLst>
                <a:ext uri="{63B3BB69-23CF-44E3-9099-C40C66FF867C}">
                  <a14:compatExt spid="_x0000_s26072080"/>
                </a:ext>
                <a:ext uri="{FF2B5EF4-FFF2-40B4-BE49-F238E27FC236}">
                  <a16:creationId xmlns:a16="http://schemas.microsoft.com/office/drawing/2014/main" id="{00000000-0008-0000-1A00-000010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072081" name="Check Box 17" hidden="1">
              <a:extLst>
                <a:ext uri="{63B3BB69-23CF-44E3-9099-C40C66FF867C}">
                  <a14:compatExt spid="_x0000_s26072081"/>
                </a:ext>
                <a:ext uri="{FF2B5EF4-FFF2-40B4-BE49-F238E27FC236}">
                  <a16:creationId xmlns:a16="http://schemas.microsoft.com/office/drawing/2014/main" id="{00000000-0008-0000-1A00-000011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072082" name="Check Box 18" hidden="1">
              <a:extLst>
                <a:ext uri="{63B3BB69-23CF-44E3-9099-C40C66FF867C}">
                  <a14:compatExt spid="_x0000_s26072082"/>
                </a:ext>
                <a:ext uri="{FF2B5EF4-FFF2-40B4-BE49-F238E27FC236}">
                  <a16:creationId xmlns:a16="http://schemas.microsoft.com/office/drawing/2014/main" id="{00000000-0008-0000-1A00-000012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072083" name="Check Box 19" hidden="1">
              <a:extLst>
                <a:ext uri="{63B3BB69-23CF-44E3-9099-C40C66FF867C}">
                  <a14:compatExt spid="_x0000_s26072083"/>
                </a:ext>
                <a:ext uri="{FF2B5EF4-FFF2-40B4-BE49-F238E27FC236}">
                  <a16:creationId xmlns:a16="http://schemas.microsoft.com/office/drawing/2014/main" id="{00000000-0008-0000-1A00-000013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072084" name="Check Box 20" hidden="1">
              <a:extLst>
                <a:ext uri="{63B3BB69-23CF-44E3-9099-C40C66FF867C}">
                  <a14:compatExt spid="_x0000_s26072084"/>
                </a:ext>
                <a:ext uri="{FF2B5EF4-FFF2-40B4-BE49-F238E27FC236}">
                  <a16:creationId xmlns:a16="http://schemas.microsoft.com/office/drawing/2014/main" id="{00000000-0008-0000-1A00-000014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072085" name="Check Box 21" hidden="1">
              <a:extLst>
                <a:ext uri="{63B3BB69-23CF-44E3-9099-C40C66FF867C}">
                  <a14:compatExt spid="_x0000_s26072085"/>
                </a:ext>
                <a:ext uri="{FF2B5EF4-FFF2-40B4-BE49-F238E27FC236}">
                  <a16:creationId xmlns:a16="http://schemas.microsoft.com/office/drawing/2014/main" id="{00000000-0008-0000-1A00-000015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072086" name="Check Box 22" hidden="1">
              <a:extLst>
                <a:ext uri="{63B3BB69-23CF-44E3-9099-C40C66FF867C}">
                  <a14:compatExt spid="_x0000_s26072086"/>
                </a:ext>
                <a:ext uri="{FF2B5EF4-FFF2-40B4-BE49-F238E27FC236}">
                  <a16:creationId xmlns:a16="http://schemas.microsoft.com/office/drawing/2014/main" id="{00000000-0008-0000-1A00-000016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072087" name="Check Box 23" hidden="1">
              <a:extLst>
                <a:ext uri="{63B3BB69-23CF-44E3-9099-C40C66FF867C}">
                  <a14:compatExt spid="_x0000_s26072087"/>
                </a:ext>
                <a:ext uri="{FF2B5EF4-FFF2-40B4-BE49-F238E27FC236}">
                  <a16:creationId xmlns:a16="http://schemas.microsoft.com/office/drawing/2014/main" id="{00000000-0008-0000-1A00-000017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072088" name="Check Box 24" hidden="1">
              <a:extLst>
                <a:ext uri="{63B3BB69-23CF-44E3-9099-C40C66FF867C}">
                  <a14:compatExt spid="_x0000_s26072088"/>
                </a:ext>
                <a:ext uri="{FF2B5EF4-FFF2-40B4-BE49-F238E27FC236}">
                  <a16:creationId xmlns:a16="http://schemas.microsoft.com/office/drawing/2014/main" id="{00000000-0008-0000-1A00-000018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072089" name="Check Box 25" hidden="1">
              <a:extLst>
                <a:ext uri="{63B3BB69-23CF-44E3-9099-C40C66FF867C}">
                  <a14:compatExt spid="_x0000_s26072089"/>
                </a:ext>
                <a:ext uri="{FF2B5EF4-FFF2-40B4-BE49-F238E27FC236}">
                  <a16:creationId xmlns:a16="http://schemas.microsoft.com/office/drawing/2014/main" id="{00000000-0008-0000-1A00-000019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072090" name="Check Box 26" hidden="1">
              <a:extLst>
                <a:ext uri="{63B3BB69-23CF-44E3-9099-C40C66FF867C}">
                  <a14:compatExt spid="_x0000_s26072090"/>
                </a:ext>
                <a:ext uri="{FF2B5EF4-FFF2-40B4-BE49-F238E27FC236}">
                  <a16:creationId xmlns:a16="http://schemas.microsoft.com/office/drawing/2014/main" id="{00000000-0008-0000-1A00-00001A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072091" name="Check Box 27" hidden="1">
              <a:extLst>
                <a:ext uri="{63B3BB69-23CF-44E3-9099-C40C66FF867C}">
                  <a14:compatExt spid="_x0000_s26072091"/>
                </a:ext>
                <a:ext uri="{FF2B5EF4-FFF2-40B4-BE49-F238E27FC236}">
                  <a16:creationId xmlns:a16="http://schemas.microsoft.com/office/drawing/2014/main" id="{00000000-0008-0000-1A00-00001B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072092" name="Button 28" hidden="1">
              <a:extLst>
                <a:ext uri="{63B3BB69-23CF-44E3-9099-C40C66FF867C}">
                  <a14:compatExt spid="_x0000_s26072092"/>
                </a:ext>
                <a:ext uri="{FF2B5EF4-FFF2-40B4-BE49-F238E27FC236}">
                  <a16:creationId xmlns:a16="http://schemas.microsoft.com/office/drawing/2014/main" id="{00000000-0008-0000-1A00-00001C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072093" name="Button 29" hidden="1">
              <a:extLst>
                <a:ext uri="{63B3BB69-23CF-44E3-9099-C40C66FF867C}">
                  <a14:compatExt spid="_x0000_s26072093"/>
                </a:ext>
                <a:ext uri="{FF2B5EF4-FFF2-40B4-BE49-F238E27FC236}">
                  <a16:creationId xmlns:a16="http://schemas.microsoft.com/office/drawing/2014/main" id="{00000000-0008-0000-1A00-00001DD4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072094" name="Check Box 30" hidden="1">
              <a:extLst>
                <a:ext uri="{63B3BB69-23CF-44E3-9099-C40C66FF867C}">
                  <a14:compatExt spid="_x0000_s26072094"/>
                </a:ext>
                <a:ext uri="{FF2B5EF4-FFF2-40B4-BE49-F238E27FC236}">
                  <a16:creationId xmlns:a16="http://schemas.microsoft.com/office/drawing/2014/main" id="{00000000-0008-0000-1A00-00001E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072095" name="Check Box 31" hidden="1">
              <a:extLst>
                <a:ext uri="{63B3BB69-23CF-44E3-9099-C40C66FF867C}">
                  <a14:compatExt spid="_x0000_s26072095"/>
                </a:ext>
                <a:ext uri="{FF2B5EF4-FFF2-40B4-BE49-F238E27FC236}">
                  <a16:creationId xmlns:a16="http://schemas.microsoft.com/office/drawing/2014/main" id="{00000000-0008-0000-1A00-00001F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072096" name="Check Box 32" hidden="1">
              <a:extLst>
                <a:ext uri="{63B3BB69-23CF-44E3-9099-C40C66FF867C}">
                  <a14:compatExt spid="_x0000_s26072096"/>
                </a:ext>
                <a:ext uri="{FF2B5EF4-FFF2-40B4-BE49-F238E27FC236}">
                  <a16:creationId xmlns:a16="http://schemas.microsoft.com/office/drawing/2014/main" id="{00000000-0008-0000-1A00-000020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072097" name="Check Box 33" hidden="1">
              <a:extLst>
                <a:ext uri="{63B3BB69-23CF-44E3-9099-C40C66FF867C}">
                  <a14:compatExt spid="_x0000_s26072097"/>
                </a:ext>
                <a:ext uri="{FF2B5EF4-FFF2-40B4-BE49-F238E27FC236}">
                  <a16:creationId xmlns:a16="http://schemas.microsoft.com/office/drawing/2014/main" id="{00000000-0008-0000-1A00-000021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072098" name="Check Box 34" hidden="1">
              <a:extLst>
                <a:ext uri="{63B3BB69-23CF-44E3-9099-C40C66FF867C}">
                  <a14:compatExt spid="_x0000_s26072098"/>
                </a:ext>
                <a:ext uri="{FF2B5EF4-FFF2-40B4-BE49-F238E27FC236}">
                  <a16:creationId xmlns:a16="http://schemas.microsoft.com/office/drawing/2014/main" id="{00000000-0008-0000-1A00-000022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072099" name="Check Box 35" hidden="1">
              <a:extLst>
                <a:ext uri="{63B3BB69-23CF-44E3-9099-C40C66FF867C}">
                  <a14:compatExt spid="_x0000_s26072099"/>
                </a:ext>
                <a:ext uri="{FF2B5EF4-FFF2-40B4-BE49-F238E27FC236}">
                  <a16:creationId xmlns:a16="http://schemas.microsoft.com/office/drawing/2014/main" id="{00000000-0008-0000-1A00-000023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072100" name="Check Box 36" hidden="1">
              <a:extLst>
                <a:ext uri="{63B3BB69-23CF-44E3-9099-C40C66FF867C}">
                  <a14:compatExt spid="_x0000_s26072100"/>
                </a:ext>
                <a:ext uri="{FF2B5EF4-FFF2-40B4-BE49-F238E27FC236}">
                  <a16:creationId xmlns:a16="http://schemas.microsoft.com/office/drawing/2014/main" id="{00000000-0008-0000-1A00-000024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072101" name="Check Box 37" hidden="1">
              <a:extLst>
                <a:ext uri="{63B3BB69-23CF-44E3-9099-C40C66FF867C}">
                  <a14:compatExt spid="_x0000_s26072101"/>
                </a:ext>
                <a:ext uri="{FF2B5EF4-FFF2-40B4-BE49-F238E27FC236}">
                  <a16:creationId xmlns:a16="http://schemas.microsoft.com/office/drawing/2014/main" id="{00000000-0008-0000-1A00-000025D4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1950AF5-32D5-4BBE-87B6-B7769F79BC5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CF0CD03-FF1A-4738-874E-27788B053F4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071041" name="Check Box 1" hidden="1">
              <a:extLst>
                <a:ext uri="{63B3BB69-23CF-44E3-9099-C40C66FF867C}">
                  <a14:compatExt spid="_x0000_s26071041"/>
                </a:ext>
                <a:ext uri="{FF2B5EF4-FFF2-40B4-BE49-F238E27FC236}">
                  <a16:creationId xmlns:a16="http://schemas.microsoft.com/office/drawing/2014/main" id="{00000000-0008-0000-1B00-000001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071042" name="Check Box 2" hidden="1">
              <a:extLst>
                <a:ext uri="{63B3BB69-23CF-44E3-9099-C40C66FF867C}">
                  <a14:compatExt spid="_x0000_s26071042"/>
                </a:ext>
                <a:ext uri="{FF2B5EF4-FFF2-40B4-BE49-F238E27FC236}">
                  <a16:creationId xmlns:a16="http://schemas.microsoft.com/office/drawing/2014/main" id="{00000000-0008-0000-1B00-000002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071043" name="Check Box 3" hidden="1">
              <a:extLst>
                <a:ext uri="{63B3BB69-23CF-44E3-9099-C40C66FF867C}">
                  <a14:compatExt spid="_x0000_s26071043"/>
                </a:ext>
                <a:ext uri="{FF2B5EF4-FFF2-40B4-BE49-F238E27FC236}">
                  <a16:creationId xmlns:a16="http://schemas.microsoft.com/office/drawing/2014/main" id="{00000000-0008-0000-1B00-000003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071044" name="Check Box 4" hidden="1">
              <a:extLst>
                <a:ext uri="{63B3BB69-23CF-44E3-9099-C40C66FF867C}">
                  <a14:compatExt spid="_x0000_s26071044"/>
                </a:ext>
                <a:ext uri="{FF2B5EF4-FFF2-40B4-BE49-F238E27FC236}">
                  <a16:creationId xmlns:a16="http://schemas.microsoft.com/office/drawing/2014/main" id="{00000000-0008-0000-1B00-000004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071045" name="Check Box 5" hidden="1">
              <a:extLst>
                <a:ext uri="{63B3BB69-23CF-44E3-9099-C40C66FF867C}">
                  <a14:compatExt spid="_x0000_s26071045"/>
                </a:ext>
                <a:ext uri="{FF2B5EF4-FFF2-40B4-BE49-F238E27FC236}">
                  <a16:creationId xmlns:a16="http://schemas.microsoft.com/office/drawing/2014/main" id="{00000000-0008-0000-1B00-000005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071046" name="Check Box 6" hidden="1">
              <a:extLst>
                <a:ext uri="{63B3BB69-23CF-44E3-9099-C40C66FF867C}">
                  <a14:compatExt spid="_x0000_s26071046"/>
                </a:ext>
                <a:ext uri="{FF2B5EF4-FFF2-40B4-BE49-F238E27FC236}">
                  <a16:creationId xmlns:a16="http://schemas.microsoft.com/office/drawing/2014/main" id="{00000000-0008-0000-1B00-000006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071047" name="Check Box 7" hidden="1">
              <a:extLst>
                <a:ext uri="{63B3BB69-23CF-44E3-9099-C40C66FF867C}">
                  <a14:compatExt spid="_x0000_s26071047"/>
                </a:ext>
                <a:ext uri="{FF2B5EF4-FFF2-40B4-BE49-F238E27FC236}">
                  <a16:creationId xmlns:a16="http://schemas.microsoft.com/office/drawing/2014/main" id="{00000000-0008-0000-1B00-000007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071048" name="Button 8" hidden="1">
              <a:extLst>
                <a:ext uri="{63B3BB69-23CF-44E3-9099-C40C66FF867C}">
                  <a14:compatExt spid="_x0000_s26071048"/>
                </a:ext>
                <a:ext uri="{FF2B5EF4-FFF2-40B4-BE49-F238E27FC236}">
                  <a16:creationId xmlns:a16="http://schemas.microsoft.com/office/drawing/2014/main" id="{00000000-0008-0000-1B00-000008D0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071049" name="Button 9" hidden="1">
              <a:extLst>
                <a:ext uri="{63B3BB69-23CF-44E3-9099-C40C66FF867C}">
                  <a14:compatExt spid="_x0000_s26071049"/>
                </a:ext>
                <a:ext uri="{FF2B5EF4-FFF2-40B4-BE49-F238E27FC236}">
                  <a16:creationId xmlns:a16="http://schemas.microsoft.com/office/drawing/2014/main" id="{00000000-0008-0000-1B00-000009D0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071050" name="Check Box 10" hidden="1">
              <a:extLst>
                <a:ext uri="{63B3BB69-23CF-44E3-9099-C40C66FF867C}">
                  <a14:compatExt spid="_x0000_s26071050"/>
                </a:ext>
                <a:ext uri="{FF2B5EF4-FFF2-40B4-BE49-F238E27FC236}">
                  <a16:creationId xmlns:a16="http://schemas.microsoft.com/office/drawing/2014/main" id="{00000000-0008-0000-1B00-00000A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071051" name="Button 11" hidden="1">
              <a:extLst>
                <a:ext uri="{63B3BB69-23CF-44E3-9099-C40C66FF867C}">
                  <a14:compatExt spid="_x0000_s26071051"/>
                </a:ext>
                <a:ext uri="{FF2B5EF4-FFF2-40B4-BE49-F238E27FC236}">
                  <a16:creationId xmlns:a16="http://schemas.microsoft.com/office/drawing/2014/main" id="{00000000-0008-0000-1B00-00000B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071052" name="Button 12" hidden="1">
              <a:extLst>
                <a:ext uri="{63B3BB69-23CF-44E3-9099-C40C66FF867C}">
                  <a14:compatExt spid="_x0000_s26071052"/>
                </a:ext>
                <a:ext uri="{FF2B5EF4-FFF2-40B4-BE49-F238E27FC236}">
                  <a16:creationId xmlns:a16="http://schemas.microsoft.com/office/drawing/2014/main" id="{00000000-0008-0000-1B00-00000C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071053" name="Button 13" hidden="1">
              <a:extLst>
                <a:ext uri="{63B3BB69-23CF-44E3-9099-C40C66FF867C}">
                  <a14:compatExt spid="_x0000_s26071053"/>
                </a:ext>
                <a:ext uri="{FF2B5EF4-FFF2-40B4-BE49-F238E27FC236}">
                  <a16:creationId xmlns:a16="http://schemas.microsoft.com/office/drawing/2014/main" id="{00000000-0008-0000-1B00-00000D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071054" name="Button 14" hidden="1">
              <a:extLst>
                <a:ext uri="{63B3BB69-23CF-44E3-9099-C40C66FF867C}">
                  <a14:compatExt spid="_x0000_s26071054"/>
                </a:ext>
                <a:ext uri="{FF2B5EF4-FFF2-40B4-BE49-F238E27FC236}">
                  <a16:creationId xmlns:a16="http://schemas.microsoft.com/office/drawing/2014/main" id="{00000000-0008-0000-1B00-00000E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071055" name="Check Box 15" hidden="1">
              <a:extLst>
                <a:ext uri="{63B3BB69-23CF-44E3-9099-C40C66FF867C}">
                  <a14:compatExt spid="_x0000_s26071055"/>
                </a:ext>
                <a:ext uri="{FF2B5EF4-FFF2-40B4-BE49-F238E27FC236}">
                  <a16:creationId xmlns:a16="http://schemas.microsoft.com/office/drawing/2014/main" id="{00000000-0008-0000-1B00-00000F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071056" name="Check Box 16" hidden="1">
              <a:extLst>
                <a:ext uri="{63B3BB69-23CF-44E3-9099-C40C66FF867C}">
                  <a14:compatExt spid="_x0000_s26071056"/>
                </a:ext>
                <a:ext uri="{FF2B5EF4-FFF2-40B4-BE49-F238E27FC236}">
                  <a16:creationId xmlns:a16="http://schemas.microsoft.com/office/drawing/2014/main" id="{00000000-0008-0000-1B00-000010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071057" name="Check Box 17" hidden="1">
              <a:extLst>
                <a:ext uri="{63B3BB69-23CF-44E3-9099-C40C66FF867C}">
                  <a14:compatExt spid="_x0000_s26071057"/>
                </a:ext>
                <a:ext uri="{FF2B5EF4-FFF2-40B4-BE49-F238E27FC236}">
                  <a16:creationId xmlns:a16="http://schemas.microsoft.com/office/drawing/2014/main" id="{00000000-0008-0000-1B00-000011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071058" name="Check Box 18" hidden="1">
              <a:extLst>
                <a:ext uri="{63B3BB69-23CF-44E3-9099-C40C66FF867C}">
                  <a14:compatExt spid="_x0000_s26071058"/>
                </a:ext>
                <a:ext uri="{FF2B5EF4-FFF2-40B4-BE49-F238E27FC236}">
                  <a16:creationId xmlns:a16="http://schemas.microsoft.com/office/drawing/2014/main" id="{00000000-0008-0000-1B00-000012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071059" name="Check Box 19" hidden="1">
              <a:extLst>
                <a:ext uri="{63B3BB69-23CF-44E3-9099-C40C66FF867C}">
                  <a14:compatExt spid="_x0000_s26071059"/>
                </a:ext>
                <a:ext uri="{FF2B5EF4-FFF2-40B4-BE49-F238E27FC236}">
                  <a16:creationId xmlns:a16="http://schemas.microsoft.com/office/drawing/2014/main" id="{00000000-0008-0000-1B00-000013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071060" name="Check Box 20" hidden="1">
              <a:extLst>
                <a:ext uri="{63B3BB69-23CF-44E3-9099-C40C66FF867C}">
                  <a14:compatExt spid="_x0000_s26071060"/>
                </a:ext>
                <a:ext uri="{FF2B5EF4-FFF2-40B4-BE49-F238E27FC236}">
                  <a16:creationId xmlns:a16="http://schemas.microsoft.com/office/drawing/2014/main" id="{00000000-0008-0000-1B00-000014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071061" name="Check Box 21" hidden="1">
              <a:extLst>
                <a:ext uri="{63B3BB69-23CF-44E3-9099-C40C66FF867C}">
                  <a14:compatExt spid="_x0000_s26071061"/>
                </a:ext>
                <a:ext uri="{FF2B5EF4-FFF2-40B4-BE49-F238E27FC236}">
                  <a16:creationId xmlns:a16="http://schemas.microsoft.com/office/drawing/2014/main" id="{00000000-0008-0000-1B00-000015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071062" name="Check Box 22" hidden="1">
              <a:extLst>
                <a:ext uri="{63B3BB69-23CF-44E3-9099-C40C66FF867C}">
                  <a14:compatExt spid="_x0000_s26071062"/>
                </a:ext>
                <a:ext uri="{FF2B5EF4-FFF2-40B4-BE49-F238E27FC236}">
                  <a16:creationId xmlns:a16="http://schemas.microsoft.com/office/drawing/2014/main" id="{00000000-0008-0000-1B00-000016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071063" name="Check Box 23" hidden="1">
              <a:extLst>
                <a:ext uri="{63B3BB69-23CF-44E3-9099-C40C66FF867C}">
                  <a14:compatExt spid="_x0000_s26071063"/>
                </a:ext>
                <a:ext uri="{FF2B5EF4-FFF2-40B4-BE49-F238E27FC236}">
                  <a16:creationId xmlns:a16="http://schemas.microsoft.com/office/drawing/2014/main" id="{00000000-0008-0000-1B00-000017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071064" name="Check Box 24" hidden="1">
              <a:extLst>
                <a:ext uri="{63B3BB69-23CF-44E3-9099-C40C66FF867C}">
                  <a14:compatExt spid="_x0000_s26071064"/>
                </a:ext>
                <a:ext uri="{FF2B5EF4-FFF2-40B4-BE49-F238E27FC236}">
                  <a16:creationId xmlns:a16="http://schemas.microsoft.com/office/drawing/2014/main" id="{00000000-0008-0000-1B00-000018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071065" name="Check Box 25" hidden="1">
              <a:extLst>
                <a:ext uri="{63B3BB69-23CF-44E3-9099-C40C66FF867C}">
                  <a14:compatExt spid="_x0000_s26071065"/>
                </a:ext>
                <a:ext uri="{FF2B5EF4-FFF2-40B4-BE49-F238E27FC236}">
                  <a16:creationId xmlns:a16="http://schemas.microsoft.com/office/drawing/2014/main" id="{00000000-0008-0000-1B00-000019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071066" name="Check Box 26" hidden="1">
              <a:extLst>
                <a:ext uri="{63B3BB69-23CF-44E3-9099-C40C66FF867C}">
                  <a14:compatExt spid="_x0000_s26071066"/>
                </a:ext>
                <a:ext uri="{FF2B5EF4-FFF2-40B4-BE49-F238E27FC236}">
                  <a16:creationId xmlns:a16="http://schemas.microsoft.com/office/drawing/2014/main" id="{00000000-0008-0000-1B00-00001A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071067" name="Check Box 27" hidden="1">
              <a:extLst>
                <a:ext uri="{63B3BB69-23CF-44E3-9099-C40C66FF867C}">
                  <a14:compatExt spid="_x0000_s26071067"/>
                </a:ext>
                <a:ext uri="{FF2B5EF4-FFF2-40B4-BE49-F238E27FC236}">
                  <a16:creationId xmlns:a16="http://schemas.microsoft.com/office/drawing/2014/main" id="{00000000-0008-0000-1B00-00001B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071068" name="Button 28" hidden="1">
              <a:extLst>
                <a:ext uri="{63B3BB69-23CF-44E3-9099-C40C66FF867C}">
                  <a14:compatExt spid="_x0000_s26071068"/>
                </a:ext>
                <a:ext uri="{FF2B5EF4-FFF2-40B4-BE49-F238E27FC236}">
                  <a16:creationId xmlns:a16="http://schemas.microsoft.com/office/drawing/2014/main" id="{00000000-0008-0000-1B00-00001C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071069" name="Button 29" hidden="1">
              <a:extLst>
                <a:ext uri="{63B3BB69-23CF-44E3-9099-C40C66FF867C}">
                  <a14:compatExt spid="_x0000_s26071069"/>
                </a:ext>
                <a:ext uri="{FF2B5EF4-FFF2-40B4-BE49-F238E27FC236}">
                  <a16:creationId xmlns:a16="http://schemas.microsoft.com/office/drawing/2014/main" id="{00000000-0008-0000-1B00-00001DD0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071070" name="Check Box 30" hidden="1">
              <a:extLst>
                <a:ext uri="{63B3BB69-23CF-44E3-9099-C40C66FF867C}">
                  <a14:compatExt spid="_x0000_s26071070"/>
                </a:ext>
                <a:ext uri="{FF2B5EF4-FFF2-40B4-BE49-F238E27FC236}">
                  <a16:creationId xmlns:a16="http://schemas.microsoft.com/office/drawing/2014/main" id="{00000000-0008-0000-1B00-00001E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071071" name="Check Box 31" hidden="1">
              <a:extLst>
                <a:ext uri="{63B3BB69-23CF-44E3-9099-C40C66FF867C}">
                  <a14:compatExt spid="_x0000_s26071071"/>
                </a:ext>
                <a:ext uri="{FF2B5EF4-FFF2-40B4-BE49-F238E27FC236}">
                  <a16:creationId xmlns:a16="http://schemas.microsoft.com/office/drawing/2014/main" id="{00000000-0008-0000-1B00-00001F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071072" name="Check Box 32" hidden="1">
              <a:extLst>
                <a:ext uri="{63B3BB69-23CF-44E3-9099-C40C66FF867C}">
                  <a14:compatExt spid="_x0000_s26071072"/>
                </a:ext>
                <a:ext uri="{FF2B5EF4-FFF2-40B4-BE49-F238E27FC236}">
                  <a16:creationId xmlns:a16="http://schemas.microsoft.com/office/drawing/2014/main" id="{00000000-0008-0000-1B00-000020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071073" name="Check Box 33" hidden="1">
              <a:extLst>
                <a:ext uri="{63B3BB69-23CF-44E3-9099-C40C66FF867C}">
                  <a14:compatExt spid="_x0000_s26071073"/>
                </a:ext>
                <a:ext uri="{FF2B5EF4-FFF2-40B4-BE49-F238E27FC236}">
                  <a16:creationId xmlns:a16="http://schemas.microsoft.com/office/drawing/2014/main" id="{00000000-0008-0000-1B00-000021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071074" name="Check Box 34" hidden="1">
              <a:extLst>
                <a:ext uri="{63B3BB69-23CF-44E3-9099-C40C66FF867C}">
                  <a14:compatExt spid="_x0000_s26071074"/>
                </a:ext>
                <a:ext uri="{FF2B5EF4-FFF2-40B4-BE49-F238E27FC236}">
                  <a16:creationId xmlns:a16="http://schemas.microsoft.com/office/drawing/2014/main" id="{00000000-0008-0000-1B00-000022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071075" name="Check Box 35" hidden="1">
              <a:extLst>
                <a:ext uri="{63B3BB69-23CF-44E3-9099-C40C66FF867C}">
                  <a14:compatExt spid="_x0000_s26071075"/>
                </a:ext>
                <a:ext uri="{FF2B5EF4-FFF2-40B4-BE49-F238E27FC236}">
                  <a16:creationId xmlns:a16="http://schemas.microsoft.com/office/drawing/2014/main" id="{00000000-0008-0000-1B00-000023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071076" name="Check Box 36" hidden="1">
              <a:extLst>
                <a:ext uri="{63B3BB69-23CF-44E3-9099-C40C66FF867C}">
                  <a14:compatExt spid="_x0000_s26071076"/>
                </a:ext>
                <a:ext uri="{FF2B5EF4-FFF2-40B4-BE49-F238E27FC236}">
                  <a16:creationId xmlns:a16="http://schemas.microsoft.com/office/drawing/2014/main" id="{00000000-0008-0000-1B00-000024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071077" name="Check Box 37" hidden="1">
              <a:extLst>
                <a:ext uri="{63B3BB69-23CF-44E3-9099-C40C66FF867C}">
                  <a14:compatExt spid="_x0000_s26071077"/>
                </a:ext>
                <a:ext uri="{FF2B5EF4-FFF2-40B4-BE49-F238E27FC236}">
                  <a16:creationId xmlns:a16="http://schemas.microsoft.com/office/drawing/2014/main" id="{00000000-0008-0000-1B00-000025D0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FA70944-97AB-4754-86EE-73053BAF495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18C0000-FA45-4738-92F8-14AA8E5D5C1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6070017" name="Check Box 1" hidden="1">
              <a:extLst>
                <a:ext uri="{63B3BB69-23CF-44E3-9099-C40C66FF867C}">
                  <a14:compatExt spid="_x0000_s26070017"/>
                </a:ext>
                <a:ext uri="{FF2B5EF4-FFF2-40B4-BE49-F238E27FC236}">
                  <a16:creationId xmlns:a16="http://schemas.microsoft.com/office/drawing/2014/main" id="{00000000-0008-0000-1C00-000001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6070018" name="Check Box 2" hidden="1">
              <a:extLst>
                <a:ext uri="{63B3BB69-23CF-44E3-9099-C40C66FF867C}">
                  <a14:compatExt spid="_x0000_s26070018"/>
                </a:ext>
                <a:ext uri="{FF2B5EF4-FFF2-40B4-BE49-F238E27FC236}">
                  <a16:creationId xmlns:a16="http://schemas.microsoft.com/office/drawing/2014/main" id="{00000000-0008-0000-1C00-000002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6070019" name="Check Box 3" hidden="1">
              <a:extLst>
                <a:ext uri="{63B3BB69-23CF-44E3-9099-C40C66FF867C}">
                  <a14:compatExt spid="_x0000_s26070019"/>
                </a:ext>
                <a:ext uri="{FF2B5EF4-FFF2-40B4-BE49-F238E27FC236}">
                  <a16:creationId xmlns:a16="http://schemas.microsoft.com/office/drawing/2014/main" id="{00000000-0008-0000-1C00-000003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6070020" name="Check Box 4" hidden="1">
              <a:extLst>
                <a:ext uri="{63B3BB69-23CF-44E3-9099-C40C66FF867C}">
                  <a14:compatExt spid="_x0000_s26070020"/>
                </a:ext>
                <a:ext uri="{FF2B5EF4-FFF2-40B4-BE49-F238E27FC236}">
                  <a16:creationId xmlns:a16="http://schemas.microsoft.com/office/drawing/2014/main" id="{00000000-0008-0000-1C00-000004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6070021" name="Check Box 5" hidden="1">
              <a:extLst>
                <a:ext uri="{63B3BB69-23CF-44E3-9099-C40C66FF867C}">
                  <a14:compatExt spid="_x0000_s26070021"/>
                </a:ext>
                <a:ext uri="{FF2B5EF4-FFF2-40B4-BE49-F238E27FC236}">
                  <a16:creationId xmlns:a16="http://schemas.microsoft.com/office/drawing/2014/main" id="{00000000-0008-0000-1C00-000005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6070022" name="Check Box 6" hidden="1">
              <a:extLst>
                <a:ext uri="{63B3BB69-23CF-44E3-9099-C40C66FF867C}">
                  <a14:compatExt spid="_x0000_s26070022"/>
                </a:ext>
                <a:ext uri="{FF2B5EF4-FFF2-40B4-BE49-F238E27FC236}">
                  <a16:creationId xmlns:a16="http://schemas.microsoft.com/office/drawing/2014/main" id="{00000000-0008-0000-1C00-000006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6070023" name="Check Box 7" hidden="1">
              <a:extLst>
                <a:ext uri="{63B3BB69-23CF-44E3-9099-C40C66FF867C}">
                  <a14:compatExt spid="_x0000_s26070023"/>
                </a:ext>
                <a:ext uri="{FF2B5EF4-FFF2-40B4-BE49-F238E27FC236}">
                  <a16:creationId xmlns:a16="http://schemas.microsoft.com/office/drawing/2014/main" id="{00000000-0008-0000-1C00-000007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6070024" name="Button 8" hidden="1">
              <a:extLst>
                <a:ext uri="{63B3BB69-23CF-44E3-9099-C40C66FF867C}">
                  <a14:compatExt spid="_x0000_s26070024"/>
                </a:ext>
                <a:ext uri="{FF2B5EF4-FFF2-40B4-BE49-F238E27FC236}">
                  <a16:creationId xmlns:a16="http://schemas.microsoft.com/office/drawing/2014/main" id="{00000000-0008-0000-1C00-000008CC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6070025" name="Button 9" hidden="1">
              <a:extLst>
                <a:ext uri="{63B3BB69-23CF-44E3-9099-C40C66FF867C}">
                  <a14:compatExt spid="_x0000_s26070025"/>
                </a:ext>
                <a:ext uri="{FF2B5EF4-FFF2-40B4-BE49-F238E27FC236}">
                  <a16:creationId xmlns:a16="http://schemas.microsoft.com/office/drawing/2014/main" id="{00000000-0008-0000-1C00-000009CC8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6070026" name="Check Box 10" hidden="1">
              <a:extLst>
                <a:ext uri="{63B3BB69-23CF-44E3-9099-C40C66FF867C}">
                  <a14:compatExt spid="_x0000_s26070026"/>
                </a:ext>
                <a:ext uri="{FF2B5EF4-FFF2-40B4-BE49-F238E27FC236}">
                  <a16:creationId xmlns:a16="http://schemas.microsoft.com/office/drawing/2014/main" id="{00000000-0008-0000-1C00-00000A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6070027" name="Button 11" hidden="1">
              <a:extLst>
                <a:ext uri="{63B3BB69-23CF-44E3-9099-C40C66FF867C}">
                  <a14:compatExt spid="_x0000_s26070027"/>
                </a:ext>
                <a:ext uri="{FF2B5EF4-FFF2-40B4-BE49-F238E27FC236}">
                  <a16:creationId xmlns:a16="http://schemas.microsoft.com/office/drawing/2014/main" id="{00000000-0008-0000-1C00-00000B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6070028" name="Button 12" hidden="1">
              <a:extLst>
                <a:ext uri="{63B3BB69-23CF-44E3-9099-C40C66FF867C}">
                  <a14:compatExt spid="_x0000_s26070028"/>
                </a:ext>
                <a:ext uri="{FF2B5EF4-FFF2-40B4-BE49-F238E27FC236}">
                  <a16:creationId xmlns:a16="http://schemas.microsoft.com/office/drawing/2014/main" id="{00000000-0008-0000-1C00-00000C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6070029" name="Button 13" hidden="1">
              <a:extLst>
                <a:ext uri="{63B3BB69-23CF-44E3-9099-C40C66FF867C}">
                  <a14:compatExt spid="_x0000_s26070029"/>
                </a:ext>
                <a:ext uri="{FF2B5EF4-FFF2-40B4-BE49-F238E27FC236}">
                  <a16:creationId xmlns:a16="http://schemas.microsoft.com/office/drawing/2014/main" id="{00000000-0008-0000-1C00-00000D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6070030" name="Button 14" hidden="1">
              <a:extLst>
                <a:ext uri="{63B3BB69-23CF-44E3-9099-C40C66FF867C}">
                  <a14:compatExt spid="_x0000_s26070030"/>
                </a:ext>
                <a:ext uri="{FF2B5EF4-FFF2-40B4-BE49-F238E27FC236}">
                  <a16:creationId xmlns:a16="http://schemas.microsoft.com/office/drawing/2014/main" id="{00000000-0008-0000-1C00-00000E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6070031" name="Check Box 15" hidden="1">
              <a:extLst>
                <a:ext uri="{63B3BB69-23CF-44E3-9099-C40C66FF867C}">
                  <a14:compatExt spid="_x0000_s26070031"/>
                </a:ext>
                <a:ext uri="{FF2B5EF4-FFF2-40B4-BE49-F238E27FC236}">
                  <a16:creationId xmlns:a16="http://schemas.microsoft.com/office/drawing/2014/main" id="{00000000-0008-0000-1C00-00000F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6070032" name="Check Box 16" hidden="1">
              <a:extLst>
                <a:ext uri="{63B3BB69-23CF-44E3-9099-C40C66FF867C}">
                  <a14:compatExt spid="_x0000_s26070032"/>
                </a:ext>
                <a:ext uri="{FF2B5EF4-FFF2-40B4-BE49-F238E27FC236}">
                  <a16:creationId xmlns:a16="http://schemas.microsoft.com/office/drawing/2014/main" id="{00000000-0008-0000-1C00-000010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6070033" name="Check Box 17" hidden="1">
              <a:extLst>
                <a:ext uri="{63B3BB69-23CF-44E3-9099-C40C66FF867C}">
                  <a14:compatExt spid="_x0000_s26070033"/>
                </a:ext>
                <a:ext uri="{FF2B5EF4-FFF2-40B4-BE49-F238E27FC236}">
                  <a16:creationId xmlns:a16="http://schemas.microsoft.com/office/drawing/2014/main" id="{00000000-0008-0000-1C00-000011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6070034" name="Check Box 18" hidden="1">
              <a:extLst>
                <a:ext uri="{63B3BB69-23CF-44E3-9099-C40C66FF867C}">
                  <a14:compatExt spid="_x0000_s26070034"/>
                </a:ext>
                <a:ext uri="{FF2B5EF4-FFF2-40B4-BE49-F238E27FC236}">
                  <a16:creationId xmlns:a16="http://schemas.microsoft.com/office/drawing/2014/main" id="{00000000-0008-0000-1C00-000012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6070035" name="Check Box 19" hidden="1">
              <a:extLst>
                <a:ext uri="{63B3BB69-23CF-44E3-9099-C40C66FF867C}">
                  <a14:compatExt spid="_x0000_s26070035"/>
                </a:ext>
                <a:ext uri="{FF2B5EF4-FFF2-40B4-BE49-F238E27FC236}">
                  <a16:creationId xmlns:a16="http://schemas.microsoft.com/office/drawing/2014/main" id="{00000000-0008-0000-1C00-000013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6070036" name="Check Box 20" hidden="1">
              <a:extLst>
                <a:ext uri="{63B3BB69-23CF-44E3-9099-C40C66FF867C}">
                  <a14:compatExt spid="_x0000_s26070036"/>
                </a:ext>
                <a:ext uri="{FF2B5EF4-FFF2-40B4-BE49-F238E27FC236}">
                  <a16:creationId xmlns:a16="http://schemas.microsoft.com/office/drawing/2014/main" id="{00000000-0008-0000-1C00-000014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6070037" name="Check Box 21" hidden="1">
              <a:extLst>
                <a:ext uri="{63B3BB69-23CF-44E3-9099-C40C66FF867C}">
                  <a14:compatExt spid="_x0000_s26070037"/>
                </a:ext>
                <a:ext uri="{FF2B5EF4-FFF2-40B4-BE49-F238E27FC236}">
                  <a16:creationId xmlns:a16="http://schemas.microsoft.com/office/drawing/2014/main" id="{00000000-0008-0000-1C00-000015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6070038" name="Check Box 22" hidden="1">
              <a:extLst>
                <a:ext uri="{63B3BB69-23CF-44E3-9099-C40C66FF867C}">
                  <a14:compatExt spid="_x0000_s26070038"/>
                </a:ext>
                <a:ext uri="{FF2B5EF4-FFF2-40B4-BE49-F238E27FC236}">
                  <a16:creationId xmlns:a16="http://schemas.microsoft.com/office/drawing/2014/main" id="{00000000-0008-0000-1C00-000016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6070039" name="Check Box 23" hidden="1">
              <a:extLst>
                <a:ext uri="{63B3BB69-23CF-44E3-9099-C40C66FF867C}">
                  <a14:compatExt spid="_x0000_s26070039"/>
                </a:ext>
                <a:ext uri="{FF2B5EF4-FFF2-40B4-BE49-F238E27FC236}">
                  <a16:creationId xmlns:a16="http://schemas.microsoft.com/office/drawing/2014/main" id="{00000000-0008-0000-1C00-000017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6070040" name="Check Box 24" hidden="1">
              <a:extLst>
                <a:ext uri="{63B3BB69-23CF-44E3-9099-C40C66FF867C}">
                  <a14:compatExt spid="_x0000_s26070040"/>
                </a:ext>
                <a:ext uri="{FF2B5EF4-FFF2-40B4-BE49-F238E27FC236}">
                  <a16:creationId xmlns:a16="http://schemas.microsoft.com/office/drawing/2014/main" id="{00000000-0008-0000-1C00-000018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6070041" name="Check Box 25" hidden="1">
              <a:extLst>
                <a:ext uri="{63B3BB69-23CF-44E3-9099-C40C66FF867C}">
                  <a14:compatExt spid="_x0000_s26070041"/>
                </a:ext>
                <a:ext uri="{FF2B5EF4-FFF2-40B4-BE49-F238E27FC236}">
                  <a16:creationId xmlns:a16="http://schemas.microsoft.com/office/drawing/2014/main" id="{00000000-0008-0000-1C00-000019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6070042" name="Check Box 26" hidden="1">
              <a:extLst>
                <a:ext uri="{63B3BB69-23CF-44E3-9099-C40C66FF867C}">
                  <a14:compatExt spid="_x0000_s26070042"/>
                </a:ext>
                <a:ext uri="{FF2B5EF4-FFF2-40B4-BE49-F238E27FC236}">
                  <a16:creationId xmlns:a16="http://schemas.microsoft.com/office/drawing/2014/main" id="{00000000-0008-0000-1C00-00001A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6070043" name="Check Box 27" hidden="1">
              <a:extLst>
                <a:ext uri="{63B3BB69-23CF-44E3-9099-C40C66FF867C}">
                  <a14:compatExt spid="_x0000_s26070043"/>
                </a:ext>
                <a:ext uri="{FF2B5EF4-FFF2-40B4-BE49-F238E27FC236}">
                  <a16:creationId xmlns:a16="http://schemas.microsoft.com/office/drawing/2014/main" id="{00000000-0008-0000-1C00-00001B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6070044" name="Button 28" hidden="1">
              <a:extLst>
                <a:ext uri="{63B3BB69-23CF-44E3-9099-C40C66FF867C}">
                  <a14:compatExt spid="_x0000_s26070044"/>
                </a:ext>
                <a:ext uri="{FF2B5EF4-FFF2-40B4-BE49-F238E27FC236}">
                  <a16:creationId xmlns:a16="http://schemas.microsoft.com/office/drawing/2014/main" id="{00000000-0008-0000-1C00-00001C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6070045" name="Button 29" hidden="1">
              <a:extLst>
                <a:ext uri="{63B3BB69-23CF-44E3-9099-C40C66FF867C}">
                  <a14:compatExt spid="_x0000_s26070045"/>
                </a:ext>
                <a:ext uri="{FF2B5EF4-FFF2-40B4-BE49-F238E27FC236}">
                  <a16:creationId xmlns:a16="http://schemas.microsoft.com/office/drawing/2014/main" id="{00000000-0008-0000-1C00-00001DCC8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6070046" name="Check Box 30" hidden="1">
              <a:extLst>
                <a:ext uri="{63B3BB69-23CF-44E3-9099-C40C66FF867C}">
                  <a14:compatExt spid="_x0000_s26070046"/>
                </a:ext>
                <a:ext uri="{FF2B5EF4-FFF2-40B4-BE49-F238E27FC236}">
                  <a16:creationId xmlns:a16="http://schemas.microsoft.com/office/drawing/2014/main" id="{00000000-0008-0000-1C00-00001E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6070047" name="Check Box 31" hidden="1">
              <a:extLst>
                <a:ext uri="{63B3BB69-23CF-44E3-9099-C40C66FF867C}">
                  <a14:compatExt spid="_x0000_s26070047"/>
                </a:ext>
                <a:ext uri="{FF2B5EF4-FFF2-40B4-BE49-F238E27FC236}">
                  <a16:creationId xmlns:a16="http://schemas.microsoft.com/office/drawing/2014/main" id="{00000000-0008-0000-1C00-00001F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6070048" name="Check Box 32" hidden="1">
              <a:extLst>
                <a:ext uri="{63B3BB69-23CF-44E3-9099-C40C66FF867C}">
                  <a14:compatExt spid="_x0000_s26070048"/>
                </a:ext>
                <a:ext uri="{FF2B5EF4-FFF2-40B4-BE49-F238E27FC236}">
                  <a16:creationId xmlns:a16="http://schemas.microsoft.com/office/drawing/2014/main" id="{00000000-0008-0000-1C00-000020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6070049" name="Check Box 33" hidden="1">
              <a:extLst>
                <a:ext uri="{63B3BB69-23CF-44E3-9099-C40C66FF867C}">
                  <a14:compatExt spid="_x0000_s26070049"/>
                </a:ext>
                <a:ext uri="{FF2B5EF4-FFF2-40B4-BE49-F238E27FC236}">
                  <a16:creationId xmlns:a16="http://schemas.microsoft.com/office/drawing/2014/main" id="{00000000-0008-0000-1C00-000021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6070050" name="Check Box 34" hidden="1">
              <a:extLst>
                <a:ext uri="{63B3BB69-23CF-44E3-9099-C40C66FF867C}">
                  <a14:compatExt spid="_x0000_s26070050"/>
                </a:ext>
                <a:ext uri="{FF2B5EF4-FFF2-40B4-BE49-F238E27FC236}">
                  <a16:creationId xmlns:a16="http://schemas.microsoft.com/office/drawing/2014/main" id="{00000000-0008-0000-1C00-000022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6070051" name="Check Box 35" hidden="1">
              <a:extLst>
                <a:ext uri="{63B3BB69-23CF-44E3-9099-C40C66FF867C}">
                  <a14:compatExt spid="_x0000_s26070051"/>
                </a:ext>
                <a:ext uri="{FF2B5EF4-FFF2-40B4-BE49-F238E27FC236}">
                  <a16:creationId xmlns:a16="http://schemas.microsoft.com/office/drawing/2014/main" id="{00000000-0008-0000-1C00-000023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6070052" name="Check Box 36" hidden="1">
              <a:extLst>
                <a:ext uri="{63B3BB69-23CF-44E3-9099-C40C66FF867C}">
                  <a14:compatExt spid="_x0000_s26070052"/>
                </a:ext>
                <a:ext uri="{FF2B5EF4-FFF2-40B4-BE49-F238E27FC236}">
                  <a16:creationId xmlns:a16="http://schemas.microsoft.com/office/drawing/2014/main" id="{00000000-0008-0000-1C00-000024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6070053" name="Check Box 37" hidden="1">
              <a:extLst>
                <a:ext uri="{63B3BB69-23CF-44E3-9099-C40C66FF867C}">
                  <a14:compatExt spid="_x0000_s26070053"/>
                </a:ext>
                <a:ext uri="{FF2B5EF4-FFF2-40B4-BE49-F238E27FC236}">
                  <a16:creationId xmlns:a16="http://schemas.microsoft.com/office/drawing/2014/main" id="{00000000-0008-0000-1C00-000025CC8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A5FAC50-D367-416A-8EAC-C7D2D0BAD8A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B02A4D1-82E0-4489-8C0F-C75D69E9BE2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962497" name="Check Box 1" hidden="1">
              <a:extLst>
                <a:ext uri="{63B3BB69-23CF-44E3-9099-C40C66FF867C}">
                  <a14:compatExt spid="_x0000_s25962497"/>
                </a:ext>
                <a:ext uri="{FF2B5EF4-FFF2-40B4-BE49-F238E27FC236}">
                  <a16:creationId xmlns:a16="http://schemas.microsoft.com/office/drawing/2014/main" id="{00000000-0008-0000-1D00-000001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962498" name="Check Box 2" hidden="1">
              <a:extLst>
                <a:ext uri="{63B3BB69-23CF-44E3-9099-C40C66FF867C}">
                  <a14:compatExt spid="_x0000_s25962498"/>
                </a:ext>
                <a:ext uri="{FF2B5EF4-FFF2-40B4-BE49-F238E27FC236}">
                  <a16:creationId xmlns:a16="http://schemas.microsoft.com/office/drawing/2014/main" id="{00000000-0008-0000-1D00-000002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962499" name="Check Box 3" hidden="1">
              <a:extLst>
                <a:ext uri="{63B3BB69-23CF-44E3-9099-C40C66FF867C}">
                  <a14:compatExt spid="_x0000_s25962499"/>
                </a:ext>
                <a:ext uri="{FF2B5EF4-FFF2-40B4-BE49-F238E27FC236}">
                  <a16:creationId xmlns:a16="http://schemas.microsoft.com/office/drawing/2014/main" id="{00000000-0008-0000-1D00-000003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962500" name="Check Box 4" hidden="1">
              <a:extLst>
                <a:ext uri="{63B3BB69-23CF-44E3-9099-C40C66FF867C}">
                  <a14:compatExt spid="_x0000_s25962500"/>
                </a:ext>
                <a:ext uri="{FF2B5EF4-FFF2-40B4-BE49-F238E27FC236}">
                  <a16:creationId xmlns:a16="http://schemas.microsoft.com/office/drawing/2014/main" id="{00000000-0008-0000-1D00-000004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962501" name="Check Box 5" hidden="1">
              <a:extLst>
                <a:ext uri="{63B3BB69-23CF-44E3-9099-C40C66FF867C}">
                  <a14:compatExt spid="_x0000_s25962501"/>
                </a:ext>
                <a:ext uri="{FF2B5EF4-FFF2-40B4-BE49-F238E27FC236}">
                  <a16:creationId xmlns:a16="http://schemas.microsoft.com/office/drawing/2014/main" id="{00000000-0008-0000-1D00-000005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962502" name="Check Box 6" hidden="1">
              <a:extLst>
                <a:ext uri="{63B3BB69-23CF-44E3-9099-C40C66FF867C}">
                  <a14:compatExt spid="_x0000_s25962502"/>
                </a:ext>
                <a:ext uri="{FF2B5EF4-FFF2-40B4-BE49-F238E27FC236}">
                  <a16:creationId xmlns:a16="http://schemas.microsoft.com/office/drawing/2014/main" id="{00000000-0008-0000-1D00-000006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962503" name="Check Box 7" hidden="1">
              <a:extLst>
                <a:ext uri="{63B3BB69-23CF-44E3-9099-C40C66FF867C}">
                  <a14:compatExt spid="_x0000_s25962503"/>
                </a:ext>
                <a:ext uri="{FF2B5EF4-FFF2-40B4-BE49-F238E27FC236}">
                  <a16:creationId xmlns:a16="http://schemas.microsoft.com/office/drawing/2014/main" id="{00000000-0008-0000-1D00-000007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962504" name="Button 8" hidden="1">
              <a:extLst>
                <a:ext uri="{63B3BB69-23CF-44E3-9099-C40C66FF867C}">
                  <a14:compatExt spid="_x0000_s25962504"/>
                </a:ext>
                <a:ext uri="{FF2B5EF4-FFF2-40B4-BE49-F238E27FC236}">
                  <a16:creationId xmlns:a16="http://schemas.microsoft.com/office/drawing/2014/main" id="{00000000-0008-0000-1D00-000008288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962505" name="Button 9" hidden="1">
              <a:extLst>
                <a:ext uri="{63B3BB69-23CF-44E3-9099-C40C66FF867C}">
                  <a14:compatExt spid="_x0000_s25962505"/>
                </a:ext>
                <a:ext uri="{FF2B5EF4-FFF2-40B4-BE49-F238E27FC236}">
                  <a16:creationId xmlns:a16="http://schemas.microsoft.com/office/drawing/2014/main" id="{00000000-0008-0000-1D00-000009288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962506" name="Check Box 10" hidden="1">
              <a:extLst>
                <a:ext uri="{63B3BB69-23CF-44E3-9099-C40C66FF867C}">
                  <a14:compatExt spid="_x0000_s25962506"/>
                </a:ext>
                <a:ext uri="{FF2B5EF4-FFF2-40B4-BE49-F238E27FC236}">
                  <a16:creationId xmlns:a16="http://schemas.microsoft.com/office/drawing/2014/main" id="{00000000-0008-0000-1D00-00000A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962507" name="Button 11" hidden="1">
              <a:extLst>
                <a:ext uri="{63B3BB69-23CF-44E3-9099-C40C66FF867C}">
                  <a14:compatExt spid="_x0000_s25962507"/>
                </a:ext>
                <a:ext uri="{FF2B5EF4-FFF2-40B4-BE49-F238E27FC236}">
                  <a16:creationId xmlns:a16="http://schemas.microsoft.com/office/drawing/2014/main" id="{00000000-0008-0000-1D00-00000B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962508" name="Button 12" hidden="1">
              <a:extLst>
                <a:ext uri="{63B3BB69-23CF-44E3-9099-C40C66FF867C}">
                  <a14:compatExt spid="_x0000_s25962508"/>
                </a:ext>
                <a:ext uri="{FF2B5EF4-FFF2-40B4-BE49-F238E27FC236}">
                  <a16:creationId xmlns:a16="http://schemas.microsoft.com/office/drawing/2014/main" id="{00000000-0008-0000-1D00-00000C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962509" name="Button 13" hidden="1">
              <a:extLst>
                <a:ext uri="{63B3BB69-23CF-44E3-9099-C40C66FF867C}">
                  <a14:compatExt spid="_x0000_s25962509"/>
                </a:ext>
                <a:ext uri="{FF2B5EF4-FFF2-40B4-BE49-F238E27FC236}">
                  <a16:creationId xmlns:a16="http://schemas.microsoft.com/office/drawing/2014/main" id="{00000000-0008-0000-1D00-00000D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962510" name="Button 14" hidden="1">
              <a:extLst>
                <a:ext uri="{63B3BB69-23CF-44E3-9099-C40C66FF867C}">
                  <a14:compatExt spid="_x0000_s25962510"/>
                </a:ext>
                <a:ext uri="{FF2B5EF4-FFF2-40B4-BE49-F238E27FC236}">
                  <a16:creationId xmlns:a16="http://schemas.microsoft.com/office/drawing/2014/main" id="{00000000-0008-0000-1D00-00000E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962511" name="Check Box 15" hidden="1">
              <a:extLst>
                <a:ext uri="{63B3BB69-23CF-44E3-9099-C40C66FF867C}">
                  <a14:compatExt spid="_x0000_s25962511"/>
                </a:ext>
                <a:ext uri="{FF2B5EF4-FFF2-40B4-BE49-F238E27FC236}">
                  <a16:creationId xmlns:a16="http://schemas.microsoft.com/office/drawing/2014/main" id="{00000000-0008-0000-1D00-00000F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962512" name="Check Box 16" hidden="1">
              <a:extLst>
                <a:ext uri="{63B3BB69-23CF-44E3-9099-C40C66FF867C}">
                  <a14:compatExt spid="_x0000_s25962512"/>
                </a:ext>
                <a:ext uri="{FF2B5EF4-FFF2-40B4-BE49-F238E27FC236}">
                  <a16:creationId xmlns:a16="http://schemas.microsoft.com/office/drawing/2014/main" id="{00000000-0008-0000-1D00-000010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962513" name="Check Box 17" hidden="1">
              <a:extLst>
                <a:ext uri="{63B3BB69-23CF-44E3-9099-C40C66FF867C}">
                  <a14:compatExt spid="_x0000_s25962513"/>
                </a:ext>
                <a:ext uri="{FF2B5EF4-FFF2-40B4-BE49-F238E27FC236}">
                  <a16:creationId xmlns:a16="http://schemas.microsoft.com/office/drawing/2014/main" id="{00000000-0008-0000-1D00-000011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962514" name="Check Box 18" hidden="1">
              <a:extLst>
                <a:ext uri="{63B3BB69-23CF-44E3-9099-C40C66FF867C}">
                  <a14:compatExt spid="_x0000_s25962514"/>
                </a:ext>
                <a:ext uri="{FF2B5EF4-FFF2-40B4-BE49-F238E27FC236}">
                  <a16:creationId xmlns:a16="http://schemas.microsoft.com/office/drawing/2014/main" id="{00000000-0008-0000-1D00-000012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962515" name="Check Box 19" hidden="1">
              <a:extLst>
                <a:ext uri="{63B3BB69-23CF-44E3-9099-C40C66FF867C}">
                  <a14:compatExt spid="_x0000_s25962515"/>
                </a:ext>
                <a:ext uri="{FF2B5EF4-FFF2-40B4-BE49-F238E27FC236}">
                  <a16:creationId xmlns:a16="http://schemas.microsoft.com/office/drawing/2014/main" id="{00000000-0008-0000-1D00-000013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962516" name="Check Box 20" hidden="1">
              <a:extLst>
                <a:ext uri="{63B3BB69-23CF-44E3-9099-C40C66FF867C}">
                  <a14:compatExt spid="_x0000_s25962516"/>
                </a:ext>
                <a:ext uri="{FF2B5EF4-FFF2-40B4-BE49-F238E27FC236}">
                  <a16:creationId xmlns:a16="http://schemas.microsoft.com/office/drawing/2014/main" id="{00000000-0008-0000-1D00-000014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962517" name="Check Box 21" hidden="1">
              <a:extLst>
                <a:ext uri="{63B3BB69-23CF-44E3-9099-C40C66FF867C}">
                  <a14:compatExt spid="_x0000_s25962517"/>
                </a:ext>
                <a:ext uri="{FF2B5EF4-FFF2-40B4-BE49-F238E27FC236}">
                  <a16:creationId xmlns:a16="http://schemas.microsoft.com/office/drawing/2014/main" id="{00000000-0008-0000-1D00-000015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962518" name="Check Box 22" hidden="1">
              <a:extLst>
                <a:ext uri="{63B3BB69-23CF-44E3-9099-C40C66FF867C}">
                  <a14:compatExt spid="_x0000_s25962518"/>
                </a:ext>
                <a:ext uri="{FF2B5EF4-FFF2-40B4-BE49-F238E27FC236}">
                  <a16:creationId xmlns:a16="http://schemas.microsoft.com/office/drawing/2014/main" id="{00000000-0008-0000-1D00-000016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962519" name="Check Box 23" hidden="1">
              <a:extLst>
                <a:ext uri="{63B3BB69-23CF-44E3-9099-C40C66FF867C}">
                  <a14:compatExt spid="_x0000_s25962519"/>
                </a:ext>
                <a:ext uri="{FF2B5EF4-FFF2-40B4-BE49-F238E27FC236}">
                  <a16:creationId xmlns:a16="http://schemas.microsoft.com/office/drawing/2014/main" id="{00000000-0008-0000-1D00-000017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962520" name="Check Box 24" hidden="1">
              <a:extLst>
                <a:ext uri="{63B3BB69-23CF-44E3-9099-C40C66FF867C}">
                  <a14:compatExt spid="_x0000_s25962520"/>
                </a:ext>
                <a:ext uri="{FF2B5EF4-FFF2-40B4-BE49-F238E27FC236}">
                  <a16:creationId xmlns:a16="http://schemas.microsoft.com/office/drawing/2014/main" id="{00000000-0008-0000-1D00-000018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962521" name="Check Box 25" hidden="1">
              <a:extLst>
                <a:ext uri="{63B3BB69-23CF-44E3-9099-C40C66FF867C}">
                  <a14:compatExt spid="_x0000_s25962521"/>
                </a:ext>
                <a:ext uri="{FF2B5EF4-FFF2-40B4-BE49-F238E27FC236}">
                  <a16:creationId xmlns:a16="http://schemas.microsoft.com/office/drawing/2014/main" id="{00000000-0008-0000-1D00-000019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962522" name="Check Box 26" hidden="1">
              <a:extLst>
                <a:ext uri="{63B3BB69-23CF-44E3-9099-C40C66FF867C}">
                  <a14:compatExt spid="_x0000_s25962522"/>
                </a:ext>
                <a:ext uri="{FF2B5EF4-FFF2-40B4-BE49-F238E27FC236}">
                  <a16:creationId xmlns:a16="http://schemas.microsoft.com/office/drawing/2014/main" id="{00000000-0008-0000-1D00-00001A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962523" name="Check Box 27" hidden="1">
              <a:extLst>
                <a:ext uri="{63B3BB69-23CF-44E3-9099-C40C66FF867C}">
                  <a14:compatExt spid="_x0000_s25962523"/>
                </a:ext>
                <a:ext uri="{FF2B5EF4-FFF2-40B4-BE49-F238E27FC236}">
                  <a16:creationId xmlns:a16="http://schemas.microsoft.com/office/drawing/2014/main" id="{00000000-0008-0000-1D00-00001B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962524" name="Button 28" hidden="1">
              <a:extLst>
                <a:ext uri="{63B3BB69-23CF-44E3-9099-C40C66FF867C}">
                  <a14:compatExt spid="_x0000_s25962524"/>
                </a:ext>
                <a:ext uri="{FF2B5EF4-FFF2-40B4-BE49-F238E27FC236}">
                  <a16:creationId xmlns:a16="http://schemas.microsoft.com/office/drawing/2014/main" id="{00000000-0008-0000-1D00-00001C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962525" name="Button 29" hidden="1">
              <a:extLst>
                <a:ext uri="{63B3BB69-23CF-44E3-9099-C40C66FF867C}">
                  <a14:compatExt spid="_x0000_s25962525"/>
                </a:ext>
                <a:ext uri="{FF2B5EF4-FFF2-40B4-BE49-F238E27FC236}">
                  <a16:creationId xmlns:a16="http://schemas.microsoft.com/office/drawing/2014/main" id="{00000000-0008-0000-1D00-00001D288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962526" name="Check Box 30" hidden="1">
              <a:extLst>
                <a:ext uri="{63B3BB69-23CF-44E3-9099-C40C66FF867C}">
                  <a14:compatExt spid="_x0000_s25962526"/>
                </a:ext>
                <a:ext uri="{FF2B5EF4-FFF2-40B4-BE49-F238E27FC236}">
                  <a16:creationId xmlns:a16="http://schemas.microsoft.com/office/drawing/2014/main" id="{00000000-0008-0000-1D00-00001E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962527" name="Check Box 31" hidden="1">
              <a:extLst>
                <a:ext uri="{63B3BB69-23CF-44E3-9099-C40C66FF867C}">
                  <a14:compatExt spid="_x0000_s25962527"/>
                </a:ext>
                <a:ext uri="{FF2B5EF4-FFF2-40B4-BE49-F238E27FC236}">
                  <a16:creationId xmlns:a16="http://schemas.microsoft.com/office/drawing/2014/main" id="{00000000-0008-0000-1D00-00001F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962528" name="Check Box 32" hidden="1">
              <a:extLst>
                <a:ext uri="{63B3BB69-23CF-44E3-9099-C40C66FF867C}">
                  <a14:compatExt spid="_x0000_s25962528"/>
                </a:ext>
                <a:ext uri="{FF2B5EF4-FFF2-40B4-BE49-F238E27FC236}">
                  <a16:creationId xmlns:a16="http://schemas.microsoft.com/office/drawing/2014/main" id="{00000000-0008-0000-1D00-000020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962529" name="Check Box 33" hidden="1">
              <a:extLst>
                <a:ext uri="{63B3BB69-23CF-44E3-9099-C40C66FF867C}">
                  <a14:compatExt spid="_x0000_s25962529"/>
                </a:ext>
                <a:ext uri="{FF2B5EF4-FFF2-40B4-BE49-F238E27FC236}">
                  <a16:creationId xmlns:a16="http://schemas.microsoft.com/office/drawing/2014/main" id="{00000000-0008-0000-1D00-000021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962530" name="Check Box 34" hidden="1">
              <a:extLst>
                <a:ext uri="{63B3BB69-23CF-44E3-9099-C40C66FF867C}">
                  <a14:compatExt spid="_x0000_s25962530"/>
                </a:ext>
                <a:ext uri="{FF2B5EF4-FFF2-40B4-BE49-F238E27FC236}">
                  <a16:creationId xmlns:a16="http://schemas.microsoft.com/office/drawing/2014/main" id="{00000000-0008-0000-1D00-000022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962531" name="Check Box 35" hidden="1">
              <a:extLst>
                <a:ext uri="{63B3BB69-23CF-44E3-9099-C40C66FF867C}">
                  <a14:compatExt spid="_x0000_s25962531"/>
                </a:ext>
                <a:ext uri="{FF2B5EF4-FFF2-40B4-BE49-F238E27FC236}">
                  <a16:creationId xmlns:a16="http://schemas.microsoft.com/office/drawing/2014/main" id="{00000000-0008-0000-1D00-000023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962532" name="Check Box 36" hidden="1">
              <a:extLst>
                <a:ext uri="{63B3BB69-23CF-44E3-9099-C40C66FF867C}">
                  <a14:compatExt spid="_x0000_s25962532"/>
                </a:ext>
                <a:ext uri="{FF2B5EF4-FFF2-40B4-BE49-F238E27FC236}">
                  <a16:creationId xmlns:a16="http://schemas.microsoft.com/office/drawing/2014/main" id="{00000000-0008-0000-1D00-000024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962533" name="Check Box 37" hidden="1">
              <a:extLst>
                <a:ext uri="{63B3BB69-23CF-44E3-9099-C40C66FF867C}">
                  <a14:compatExt spid="_x0000_s25962533"/>
                </a:ext>
                <a:ext uri="{FF2B5EF4-FFF2-40B4-BE49-F238E27FC236}">
                  <a16:creationId xmlns:a16="http://schemas.microsoft.com/office/drawing/2014/main" id="{00000000-0008-0000-1D00-000025288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DD0FFE7-769C-4010-81E2-BF7186AE8AA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6E90F78-6418-44DD-968E-DBEA9A36459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50881" name="Check Box 1" hidden="1">
              <a:extLst>
                <a:ext uri="{63B3BB69-23CF-44E3-9099-C40C66FF867C}">
                  <a14:compatExt spid="_x0000_s25850881"/>
                </a:ext>
                <a:ext uri="{FF2B5EF4-FFF2-40B4-BE49-F238E27FC236}">
                  <a16:creationId xmlns:a16="http://schemas.microsoft.com/office/drawing/2014/main" id="{00000000-0008-0000-1E00-000001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50882" name="Check Box 2" hidden="1">
              <a:extLst>
                <a:ext uri="{63B3BB69-23CF-44E3-9099-C40C66FF867C}">
                  <a14:compatExt spid="_x0000_s25850882"/>
                </a:ext>
                <a:ext uri="{FF2B5EF4-FFF2-40B4-BE49-F238E27FC236}">
                  <a16:creationId xmlns:a16="http://schemas.microsoft.com/office/drawing/2014/main" id="{00000000-0008-0000-1E00-000002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50883" name="Check Box 3" hidden="1">
              <a:extLst>
                <a:ext uri="{63B3BB69-23CF-44E3-9099-C40C66FF867C}">
                  <a14:compatExt spid="_x0000_s25850883"/>
                </a:ext>
                <a:ext uri="{FF2B5EF4-FFF2-40B4-BE49-F238E27FC236}">
                  <a16:creationId xmlns:a16="http://schemas.microsoft.com/office/drawing/2014/main" id="{00000000-0008-0000-1E00-000003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50884" name="Check Box 4" hidden="1">
              <a:extLst>
                <a:ext uri="{63B3BB69-23CF-44E3-9099-C40C66FF867C}">
                  <a14:compatExt spid="_x0000_s25850884"/>
                </a:ext>
                <a:ext uri="{FF2B5EF4-FFF2-40B4-BE49-F238E27FC236}">
                  <a16:creationId xmlns:a16="http://schemas.microsoft.com/office/drawing/2014/main" id="{00000000-0008-0000-1E00-000004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50885" name="Check Box 5" hidden="1">
              <a:extLst>
                <a:ext uri="{63B3BB69-23CF-44E3-9099-C40C66FF867C}">
                  <a14:compatExt spid="_x0000_s25850885"/>
                </a:ext>
                <a:ext uri="{FF2B5EF4-FFF2-40B4-BE49-F238E27FC236}">
                  <a16:creationId xmlns:a16="http://schemas.microsoft.com/office/drawing/2014/main" id="{00000000-0008-0000-1E00-000005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50886" name="Check Box 6" hidden="1">
              <a:extLst>
                <a:ext uri="{63B3BB69-23CF-44E3-9099-C40C66FF867C}">
                  <a14:compatExt spid="_x0000_s25850886"/>
                </a:ext>
                <a:ext uri="{FF2B5EF4-FFF2-40B4-BE49-F238E27FC236}">
                  <a16:creationId xmlns:a16="http://schemas.microsoft.com/office/drawing/2014/main" id="{00000000-0008-0000-1E00-000006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50887" name="Check Box 7" hidden="1">
              <a:extLst>
                <a:ext uri="{63B3BB69-23CF-44E3-9099-C40C66FF867C}">
                  <a14:compatExt spid="_x0000_s25850887"/>
                </a:ext>
                <a:ext uri="{FF2B5EF4-FFF2-40B4-BE49-F238E27FC236}">
                  <a16:creationId xmlns:a16="http://schemas.microsoft.com/office/drawing/2014/main" id="{00000000-0008-0000-1E00-000007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50888" name="Button 8" hidden="1">
              <a:extLst>
                <a:ext uri="{63B3BB69-23CF-44E3-9099-C40C66FF867C}">
                  <a14:compatExt spid="_x0000_s25850888"/>
                </a:ext>
                <a:ext uri="{FF2B5EF4-FFF2-40B4-BE49-F238E27FC236}">
                  <a16:creationId xmlns:a16="http://schemas.microsoft.com/office/drawing/2014/main" id="{00000000-0008-0000-1E00-0000087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50889" name="Button 9" hidden="1">
              <a:extLst>
                <a:ext uri="{63B3BB69-23CF-44E3-9099-C40C66FF867C}">
                  <a14:compatExt spid="_x0000_s25850889"/>
                </a:ext>
                <a:ext uri="{FF2B5EF4-FFF2-40B4-BE49-F238E27FC236}">
                  <a16:creationId xmlns:a16="http://schemas.microsoft.com/office/drawing/2014/main" id="{00000000-0008-0000-1E00-0000097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50890" name="Check Box 10" hidden="1">
              <a:extLst>
                <a:ext uri="{63B3BB69-23CF-44E3-9099-C40C66FF867C}">
                  <a14:compatExt spid="_x0000_s25850890"/>
                </a:ext>
                <a:ext uri="{FF2B5EF4-FFF2-40B4-BE49-F238E27FC236}">
                  <a16:creationId xmlns:a16="http://schemas.microsoft.com/office/drawing/2014/main" id="{00000000-0008-0000-1E00-00000A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50891" name="Button 11" hidden="1">
              <a:extLst>
                <a:ext uri="{63B3BB69-23CF-44E3-9099-C40C66FF867C}">
                  <a14:compatExt spid="_x0000_s25850891"/>
                </a:ext>
                <a:ext uri="{FF2B5EF4-FFF2-40B4-BE49-F238E27FC236}">
                  <a16:creationId xmlns:a16="http://schemas.microsoft.com/office/drawing/2014/main" id="{00000000-0008-0000-1E00-00000B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50892" name="Button 12" hidden="1">
              <a:extLst>
                <a:ext uri="{63B3BB69-23CF-44E3-9099-C40C66FF867C}">
                  <a14:compatExt spid="_x0000_s25850892"/>
                </a:ext>
                <a:ext uri="{FF2B5EF4-FFF2-40B4-BE49-F238E27FC236}">
                  <a16:creationId xmlns:a16="http://schemas.microsoft.com/office/drawing/2014/main" id="{00000000-0008-0000-1E00-00000C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50893" name="Button 13" hidden="1">
              <a:extLst>
                <a:ext uri="{63B3BB69-23CF-44E3-9099-C40C66FF867C}">
                  <a14:compatExt spid="_x0000_s25850893"/>
                </a:ext>
                <a:ext uri="{FF2B5EF4-FFF2-40B4-BE49-F238E27FC236}">
                  <a16:creationId xmlns:a16="http://schemas.microsoft.com/office/drawing/2014/main" id="{00000000-0008-0000-1E00-00000D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50894" name="Button 14" hidden="1">
              <a:extLst>
                <a:ext uri="{63B3BB69-23CF-44E3-9099-C40C66FF867C}">
                  <a14:compatExt spid="_x0000_s25850894"/>
                </a:ext>
                <a:ext uri="{FF2B5EF4-FFF2-40B4-BE49-F238E27FC236}">
                  <a16:creationId xmlns:a16="http://schemas.microsoft.com/office/drawing/2014/main" id="{00000000-0008-0000-1E00-00000E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50895" name="Check Box 15" hidden="1">
              <a:extLst>
                <a:ext uri="{63B3BB69-23CF-44E3-9099-C40C66FF867C}">
                  <a14:compatExt spid="_x0000_s25850895"/>
                </a:ext>
                <a:ext uri="{FF2B5EF4-FFF2-40B4-BE49-F238E27FC236}">
                  <a16:creationId xmlns:a16="http://schemas.microsoft.com/office/drawing/2014/main" id="{00000000-0008-0000-1E00-00000F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50896" name="Check Box 16" hidden="1">
              <a:extLst>
                <a:ext uri="{63B3BB69-23CF-44E3-9099-C40C66FF867C}">
                  <a14:compatExt spid="_x0000_s25850896"/>
                </a:ext>
                <a:ext uri="{FF2B5EF4-FFF2-40B4-BE49-F238E27FC236}">
                  <a16:creationId xmlns:a16="http://schemas.microsoft.com/office/drawing/2014/main" id="{00000000-0008-0000-1E00-000010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50897" name="Check Box 17" hidden="1">
              <a:extLst>
                <a:ext uri="{63B3BB69-23CF-44E3-9099-C40C66FF867C}">
                  <a14:compatExt spid="_x0000_s25850897"/>
                </a:ext>
                <a:ext uri="{FF2B5EF4-FFF2-40B4-BE49-F238E27FC236}">
                  <a16:creationId xmlns:a16="http://schemas.microsoft.com/office/drawing/2014/main" id="{00000000-0008-0000-1E00-000011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50898" name="Check Box 18" hidden="1">
              <a:extLst>
                <a:ext uri="{63B3BB69-23CF-44E3-9099-C40C66FF867C}">
                  <a14:compatExt spid="_x0000_s25850898"/>
                </a:ext>
                <a:ext uri="{FF2B5EF4-FFF2-40B4-BE49-F238E27FC236}">
                  <a16:creationId xmlns:a16="http://schemas.microsoft.com/office/drawing/2014/main" id="{00000000-0008-0000-1E00-000012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50899" name="Check Box 19" hidden="1">
              <a:extLst>
                <a:ext uri="{63B3BB69-23CF-44E3-9099-C40C66FF867C}">
                  <a14:compatExt spid="_x0000_s25850899"/>
                </a:ext>
                <a:ext uri="{FF2B5EF4-FFF2-40B4-BE49-F238E27FC236}">
                  <a16:creationId xmlns:a16="http://schemas.microsoft.com/office/drawing/2014/main" id="{00000000-0008-0000-1E00-000013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50900" name="Check Box 20" hidden="1">
              <a:extLst>
                <a:ext uri="{63B3BB69-23CF-44E3-9099-C40C66FF867C}">
                  <a14:compatExt spid="_x0000_s25850900"/>
                </a:ext>
                <a:ext uri="{FF2B5EF4-FFF2-40B4-BE49-F238E27FC236}">
                  <a16:creationId xmlns:a16="http://schemas.microsoft.com/office/drawing/2014/main" id="{00000000-0008-0000-1E00-000014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50901" name="Check Box 21" hidden="1">
              <a:extLst>
                <a:ext uri="{63B3BB69-23CF-44E3-9099-C40C66FF867C}">
                  <a14:compatExt spid="_x0000_s25850901"/>
                </a:ext>
                <a:ext uri="{FF2B5EF4-FFF2-40B4-BE49-F238E27FC236}">
                  <a16:creationId xmlns:a16="http://schemas.microsoft.com/office/drawing/2014/main" id="{00000000-0008-0000-1E00-000015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50902" name="Check Box 22" hidden="1">
              <a:extLst>
                <a:ext uri="{63B3BB69-23CF-44E3-9099-C40C66FF867C}">
                  <a14:compatExt spid="_x0000_s25850902"/>
                </a:ext>
                <a:ext uri="{FF2B5EF4-FFF2-40B4-BE49-F238E27FC236}">
                  <a16:creationId xmlns:a16="http://schemas.microsoft.com/office/drawing/2014/main" id="{00000000-0008-0000-1E00-000016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50903" name="Check Box 23" hidden="1">
              <a:extLst>
                <a:ext uri="{63B3BB69-23CF-44E3-9099-C40C66FF867C}">
                  <a14:compatExt spid="_x0000_s25850903"/>
                </a:ext>
                <a:ext uri="{FF2B5EF4-FFF2-40B4-BE49-F238E27FC236}">
                  <a16:creationId xmlns:a16="http://schemas.microsoft.com/office/drawing/2014/main" id="{00000000-0008-0000-1E00-000017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50904" name="Check Box 24" hidden="1">
              <a:extLst>
                <a:ext uri="{63B3BB69-23CF-44E3-9099-C40C66FF867C}">
                  <a14:compatExt spid="_x0000_s25850904"/>
                </a:ext>
                <a:ext uri="{FF2B5EF4-FFF2-40B4-BE49-F238E27FC236}">
                  <a16:creationId xmlns:a16="http://schemas.microsoft.com/office/drawing/2014/main" id="{00000000-0008-0000-1E00-000018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50905" name="Check Box 25" hidden="1">
              <a:extLst>
                <a:ext uri="{63B3BB69-23CF-44E3-9099-C40C66FF867C}">
                  <a14:compatExt spid="_x0000_s25850905"/>
                </a:ext>
                <a:ext uri="{FF2B5EF4-FFF2-40B4-BE49-F238E27FC236}">
                  <a16:creationId xmlns:a16="http://schemas.microsoft.com/office/drawing/2014/main" id="{00000000-0008-0000-1E00-000019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50906" name="Check Box 26" hidden="1">
              <a:extLst>
                <a:ext uri="{63B3BB69-23CF-44E3-9099-C40C66FF867C}">
                  <a14:compatExt spid="_x0000_s25850906"/>
                </a:ext>
                <a:ext uri="{FF2B5EF4-FFF2-40B4-BE49-F238E27FC236}">
                  <a16:creationId xmlns:a16="http://schemas.microsoft.com/office/drawing/2014/main" id="{00000000-0008-0000-1E00-00001A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50907" name="Check Box 27" hidden="1">
              <a:extLst>
                <a:ext uri="{63B3BB69-23CF-44E3-9099-C40C66FF867C}">
                  <a14:compatExt spid="_x0000_s25850907"/>
                </a:ext>
                <a:ext uri="{FF2B5EF4-FFF2-40B4-BE49-F238E27FC236}">
                  <a16:creationId xmlns:a16="http://schemas.microsoft.com/office/drawing/2014/main" id="{00000000-0008-0000-1E00-00001B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50908" name="Button 28" hidden="1">
              <a:extLst>
                <a:ext uri="{63B3BB69-23CF-44E3-9099-C40C66FF867C}">
                  <a14:compatExt spid="_x0000_s25850908"/>
                </a:ext>
                <a:ext uri="{FF2B5EF4-FFF2-40B4-BE49-F238E27FC236}">
                  <a16:creationId xmlns:a16="http://schemas.microsoft.com/office/drawing/2014/main" id="{00000000-0008-0000-1E00-00001C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50909" name="Button 29" hidden="1">
              <a:extLst>
                <a:ext uri="{63B3BB69-23CF-44E3-9099-C40C66FF867C}">
                  <a14:compatExt spid="_x0000_s25850909"/>
                </a:ext>
                <a:ext uri="{FF2B5EF4-FFF2-40B4-BE49-F238E27FC236}">
                  <a16:creationId xmlns:a16="http://schemas.microsoft.com/office/drawing/2014/main" id="{00000000-0008-0000-1E00-00001D7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50910" name="Check Box 30" hidden="1">
              <a:extLst>
                <a:ext uri="{63B3BB69-23CF-44E3-9099-C40C66FF867C}">
                  <a14:compatExt spid="_x0000_s25850910"/>
                </a:ext>
                <a:ext uri="{FF2B5EF4-FFF2-40B4-BE49-F238E27FC236}">
                  <a16:creationId xmlns:a16="http://schemas.microsoft.com/office/drawing/2014/main" id="{00000000-0008-0000-1E00-00001E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50911" name="Check Box 31" hidden="1">
              <a:extLst>
                <a:ext uri="{63B3BB69-23CF-44E3-9099-C40C66FF867C}">
                  <a14:compatExt spid="_x0000_s25850911"/>
                </a:ext>
                <a:ext uri="{FF2B5EF4-FFF2-40B4-BE49-F238E27FC236}">
                  <a16:creationId xmlns:a16="http://schemas.microsoft.com/office/drawing/2014/main" id="{00000000-0008-0000-1E00-00001F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50912" name="Check Box 32" hidden="1">
              <a:extLst>
                <a:ext uri="{63B3BB69-23CF-44E3-9099-C40C66FF867C}">
                  <a14:compatExt spid="_x0000_s25850912"/>
                </a:ext>
                <a:ext uri="{FF2B5EF4-FFF2-40B4-BE49-F238E27FC236}">
                  <a16:creationId xmlns:a16="http://schemas.microsoft.com/office/drawing/2014/main" id="{00000000-0008-0000-1E00-000020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50913" name="Check Box 33" hidden="1">
              <a:extLst>
                <a:ext uri="{63B3BB69-23CF-44E3-9099-C40C66FF867C}">
                  <a14:compatExt spid="_x0000_s25850913"/>
                </a:ext>
                <a:ext uri="{FF2B5EF4-FFF2-40B4-BE49-F238E27FC236}">
                  <a16:creationId xmlns:a16="http://schemas.microsoft.com/office/drawing/2014/main" id="{00000000-0008-0000-1E00-000021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50914" name="Check Box 34" hidden="1">
              <a:extLst>
                <a:ext uri="{63B3BB69-23CF-44E3-9099-C40C66FF867C}">
                  <a14:compatExt spid="_x0000_s25850914"/>
                </a:ext>
                <a:ext uri="{FF2B5EF4-FFF2-40B4-BE49-F238E27FC236}">
                  <a16:creationId xmlns:a16="http://schemas.microsoft.com/office/drawing/2014/main" id="{00000000-0008-0000-1E00-000022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50915" name="Check Box 35" hidden="1">
              <a:extLst>
                <a:ext uri="{63B3BB69-23CF-44E3-9099-C40C66FF867C}">
                  <a14:compatExt spid="_x0000_s25850915"/>
                </a:ext>
                <a:ext uri="{FF2B5EF4-FFF2-40B4-BE49-F238E27FC236}">
                  <a16:creationId xmlns:a16="http://schemas.microsoft.com/office/drawing/2014/main" id="{00000000-0008-0000-1E00-000023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50916" name="Check Box 36" hidden="1">
              <a:extLst>
                <a:ext uri="{63B3BB69-23CF-44E3-9099-C40C66FF867C}">
                  <a14:compatExt spid="_x0000_s25850916"/>
                </a:ext>
                <a:ext uri="{FF2B5EF4-FFF2-40B4-BE49-F238E27FC236}">
                  <a16:creationId xmlns:a16="http://schemas.microsoft.com/office/drawing/2014/main" id="{00000000-0008-0000-1E00-000024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50917" name="Check Box 37" hidden="1">
              <a:extLst>
                <a:ext uri="{63B3BB69-23CF-44E3-9099-C40C66FF867C}">
                  <a14:compatExt spid="_x0000_s25850917"/>
                </a:ext>
                <a:ext uri="{FF2B5EF4-FFF2-40B4-BE49-F238E27FC236}">
                  <a16:creationId xmlns:a16="http://schemas.microsoft.com/office/drawing/2014/main" id="{00000000-0008-0000-1E00-0000257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45ABD23C-C813-401C-9601-6046BD5A0D6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D987E1F-6AEE-44E0-9D4C-A3330F027F6A}"/>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9857" name="Check Box 1" hidden="1">
              <a:extLst>
                <a:ext uri="{63B3BB69-23CF-44E3-9099-C40C66FF867C}">
                  <a14:compatExt spid="_x0000_s25849857"/>
                </a:ext>
                <a:ext uri="{FF2B5EF4-FFF2-40B4-BE49-F238E27FC236}">
                  <a16:creationId xmlns:a16="http://schemas.microsoft.com/office/drawing/2014/main" id="{00000000-0008-0000-1F00-000001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9858" name="Check Box 2" hidden="1">
              <a:extLst>
                <a:ext uri="{63B3BB69-23CF-44E3-9099-C40C66FF867C}">
                  <a14:compatExt spid="_x0000_s25849858"/>
                </a:ext>
                <a:ext uri="{FF2B5EF4-FFF2-40B4-BE49-F238E27FC236}">
                  <a16:creationId xmlns:a16="http://schemas.microsoft.com/office/drawing/2014/main" id="{00000000-0008-0000-1F00-000002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9859" name="Check Box 3" hidden="1">
              <a:extLst>
                <a:ext uri="{63B3BB69-23CF-44E3-9099-C40C66FF867C}">
                  <a14:compatExt spid="_x0000_s25849859"/>
                </a:ext>
                <a:ext uri="{FF2B5EF4-FFF2-40B4-BE49-F238E27FC236}">
                  <a16:creationId xmlns:a16="http://schemas.microsoft.com/office/drawing/2014/main" id="{00000000-0008-0000-1F00-000003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9860" name="Check Box 4" hidden="1">
              <a:extLst>
                <a:ext uri="{63B3BB69-23CF-44E3-9099-C40C66FF867C}">
                  <a14:compatExt spid="_x0000_s25849860"/>
                </a:ext>
                <a:ext uri="{FF2B5EF4-FFF2-40B4-BE49-F238E27FC236}">
                  <a16:creationId xmlns:a16="http://schemas.microsoft.com/office/drawing/2014/main" id="{00000000-0008-0000-1F00-000004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9861" name="Check Box 5" hidden="1">
              <a:extLst>
                <a:ext uri="{63B3BB69-23CF-44E3-9099-C40C66FF867C}">
                  <a14:compatExt spid="_x0000_s25849861"/>
                </a:ext>
                <a:ext uri="{FF2B5EF4-FFF2-40B4-BE49-F238E27FC236}">
                  <a16:creationId xmlns:a16="http://schemas.microsoft.com/office/drawing/2014/main" id="{00000000-0008-0000-1F00-000005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9862" name="Check Box 6" hidden="1">
              <a:extLst>
                <a:ext uri="{63B3BB69-23CF-44E3-9099-C40C66FF867C}">
                  <a14:compatExt spid="_x0000_s25849862"/>
                </a:ext>
                <a:ext uri="{FF2B5EF4-FFF2-40B4-BE49-F238E27FC236}">
                  <a16:creationId xmlns:a16="http://schemas.microsoft.com/office/drawing/2014/main" id="{00000000-0008-0000-1F00-000006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9863" name="Check Box 7" hidden="1">
              <a:extLst>
                <a:ext uri="{63B3BB69-23CF-44E3-9099-C40C66FF867C}">
                  <a14:compatExt spid="_x0000_s25849863"/>
                </a:ext>
                <a:ext uri="{FF2B5EF4-FFF2-40B4-BE49-F238E27FC236}">
                  <a16:creationId xmlns:a16="http://schemas.microsoft.com/office/drawing/2014/main" id="{00000000-0008-0000-1F00-000007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9864" name="Button 8" hidden="1">
              <a:extLst>
                <a:ext uri="{63B3BB69-23CF-44E3-9099-C40C66FF867C}">
                  <a14:compatExt spid="_x0000_s25849864"/>
                </a:ext>
                <a:ext uri="{FF2B5EF4-FFF2-40B4-BE49-F238E27FC236}">
                  <a16:creationId xmlns:a16="http://schemas.microsoft.com/office/drawing/2014/main" id="{00000000-0008-0000-1F00-0000087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9865" name="Button 9" hidden="1">
              <a:extLst>
                <a:ext uri="{63B3BB69-23CF-44E3-9099-C40C66FF867C}">
                  <a14:compatExt spid="_x0000_s25849865"/>
                </a:ext>
                <a:ext uri="{FF2B5EF4-FFF2-40B4-BE49-F238E27FC236}">
                  <a16:creationId xmlns:a16="http://schemas.microsoft.com/office/drawing/2014/main" id="{00000000-0008-0000-1F00-0000097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9866" name="Check Box 10" hidden="1">
              <a:extLst>
                <a:ext uri="{63B3BB69-23CF-44E3-9099-C40C66FF867C}">
                  <a14:compatExt spid="_x0000_s25849866"/>
                </a:ext>
                <a:ext uri="{FF2B5EF4-FFF2-40B4-BE49-F238E27FC236}">
                  <a16:creationId xmlns:a16="http://schemas.microsoft.com/office/drawing/2014/main" id="{00000000-0008-0000-1F00-00000A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9867" name="Button 11" hidden="1">
              <a:extLst>
                <a:ext uri="{63B3BB69-23CF-44E3-9099-C40C66FF867C}">
                  <a14:compatExt spid="_x0000_s25849867"/>
                </a:ext>
                <a:ext uri="{FF2B5EF4-FFF2-40B4-BE49-F238E27FC236}">
                  <a16:creationId xmlns:a16="http://schemas.microsoft.com/office/drawing/2014/main" id="{00000000-0008-0000-1F00-00000B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9868" name="Button 12" hidden="1">
              <a:extLst>
                <a:ext uri="{63B3BB69-23CF-44E3-9099-C40C66FF867C}">
                  <a14:compatExt spid="_x0000_s25849868"/>
                </a:ext>
                <a:ext uri="{FF2B5EF4-FFF2-40B4-BE49-F238E27FC236}">
                  <a16:creationId xmlns:a16="http://schemas.microsoft.com/office/drawing/2014/main" id="{00000000-0008-0000-1F00-00000C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9869" name="Button 13" hidden="1">
              <a:extLst>
                <a:ext uri="{63B3BB69-23CF-44E3-9099-C40C66FF867C}">
                  <a14:compatExt spid="_x0000_s25849869"/>
                </a:ext>
                <a:ext uri="{FF2B5EF4-FFF2-40B4-BE49-F238E27FC236}">
                  <a16:creationId xmlns:a16="http://schemas.microsoft.com/office/drawing/2014/main" id="{00000000-0008-0000-1F00-00000D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9870" name="Button 14" hidden="1">
              <a:extLst>
                <a:ext uri="{63B3BB69-23CF-44E3-9099-C40C66FF867C}">
                  <a14:compatExt spid="_x0000_s25849870"/>
                </a:ext>
                <a:ext uri="{FF2B5EF4-FFF2-40B4-BE49-F238E27FC236}">
                  <a16:creationId xmlns:a16="http://schemas.microsoft.com/office/drawing/2014/main" id="{00000000-0008-0000-1F00-00000E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9871" name="Check Box 15" hidden="1">
              <a:extLst>
                <a:ext uri="{63B3BB69-23CF-44E3-9099-C40C66FF867C}">
                  <a14:compatExt spid="_x0000_s25849871"/>
                </a:ext>
                <a:ext uri="{FF2B5EF4-FFF2-40B4-BE49-F238E27FC236}">
                  <a16:creationId xmlns:a16="http://schemas.microsoft.com/office/drawing/2014/main" id="{00000000-0008-0000-1F00-00000F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9872" name="Check Box 16" hidden="1">
              <a:extLst>
                <a:ext uri="{63B3BB69-23CF-44E3-9099-C40C66FF867C}">
                  <a14:compatExt spid="_x0000_s25849872"/>
                </a:ext>
                <a:ext uri="{FF2B5EF4-FFF2-40B4-BE49-F238E27FC236}">
                  <a16:creationId xmlns:a16="http://schemas.microsoft.com/office/drawing/2014/main" id="{00000000-0008-0000-1F00-000010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9873" name="Check Box 17" hidden="1">
              <a:extLst>
                <a:ext uri="{63B3BB69-23CF-44E3-9099-C40C66FF867C}">
                  <a14:compatExt spid="_x0000_s25849873"/>
                </a:ext>
                <a:ext uri="{FF2B5EF4-FFF2-40B4-BE49-F238E27FC236}">
                  <a16:creationId xmlns:a16="http://schemas.microsoft.com/office/drawing/2014/main" id="{00000000-0008-0000-1F00-000011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9874" name="Check Box 18" hidden="1">
              <a:extLst>
                <a:ext uri="{63B3BB69-23CF-44E3-9099-C40C66FF867C}">
                  <a14:compatExt spid="_x0000_s25849874"/>
                </a:ext>
                <a:ext uri="{FF2B5EF4-FFF2-40B4-BE49-F238E27FC236}">
                  <a16:creationId xmlns:a16="http://schemas.microsoft.com/office/drawing/2014/main" id="{00000000-0008-0000-1F00-000012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9875" name="Check Box 19" hidden="1">
              <a:extLst>
                <a:ext uri="{63B3BB69-23CF-44E3-9099-C40C66FF867C}">
                  <a14:compatExt spid="_x0000_s25849875"/>
                </a:ext>
                <a:ext uri="{FF2B5EF4-FFF2-40B4-BE49-F238E27FC236}">
                  <a16:creationId xmlns:a16="http://schemas.microsoft.com/office/drawing/2014/main" id="{00000000-0008-0000-1F00-000013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9876" name="Check Box 20" hidden="1">
              <a:extLst>
                <a:ext uri="{63B3BB69-23CF-44E3-9099-C40C66FF867C}">
                  <a14:compatExt spid="_x0000_s25849876"/>
                </a:ext>
                <a:ext uri="{FF2B5EF4-FFF2-40B4-BE49-F238E27FC236}">
                  <a16:creationId xmlns:a16="http://schemas.microsoft.com/office/drawing/2014/main" id="{00000000-0008-0000-1F00-000014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9877" name="Check Box 21" hidden="1">
              <a:extLst>
                <a:ext uri="{63B3BB69-23CF-44E3-9099-C40C66FF867C}">
                  <a14:compatExt spid="_x0000_s25849877"/>
                </a:ext>
                <a:ext uri="{FF2B5EF4-FFF2-40B4-BE49-F238E27FC236}">
                  <a16:creationId xmlns:a16="http://schemas.microsoft.com/office/drawing/2014/main" id="{00000000-0008-0000-1F00-000015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9878" name="Check Box 22" hidden="1">
              <a:extLst>
                <a:ext uri="{63B3BB69-23CF-44E3-9099-C40C66FF867C}">
                  <a14:compatExt spid="_x0000_s25849878"/>
                </a:ext>
                <a:ext uri="{FF2B5EF4-FFF2-40B4-BE49-F238E27FC236}">
                  <a16:creationId xmlns:a16="http://schemas.microsoft.com/office/drawing/2014/main" id="{00000000-0008-0000-1F00-000016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9879" name="Check Box 23" hidden="1">
              <a:extLst>
                <a:ext uri="{63B3BB69-23CF-44E3-9099-C40C66FF867C}">
                  <a14:compatExt spid="_x0000_s25849879"/>
                </a:ext>
                <a:ext uri="{FF2B5EF4-FFF2-40B4-BE49-F238E27FC236}">
                  <a16:creationId xmlns:a16="http://schemas.microsoft.com/office/drawing/2014/main" id="{00000000-0008-0000-1F00-000017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9880" name="Check Box 24" hidden="1">
              <a:extLst>
                <a:ext uri="{63B3BB69-23CF-44E3-9099-C40C66FF867C}">
                  <a14:compatExt spid="_x0000_s25849880"/>
                </a:ext>
                <a:ext uri="{FF2B5EF4-FFF2-40B4-BE49-F238E27FC236}">
                  <a16:creationId xmlns:a16="http://schemas.microsoft.com/office/drawing/2014/main" id="{00000000-0008-0000-1F00-000018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9881" name="Check Box 25" hidden="1">
              <a:extLst>
                <a:ext uri="{63B3BB69-23CF-44E3-9099-C40C66FF867C}">
                  <a14:compatExt spid="_x0000_s25849881"/>
                </a:ext>
                <a:ext uri="{FF2B5EF4-FFF2-40B4-BE49-F238E27FC236}">
                  <a16:creationId xmlns:a16="http://schemas.microsoft.com/office/drawing/2014/main" id="{00000000-0008-0000-1F00-000019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9882" name="Check Box 26" hidden="1">
              <a:extLst>
                <a:ext uri="{63B3BB69-23CF-44E3-9099-C40C66FF867C}">
                  <a14:compatExt spid="_x0000_s25849882"/>
                </a:ext>
                <a:ext uri="{FF2B5EF4-FFF2-40B4-BE49-F238E27FC236}">
                  <a16:creationId xmlns:a16="http://schemas.microsoft.com/office/drawing/2014/main" id="{00000000-0008-0000-1F00-00001A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9883" name="Check Box 27" hidden="1">
              <a:extLst>
                <a:ext uri="{63B3BB69-23CF-44E3-9099-C40C66FF867C}">
                  <a14:compatExt spid="_x0000_s25849883"/>
                </a:ext>
                <a:ext uri="{FF2B5EF4-FFF2-40B4-BE49-F238E27FC236}">
                  <a16:creationId xmlns:a16="http://schemas.microsoft.com/office/drawing/2014/main" id="{00000000-0008-0000-1F00-00001B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9884" name="Button 28" hidden="1">
              <a:extLst>
                <a:ext uri="{63B3BB69-23CF-44E3-9099-C40C66FF867C}">
                  <a14:compatExt spid="_x0000_s25849884"/>
                </a:ext>
                <a:ext uri="{FF2B5EF4-FFF2-40B4-BE49-F238E27FC236}">
                  <a16:creationId xmlns:a16="http://schemas.microsoft.com/office/drawing/2014/main" id="{00000000-0008-0000-1F00-00001C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9885" name="Button 29" hidden="1">
              <a:extLst>
                <a:ext uri="{63B3BB69-23CF-44E3-9099-C40C66FF867C}">
                  <a14:compatExt spid="_x0000_s25849885"/>
                </a:ext>
                <a:ext uri="{FF2B5EF4-FFF2-40B4-BE49-F238E27FC236}">
                  <a16:creationId xmlns:a16="http://schemas.microsoft.com/office/drawing/2014/main" id="{00000000-0008-0000-1F00-00001D7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9886" name="Check Box 30" hidden="1">
              <a:extLst>
                <a:ext uri="{63B3BB69-23CF-44E3-9099-C40C66FF867C}">
                  <a14:compatExt spid="_x0000_s25849886"/>
                </a:ext>
                <a:ext uri="{FF2B5EF4-FFF2-40B4-BE49-F238E27FC236}">
                  <a16:creationId xmlns:a16="http://schemas.microsoft.com/office/drawing/2014/main" id="{00000000-0008-0000-1F00-00001E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9887" name="Check Box 31" hidden="1">
              <a:extLst>
                <a:ext uri="{63B3BB69-23CF-44E3-9099-C40C66FF867C}">
                  <a14:compatExt spid="_x0000_s25849887"/>
                </a:ext>
                <a:ext uri="{FF2B5EF4-FFF2-40B4-BE49-F238E27FC236}">
                  <a16:creationId xmlns:a16="http://schemas.microsoft.com/office/drawing/2014/main" id="{00000000-0008-0000-1F00-00001F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9888" name="Check Box 32" hidden="1">
              <a:extLst>
                <a:ext uri="{63B3BB69-23CF-44E3-9099-C40C66FF867C}">
                  <a14:compatExt spid="_x0000_s25849888"/>
                </a:ext>
                <a:ext uri="{FF2B5EF4-FFF2-40B4-BE49-F238E27FC236}">
                  <a16:creationId xmlns:a16="http://schemas.microsoft.com/office/drawing/2014/main" id="{00000000-0008-0000-1F00-000020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9889" name="Check Box 33" hidden="1">
              <a:extLst>
                <a:ext uri="{63B3BB69-23CF-44E3-9099-C40C66FF867C}">
                  <a14:compatExt spid="_x0000_s25849889"/>
                </a:ext>
                <a:ext uri="{FF2B5EF4-FFF2-40B4-BE49-F238E27FC236}">
                  <a16:creationId xmlns:a16="http://schemas.microsoft.com/office/drawing/2014/main" id="{00000000-0008-0000-1F00-000021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9890" name="Check Box 34" hidden="1">
              <a:extLst>
                <a:ext uri="{63B3BB69-23CF-44E3-9099-C40C66FF867C}">
                  <a14:compatExt spid="_x0000_s25849890"/>
                </a:ext>
                <a:ext uri="{FF2B5EF4-FFF2-40B4-BE49-F238E27FC236}">
                  <a16:creationId xmlns:a16="http://schemas.microsoft.com/office/drawing/2014/main" id="{00000000-0008-0000-1F00-000022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9891" name="Check Box 35" hidden="1">
              <a:extLst>
                <a:ext uri="{63B3BB69-23CF-44E3-9099-C40C66FF867C}">
                  <a14:compatExt spid="_x0000_s25849891"/>
                </a:ext>
                <a:ext uri="{FF2B5EF4-FFF2-40B4-BE49-F238E27FC236}">
                  <a16:creationId xmlns:a16="http://schemas.microsoft.com/office/drawing/2014/main" id="{00000000-0008-0000-1F00-000023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9892" name="Check Box 36" hidden="1">
              <a:extLst>
                <a:ext uri="{63B3BB69-23CF-44E3-9099-C40C66FF867C}">
                  <a14:compatExt spid="_x0000_s25849892"/>
                </a:ext>
                <a:ext uri="{FF2B5EF4-FFF2-40B4-BE49-F238E27FC236}">
                  <a16:creationId xmlns:a16="http://schemas.microsoft.com/office/drawing/2014/main" id="{00000000-0008-0000-1F00-000024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9893" name="Check Box 37" hidden="1">
              <a:extLst>
                <a:ext uri="{63B3BB69-23CF-44E3-9099-C40C66FF867C}">
                  <a14:compatExt spid="_x0000_s25849893"/>
                </a:ext>
                <a:ext uri="{FF2B5EF4-FFF2-40B4-BE49-F238E27FC236}">
                  <a16:creationId xmlns:a16="http://schemas.microsoft.com/office/drawing/2014/main" id="{00000000-0008-0000-1F00-0000257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731CE67-75AC-4B8E-AE87-4ABF83825C1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6C443CA-0365-446F-B252-1562FA8ABAE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br>
            <a:rPr lang="en-AU" sz="1100"/>
          </a:br>
          <a:r>
            <a:rPr lang="en-AU" sz="1100"/>
            <a:t>Construction on footings. Infill slab later</a:t>
          </a:r>
          <a:br>
            <a:rPr lang="en-AU" sz="1100"/>
          </a:br>
          <a:br>
            <a:rPr lang="en-AU" sz="1100"/>
          </a:br>
          <a:r>
            <a:rPr lang="en-AU" sz="1100"/>
            <a:t>Under 16k. OB </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8833" name="Check Box 1" hidden="1">
              <a:extLst>
                <a:ext uri="{63B3BB69-23CF-44E3-9099-C40C66FF867C}">
                  <a14:compatExt spid="_x0000_s25848833"/>
                </a:ext>
                <a:ext uri="{FF2B5EF4-FFF2-40B4-BE49-F238E27FC236}">
                  <a16:creationId xmlns:a16="http://schemas.microsoft.com/office/drawing/2014/main" id="{00000000-0008-0000-2000-000001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8834" name="Check Box 2" hidden="1">
              <a:extLst>
                <a:ext uri="{63B3BB69-23CF-44E3-9099-C40C66FF867C}">
                  <a14:compatExt spid="_x0000_s25848834"/>
                </a:ext>
                <a:ext uri="{FF2B5EF4-FFF2-40B4-BE49-F238E27FC236}">
                  <a16:creationId xmlns:a16="http://schemas.microsoft.com/office/drawing/2014/main" id="{00000000-0008-0000-2000-000002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8835" name="Check Box 3" hidden="1">
              <a:extLst>
                <a:ext uri="{63B3BB69-23CF-44E3-9099-C40C66FF867C}">
                  <a14:compatExt spid="_x0000_s25848835"/>
                </a:ext>
                <a:ext uri="{FF2B5EF4-FFF2-40B4-BE49-F238E27FC236}">
                  <a16:creationId xmlns:a16="http://schemas.microsoft.com/office/drawing/2014/main" id="{00000000-0008-0000-2000-000003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8836" name="Check Box 4" hidden="1">
              <a:extLst>
                <a:ext uri="{63B3BB69-23CF-44E3-9099-C40C66FF867C}">
                  <a14:compatExt spid="_x0000_s25848836"/>
                </a:ext>
                <a:ext uri="{FF2B5EF4-FFF2-40B4-BE49-F238E27FC236}">
                  <a16:creationId xmlns:a16="http://schemas.microsoft.com/office/drawing/2014/main" id="{00000000-0008-0000-2000-000004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8837" name="Check Box 5" hidden="1">
              <a:extLst>
                <a:ext uri="{63B3BB69-23CF-44E3-9099-C40C66FF867C}">
                  <a14:compatExt spid="_x0000_s25848837"/>
                </a:ext>
                <a:ext uri="{FF2B5EF4-FFF2-40B4-BE49-F238E27FC236}">
                  <a16:creationId xmlns:a16="http://schemas.microsoft.com/office/drawing/2014/main" id="{00000000-0008-0000-2000-000005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8838" name="Check Box 6" hidden="1">
              <a:extLst>
                <a:ext uri="{63B3BB69-23CF-44E3-9099-C40C66FF867C}">
                  <a14:compatExt spid="_x0000_s25848838"/>
                </a:ext>
                <a:ext uri="{FF2B5EF4-FFF2-40B4-BE49-F238E27FC236}">
                  <a16:creationId xmlns:a16="http://schemas.microsoft.com/office/drawing/2014/main" id="{00000000-0008-0000-2000-000006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8839" name="Check Box 7" hidden="1">
              <a:extLst>
                <a:ext uri="{63B3BB69-23CF-44E3-9099-C40C66FF867C}">
                  <a14:compatExt spid="_x0000_s25848839"/>
                </a:ext>
                <a:ext uri="{FF2B5EF4-FFF2-40B4-BE49-F238E27FC236}">
                  <a16:creationId xmlns:a16="http://schemas.microsoft.com/office/drawing/2014/main" id="{00000000-0008-0000-2000-000007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8840" name="Button 8" hidden="1">
              <a:extLst>
                <a:ext uri="{63B3BB69-23CF-44E3-9099-C40C66FF867C}">
                  <a14:compatExt spid="_x0000_s25848840"/>
                </a:ext>
                <a:ext uri="{FF2B5EF4-FFF2-40B4-BE49-F238E27FC236}">
                  <a16:creationId xmlns:a16="http://schemas.microsoft.com/office/drawing/2014/main" id="{00000000-0008-0000-2000-0000086C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8841" name="Button 9" hidden="1">
              <a:extLst>
                <a:ext uri="{63B3BB69-23CF-44E3-9099-C40C66FF867C}">
                  <a14:compatExt spid="_x0000_s25848841"/>
                </a:ext>
                <a:ext uri="{FF2B5EF4-FFF2-40B4-BE49-F238E27FC236}">
                  <a16:creationId xmlns:a16="http://schemas.microsoft.com/office/drawing/2014/main" id="{00000000-0008-0000-2000-0000096C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8842" name="Check Box 10" hidden="1">
              <a:extLst>
                <a:ext uri="{63B3BB69-23CF-44E3-9099-C40C66FF867C}">
                  <a14:compatExt spid="_x0000_s25848842"/>
                </a:ext>
                <a:ext uri="{FF2B5EF4-FFF2-40B4-BE49-F238E27FC236}">
                  <a16:creationId xmlns:a16="http://schemas.microsoft.com/office/drawing/2014/main" id="{00000000-0008-0000-2000-00000A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8843" name="Button 11" hidden="1">
              <a:extLst>
                <a:ext uri="{63B3BB69-23CF-44E3-9099-C40C66FF867C}">
                  <a14:compatExt spid="_x0000_s25848843"/>
                </a:ext>
                <a:ext uri="{FF2B5EF4-FFF2-40B4-BE49-F238E27FC236}">
                  <a16:creationId xmlns:a16="http://schemas.microsoft.com/office/drawing/2014/main" id="{00000000-0008-0000-2000-00000B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8844" name="Button 12" hidden="1">
              <a:extLst>
                <a:ext uri="{63B3BB69-23CF-44E3-9099-C40C66FF867C}">
                  <a14:compatExt spid="_x0000_s25848844"/>
                </a:ext>
                <a:ext uri="{FF2B5EF4-FFF2-40B4-BE49-F238E27FC236}">
                  <a16:creationId xmlns:a16="http://schemas.microsoft.com/office/drawing/2014/main" id="{00000000-0008-0000-2000-00000C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8845" name="Button 13" hidden="1">
              <a:extLst>
                <a:ext uri="{63B3BB69-23CF-44E3-9099-C40C66FF867C}">
                  <a14:compatExt spid="_x0000_s25848845"/>
                </a:ext>
                <a:ext uri="{FF2B5EF4-FFF2-40B4-BE49-F238E27FC236}">
                  <a16:creationId xmlns:a16="http://schemas.microsoft.com/office/drawing/2014/main" id="{00000000-0008-0000-2000-00000D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8846" name="Button 14" hidden="1">
              <a:extLst>
                <a:ext uri="{63B3BB69-23CF-44E3-9099-C40C66FF867C}">
                  <a14:compatExt spid="_x0000_s25848846"/>
                </a:ext>
                <a:ext uri="{FF2B5EF4-FFF2-40B4-BE49-F238E27FC236}">
                  <a16:creationId xmlns:a16="http://schemas.microsoft.com/office/drawing/2014/main" id="{00000000-0008-0000-2000-00000E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8847" name="Check Box 15" hidden="1">
              <a:extLst>
                <a:ext uri="{63B3BB69-23CF-44E3-9099-C40C66FF867C}">
                  <a14:compatExt spid="_x0000_s25848847"/>
                </a:ext>
                <a:ext uri="{FF2B5EF4-FFF2-40B4-BE49-F238E27FC236}">
                  <a16:creationId xmlns:a16="http://schemas.microsoft.com/office/drawing/2014/main" id="{00000000-0008-0000-2000-00000F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8848" name="Check Box 16" hidden="1">
              <a:extLst>
                <a:ext uri="{63B3BB69-23CF-44E3-9099-C40C66FF867C}">
                  <a14:compatExt spid="_x0000_s25848848"/>
                </a:ext>
                <a:ext uri="{FF2B5EF4-FFF2-40B4-BE49-F238E27FC236}">
                  <a16:creationId xmlns:a16="http://schemas.microsoft.com/office/drawing/2014/main" id="{00000000-0008-0000-2000-000010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8849" name="Check Box 17" hidden="1">
              <a:extLst>
                <a:ext uri="{63B3BB69-23CF-44E3-9099-C40C66FF867C}">
                  <a14:compatExt spid="_x0000_s25848849"/>
                </a:ext>
                <a:ext uri="{FF2B5EF4-FFF2-40B4-BE49-F238E27FC236}">
                  <a16:creationId xmlns:a16="http://schemas.microsoft.com/office/drawing/2014/main" id="{00000000-0008-0000-2000-000011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8850" name="Check Box 18" hidden="1">
              <a:extLst>
                <a:ext uri="{63B3BB69-23CF-44E3-9099-C40C66FF867C}">
                  <a14:compatExt spid="_x0000_s25848850"/>
                </a:ext>
                <a:ext uri="{FF2B5EF4-FFF2-40B4-BE49-F238E27FC236}">
                  <a16:creationId xmlns:a16="http://schemas.microsoft.com/office/drawing/2014/main" id="{00000000-0008-0000-2000-000012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8851" name="Check Box 19" hidden="1">
              <a:extLst>
                <a:ext uri="{63B3BB69-23CF-44E3-9099-C40C66FF867C}">
                  <a14:compatExt spid="_x0000_s25848851"/>
                </a:ext>
                <a:ext uri="{FF2B5EF4-FFF2-40B4-BE49-F238E27FC236}">
                  <a16:creationId xmlns:a16="http://schemas.microsoft.com/office/drawing/2014/main" id="{00000000-0008-0000-2000-000013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8852" name="Check Box 20" hidden="1">
              <a:extLst>
                <a:ext uri="{63B3BB69-23CF-44E3-9099-C40C66FF867C}">
                  <a14:compatExt spid="_x0000_s25848852"/>
                </a:ext>
                <a:ext uri="{FF2B5EF4-FFF2-40B4-BE49-F238E27FC236}">
                  <a16:creationId xmlns:a16="http://schemas.microsoft.com/office/drawing/2014/main" id="{00000000-0008-0000-2000-000014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8853" name="Check Box 21" hidden="1">
              <a:extLst>
                <a:ext uri="{63B3BB69-23CF-44E3-9099-C40C66FF867C}">
                  <a14:compatExt spid="_x0000_s25848853"/>
                </a:ext>
                <a:ext uri="{FF2B5EF4-FFF2-40B4-BE49-F238E27FC236}">
                  <a16:creationId xmlns:a16="http://schemas.microsoft.com/office/drawing/2014/main" id="{00000000-0008-0000-2000-000015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8854" name="Check Box 22" hidden="1">
              <a:extLst>
                <a:ext uri="{63B3BB69-23CF-44E3-9099-C40C66FF867C}">
                  <a14:compatExt spid="_x0000_s25848854"/>
                </a:ext>
                <a:ext uri="{FF2B5EF4-FFF2-40B4-BE49-F238E27FC236}">
                  <a16:creationId xmlns:a16="http://schemas.microsoft.com/office/drawing/2014/main" id="{00000000-0008-0000-2000-000016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8855" name="Check Box 23" hidden="1">
              <a:extLst>
                <a:ext uri="{63B3BB69-23CF-44E3-9099-C40C66FF867C}">
                  <a14:compatExt spid="_x0000_s25848855"/>
                </a:ext>
                <a:ext uri="{FF2B5EF4-FFF2-40B4-BE49-F238E27FC236}">
                  <a16:creationId xmlns:a16="http://schemas.microsoft.com/office/drawing/2014/main" id="{00000000-0008-0000-2000-000017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8856" name="Check Box 24" hidden="1">
              <a:extLst>
                <a:ext uri="{63B3BB69-23CF-44E3-9099-C40C66FF867C}">
                  <a14:compatExt spid="_x0000_s25848856"/>
                </a:ext>
                <a:ext uri="{FF2B5EF4-FFF2-40B4-BE49-F238E27FC236}">
                  <a16:creationId xmlns:a16="http://schemas.microsoft.com/office/drawing/2014/main" id="{00000000-0008-0000-2000-000018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8857" name="Check Box 25" hidden="1">
              <a:extLst>
                <a:ext uri="{63B3BB69-23CF-44E3-9099-C40C66FF867C}">
                  <a14:compatExt spid="_x0000_s25848857"/>
                </a:ext>
                <a:ext uri="{FF2B5EF4-FFF2-40B4-BE49-F238E27FC236}">
                  <a16:creationId xmlns:a16="http://schemas.microsoft.com/office/drawing/2014/main" id="{00000000-0008-0000-2000-000019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8858" name="Check Box 26" hidden="1">
              <a:extLst>
                <a:ext uri="{63B3BB69-23CF-44E3-9099-C40C66FF867C}">
                  <a14:compatExt spid="_x0000_s25848858"/>
                </a:ext>
                <a:ext uri="{FF2B5EF4-FFF2-40B4-BE49-F238E27FC236}">
                  <a16:creationId xmlns:a16="http://schemas.microsoft.com/office/drawing/2014/main" id="{00000000-0008-0000-2000-00001A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8859" name="Check Box 27" hidden="1">
              <a:extLst>
                <a:ext uri="{63B3BB69-23CF-44E3-9099-C40C66FF867C}">
                  <a14:compatExt spid="_x0000_s25848859"/>
                </a:ext>
                <a:ext uri="{FF2B5EF4-FFF2-40B4-BE49-F238E27FC236}">
                  <a16:creationId xmlns:a16="http://schemas.microsoft.com/office/drawing/2014/main" id="{00000000-0008-0000-2000-00001B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8860" name="Button 28" hidden="1">
              <a:extLst>
                <a:ext uri="{63B3BB69-23CF-44E3-9099-C40C66FF867C}">
                  <a14:compatExt spid="_x0000_s25848860"/>
                </a:ext>
                <a:ext uri="{FF2B5EF4-FFF2-40B4-BE49-F238E27FC236}">
                  <a16:creationId xmlns:a16="http://schemas.microsoft.com/office/drawing/2014/main" id="{00000000-0008-0000-2000-00001C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8861" name="Button 29" hidden="1">
              <a:extLst>
                <a:ext uri="{63B3BB69-23CF-44E3-9099-C40C66FF867C}">
                  <a14:compatExt spid="_x0000_s25848861"/>
                </a:ext>
                <a:ext uri="{FF2B5EF4-FFF2-40B4-BE49-F238E27FC236}">
                  <a16:creationId xmlns:a16="http://schemas.microsoft.com/office/drawing/2014/main" id="{00000000-0008-0000-2000-00001D6C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8862" name="Check Box 30" hidden="1">
              <a:extLst>
                <a:ext uri="{63B3BB69-23CF-44E3-9099-C40C66FF867C}">
                  <a14:compatExt spid="_x0000_s25848862"/>
                </a:ext>
                <a:ext uri="{FF2B5EF4-FFF2-40B4-BE49-F238E27FC236}">
                  <a16:creationId xmlns:a16="http://schemas.microsoft.com/office/drawing/2014/main" id="{00000000-0008-0000-2000-00001E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8863" name="Check Box 31" hidden="1">
              <a:extLst>
                <a:ext uri="{63B3BB69-23CF-44E3-9099-C40C66FF867C}">
                  <a14:compatExt spid="_x0000_s25848863"/>
                </a:ext>
                <a:ext uri="{FF2B5EF4-FFF2-40B4-BE49-F238E27FC236}">
                  <a16:creationId xmlns:a16="http://schemas.microsoft.com/office/drawing/2014/main" id="{00000000-0008-0000-2000-00001F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8864" name="Check Box 32" hidden="1">
              <a:extLst>
                <a:ext uri="{63B3BB69-23CF-44E3-9099-C40C66FF867C}">
                  <a14:compatExt spid="_x0000_s25848864"/>
                </a:ext>
                <a:ext uri="{FF2B5EF4-FFF2-40B4-BE49-F238E27FC236}">
                  <a16:creationId xmlns:a16="http://schemas.microsoft.com/office/drawing/2014/main" id="{00000000-0008-0000-2000-000020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8865" name="Check Box 33" hidden="1">
              <a:extLst>
                <a:ext uri="{63B3BB69-23CF-44E3-9099-C40C66FF867C}">
                  <a14:compatExt spid="_x0000_s25848865"/>
                </a:ext>
                <a:ext uri="{FF2B5EF4-FFF2-40B4-BE49-F238E27FC236}">
                  <a16:creationId xmlns:a16="http://schemas.microsoft.com/office/drawing/2014/main" id="{00000000-0008-0000-2000-000021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8866" name="Check Box 34" hidden="1">
              <a:extLst>
                <a:ext uri="{63B3BB69-23CF-44E3-9099-C40C66FF867C}">
                  <a14:compatExt spid="_x0000_s25848866"/>
                </a:ext>
                <a:ext uri="{FF2B5EF4-FFF2-40B4-BE49-F238E27FC236}">
                  <a16:creationId xmlns:a16="http://schemas.microsoft.com/office/drawing/2014/main" id="{00000000-0008-0000-2000-000022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8867" name="Check Box 35" hidden="1">
              <a:extLst>
                <a:ext uri="{63B3BB69-23CF-44E3-9099-C40C66FF867C}">
                  <a14:compatExt spid="_x0000_s25848867"/>
                </a:ext>
                <a:ext uri="{FF2B5EF4-FFF2-40B4-BE49-F238E27FC236}">
                  <a16:creationId xmlns:a16="http://schemas.microsoft.com/office/drawing/2014/main" id="{00000000-0008-0000-2000-000023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8868" name="Check Box 36" hidden="1">
              <a:extLst>
                <a:ext uri="{63B3BB69-23CF-44E3-9099-C40C66FF867C}">
                  <a14:compatExt spid="_x0000_s25848868"/>
                </a:ext>
                <a:ext uri="{FF2B5EF4-FFF2-40B4-BE49-F238E27FC236}">
                  <a16:creationId xmlns:a16="http://schemas.microsoft.com/office/drawing/2014/main" id="{00000000-0008-0000-2000-000024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8869" name="Check Box 37" hidden="1">
              <a:extLst>
                <a:ext uri="{63B3BB69-23CF-44E3-9099-C40C66FF867C}">
                  <a14:compatExt spid="_x0000_s25848869"/>
                </a:ext>
                <a:ext uri="{FF2B5EF4-FFF2-40B4-BE49-F238E27FC236}">
                  <a16:creationId xmlns:a16="http://schemas.microsoft.com/office/drawing/2014/main" id="{00000000-0008-0000-2000-0000256C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AB8C5DF-31FF-4D62-881F-889F1914F89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2518F83-B745-4F81-98BC-3B5819BBCD6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7809" name="Check Box 1" hidden="1">
              <a:extLst>
                <a:ext uri="{63B3BB69-23CF-44E3-9099-C40C66FF867C}">
                  <a14:compatExt spid="_x0000_s25847809"/>
                </a:ext>
                <a:ext uri="{FF2B5EF4-FFF2-40B4-BE49-F238E27FC236}">
                  <a16:creationId xmlns:a16="http://schemas.microsoft.com/office/drawing/2014/main" id="{00000000-0008-0000-2100-000001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7810" name="Check Box 2" hidden="1">
              <a:extLst>
                <a:ext uri="{63B3BB69-23CF-44E3-9099-C40C66FF867C}">
                  <a14:compatExt spid="_x0000_s25847810"/>
                </a:ext>
                <a:ext uri="{FF2B5EF4-FFF2-40B4-BE49-F238E27FC236}">
                  <a16:creationId xmlns:a16="http://schemas.microsoft.com/office/drawing/2014/main" id="{00000000-0008-0000-2100-000002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7811" name="Check Box 3" hidden="1">
              <a:extLst>
                <a:ext uri="{63B3BB69-23CF-44E3-9099-C40C66FF867C}">
                  <a14:compatExt spid="_x0000_s25847811"/>
                </a:ext>
                <a:ext uri="{FF2B5EF4-FFF2-40B4-BE49-F238E27FC236}">
                  <a16:creationId xmlns:a16="http://schemas.microsoft.com/office/drawing/2014/main" id="{00000000-0008-0000-2100-000003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7812" name="Check Box 4" hidden="1">
              <a:extLst>
                <a:ext uri="{63B3BB69-23CF-44E3-9099-C40C66FF867C}">
                  <a14:compatExt spid="_x0000_s25847812"/>
                </a:ext>
                <a:ext uri="{FF2B5EF4-FFF2-40B4-BE49-F238E27FC236}">
                  <a16:creationId xmlns:a16="http://schemas.microsoft.com/office/drawing/2014/main" id="{00000000-0008-0000-2100-000004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7813" name="Check Box 5" hidden="1">
              <a:extLst>
                <a:ext uri="{63B3BB69-23CF-44E3-9099-C40C66FF867C}">
                  <a14:compatExt spid="_x0000_s25847813"/>
                </a:ext>
                <a:ext uri="{FF2B5EF4-FFF2-40B4-BE49-F238E27FC236}">
                  <a16:creationId xmlns:a16="http://schemas.microsoft.com/office/drawing/2014/main" id="{00000000-0008-0000-2100-000005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7814" name="Check Box 6" hidden="1">
              <a:extLst>
                <a:ext uri="{63B3BB69-23CF-44E3-9099-C40C66FF867C}">
                  <a14:compatExt spid="_x0000_s25847814"/>
                </a:ext>
                <a:ext uri="{FF2B5EF4-FFF2-40B4-BE49-F238E27FC236}">
                  <a16:creationId xmlns:a16="http://schemas.microsoft.com/office/drawing/2014/main" id="{00000000-0008-0000-2100-000006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7815" name="Check Box 7" hidden="1">
              <a:extLst>
                <a:ext uri="{63B3BB69-23CF-44E3-9099-C40C66FF867C}">
                  <a14:compatExt spid="_x0000_s25847815"/>
                </a:ext>
                <a:ext uri="{FF2B5EF4-FFF2-40B4-BE49-F238E27FC236}">
                  <a16:creationId xmlns:a16="http://schemas.microsoft.com/office/drawing/2014/main" id="{00000000-0008-0000-2100-000007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7816" name="Button 8" hidden="1">
              <a:extLst>
                <a:ext uri="{63B3BB69-23CF-44E3-9099-C40C66FF867C}">
                  <a14:compatExt spid="_x0000_s25847816"/>
                </a:ext>
                <a:ext uri="{FF2B5EF4-FFF2-40B4-BE49-F238E27FC236}">
                  <a16:creationId xmlns:a16="http://schemas.microsoft.com/office/drawing/2014/main" id="{00000000-0008-0000-2100-00000868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7817" name="Button 9" hidden="1">
              <a:extLst>
                <a:ext uri="{63B3BB69-23CF-44E3-9099-C40C66FF867C}">
                  <a14:compatExt spid="_x0000_s25847817"/>
                </a:ext>
                <a:ext uri="{FF2B5EF4-FFF2-40B4-BE49-F238E27FC236}">
                  <a16:creationId xmlns:a16="http://schemas.microsoft.com/office/drawing/2014/main" id="{00000000-0008-0000-2100-00000968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7818" name="Check Box 10" hidden="1">
              <a:extLst>
                <a:ext uri="{63B3BB69-23CF-44E3-9099-C40C66FF867C}">
                  <a14:compatExt spid="_x0000_s25847818"/>
                </a:ext>
                <a:ext uri="{FF2B5EF4-FFF2-40B4-BE49-F238E27FC236}">
                  <a16:creationId xmlns:a16="http://schemas.microsoft.com/office/drawing/2014/main" id="{00000000-0008-0000-2100-00000A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7819" name="Button 11" hidden="1">
              <a:extLst>
                <a:ext uri="{63B3BB69-23CF-44E3-9099-C40C66FF867C}">
                  <a14:compatExt spid="_x0000_s25847819"/>
                </a:ext>
                <a:ext uri="{FF2B5EF4-FFF2-40B4-BE49-F238E27FC236}">
                  <a16:creationId xmlns:a16="http://schemas.microsoft.com/office/drawing/2014/main" id="{00000000-0008-0000-2100-00000B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7820" name="Button 12" hidden="1">
              <a:extLst>
                <a:ext uri="{63B3BB69-23CF-44E3-9099-C40C66FF867C}">
                  <a14:compatExt spid="_x0000_s25847820"/>
                </a:ext>
                <a:ext uri="{FF2B5EF4-FFF2-40B4-BE49-F238E27FC236}">
                  <a16:creationId xmlns:a16="http://schemas.microsoft.com/office/drawing/2014/main" id="{00000000-0008-0000-2100-00000C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7821" name="Button 13" hidden="1">
              <a:extLst>
                <a:ext uri="{63B3BB69-23CF-44E3-9099-C40C66FF867C}">
                  <a14:compatExt spid="_x0000_s25847821"/>
                </a:ext>
                <a:ext uri="{FF2B5EF4-FFF2-40B4-BE49-F238E27FC236}">
                  <a16:creationId xmlns:a16="http://schemas.microsoft.com/office/drawing/2014/main" id="{00000000-0008-0000-2100-00000D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7822" name="Button 14" hidden="1">
              <a:extLst>
                <a:ext uri="{63B3BB69-23CF-44E3-9099-C40C66FF867C}">
                  <a14:compatExt spid="_x0000_s25847822"/>
                </a:ext>
                <a:ext uri="{FF2B5EF4-FFF2-40B4-BE49-F238E27FC236}">
                  <a16:creationId xmlns:a16="http://schemas.microsoft.com/office/drawing/2014/main" id="{00000000-0008-0000-2100-00000E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7823" name="Check Box 15" hidden="1">
              <a:extLst>
                <a:ext uri="{63B3BB69-23CF-44E3-9099-C40C66FF867C}">
                  <a14:compatExt spid="_x0000_s25847823"/>
                </a:ext>
                <a:ext uri="{FF2B5EF4-FFF2-40B4-BE49-F238E27FC236}">
                  <a16:creationId xmlns:a16="http://schemas.microsoft.com/office/drawing/2014/main" id="{00000000-0008-0000-2100-00000F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7824" name="Check Box 16" hidden="1">
              <a:extLst>
                <a:ext uri="{63B3BB69-23CF-44E3-9099-C40C66FF867C}">
                  <a14:compatExt spid="_x0000_s25847824"/>
                </a:ext>
                <a:ext uri="{FF2B5EF4-FFF2-40B4-BE49-F238E27FC236}">
                  <a16:creationId xmlns:a16="http://schemas.microsoft.com/office/drawing/2014/main" id="{00000000-0008-0000-2100-000010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7825" name="Check Box 17" hidden="1">
              <a:extLst>
                <a:ext uri="{63B3BB69-23CF-44E3-9099-C40C66FF867C}">
                  <a14:compatExt spid="_x0000_s25847825"/>
                </a:ext>
                <a:ext uri="{FF2B5EF4-FFF2-40B4-BE49-F238E27FC236}">
                  <a16:creationId xmlns:a16="http://schemas.microsoft.com/office/drawing/2014/main" id="{00000000-0008-0000-2100-000011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7826" name="Check Box 18" hidden="1">
              <a:extLst>
                <a:ext uri="{63B3BB69-23CF-44E3-9099-C40C66FF867C}">
                  <a14:compatExt spid="_x0000_s25847826"/>
                </a:ext>
                <a:ext uri="{FF2B5EF4-FFF2-40B4-BE49-F238E27FC236}">
                  <a16:creationId xmlns:a16="http://schemas.microsoft.com/office/drawing/2014/main" id="{00000000-0008-0000-2100-000012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7827" name="Check Box 19" hidden="1">
              <a:extLst>
                <a:ext uri="{63B3BB69-23CF-44E3-9099-C40C66FF867C}">
                  <a14:compatExt spid="_x0000_s25847827"/>
                </a:ext>
                <a:ext uri="{FF2B5EF4-FFF2-40B4-BE49-F238E27FC236}">
                  <a16:creationId xmlns:a16="http://schemas.microsoft.com/office/drawing/2014/main" id="{00000000-0008-0000-2100-000013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7828" name="Check Box 20" hidden="1">
              <a:extLst>
                <a:ext uri="{63B3BB69-23CF-44E3-9099-C40C66FF867C}">
                  <a14:compatExt spid="_x0000_s25847828"/>
                </a:ext>
                <a:ext uri="{FF2B5EF4-FFF2-40B4-BE49-F238E27FC236}">
                  <a16:creationId xmlns:a16="http://schemas.microsoft.com/office/drawing/2014/main" id="{00000000-0008-0000-2100-000014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7829" name="Check Box 21" hidden="1">
              <a:extLst>
                <a:ext uri="{63B3BB69-23CF-44E3-9099-C40C66FF867C}">
                  <a14:compatExt spid="_x0000_s25847829"/>
                </a:ext>
                <a:ext uri="{FF2B5EF4-FFF2-40B4-BE49-F238E27FC236}">
                  <a16:creationId xmlns:a16="http://schemas.microsoft.com/office/drawing/2014/main" id="{00000000-0008-0000-2100-000015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7830" name="Check Box 22" hidden="1">
              <a:extLst>
                <a:ext uri="{63B3BB69-23CF-44E3-9099-C40C66FF867C}">
                  <a14:compatExt spid="_x0000_s25847830"/>
                </a:ext>
                <a:ext uri="{FF2B5EF4-FFF2-40B4-BE49-F238E27FC236}">
                  <a16:creationId xmlns:a16="http://schemas.microsoft.com/office/drawing/2014/main" id="{00000000-0008-0000-2100-000016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7831" name="Check Box 23" hidden="1">
              <a:extLst>
                <a:ext uri="{63B3BB69-23CF-44E3-9099-C40C66FF867C}">
                  <a14:compatExt spid="_x0000_s25847831"/>
                </a:ext>
                <a:ext uri="{FF2B5EF4-FFF2-40B4-BE49-F238E27FC236}">
                  <a16:creationId xmlns:a16="http://schemas.microsoft.com/office/drawing/2014/main" id="{00000000-0008-0000-2100-000017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7832" name="Check Box 24" hidden="1">
              <a:extLst>
                <a:ext uri="{63B3BB69-23CF-44E3-9099-C40C66FF867C}">
                  <a14:compatExt spid="_x0000_s25847832"/>
                </a:ext>
                <a:ext uri="{FF2B5EF4-FFF2-40B4-BE49-F238E27FC236}">
                  <a16:creationId xmlns:a16="http://schemas.microsoft.com/office/drawing/2014/main" id="{00000000-0008-0000-2100-000018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7833" name="Check Box 25" hidden="1">
              <a:extLst>
                <a:ext uri="{63B3BB69-23CF-44E3-9099-C40C66FF867C}">
                  <a14:compatExt spid="_x0000_s25847833"/>
                </a:ext>
                <a:ext uri="{FF2B5EF4-FFF2-40B4-BE49-F238E27FC236}">
                  <a16:creationId xmlns:a16="http://schemas.microsoft.com/office/drawing/2014/main" id="{00000000-0008-0000-2100-000019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7834" name="Check Box 26" hidden="1">
              <a:extLst>
                <a:ext uri="{63B3BB69-23CF-44E3-9099-C40C66FF867C}">
                  <a14:compatExt spid="_x0000_s25847834"/>
                </a:ext>
                <a:ext uri="{FF2B5EF4-FFF2-40B4-BE49-F238E27FC236}">
                  <a16:creationId xmlns:a16="http://schemas.microsoft.com/office/drawing/2014/main" id="{00000000-0008-0000-2100-00001A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7835" name="Check Box 27" hidden="1">
              <a:extLst>
                <a:ext uri="{63B3BB69-23CF-44E3-9099-C40C66FF867C}">
                  <a14:compatExt spid="_x0000_s25847835"/>
                </a:ext>
                <a:ext uri="{FF2B5EF4-FFF2-40B4-BE49-F238E27FC236}">
                  <a16:creationId xmlns:a16="http://schemas.microsoft.com/office/drawing/2014/main" id="{00000000-0008-0000-2100-00001B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7836" name="Button 28" hidden="1">
              <a:extLst>
                <a:ext uri="{63B3BB69-23CF-44E3-9099-C40C66FF867C}">
                  <a14:compatExt spid="_x0000_s25847836"/>
                </a:ext>
                <a:ext uri="{FF2B5EF4-FFF2-40B4-BE49-F238E27FC236}">
                  <a16:creationId xmlns:a16="http://schemas.microsoft.com/office/drawing/2014/main" id="{00000000-0008-0000-2100-00001C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7837" name="Button 29" hidden="1">
              <a:extLst>
                <a:ext uri="{63B3BB69-23CF-44E3-9099-C40C66FF867C}">
                  <a14:compatExt spid="_x0000_s25847837"/>
                </a:ext>
                <a:ext uri="{FF2B5EF4-FFF2-40B4-BE49-F238E27FC236}">
                  <a16:creationId xmlns:a16="http://schemas.microsoft.com/office/drawing/2014/main" id="{00000000-0008-0000-2100-00001D68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7838" name="Check Box 30" hidden="1">
              <a:extLst>
                <a:ext uri="{63B3BB69-23CF-44E3-9099-C40C66FF867C}">
                  <a14:compatExt spid="_x0000_s25847838"/>
                </a:ext>
                <a:ext uri="{FF2B5EF4-FFF2-40B4-BE49-F238E27FC236}">
                  <a16:creationId xmlns:a16="http://schemas.microsoft.com/office/drawing/2014/main" id="{00000000-0008-0000-2100-00001E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7839" name="Check Box 31" hidden="1">
              <a:extLst>
                <a:ext uri="{63B3BB69-23CF-44E3-9099-C40C66FF867C}">
                  <a14:compatExt spid="_x0000_s25847839"/>
                </a:ext>
                <a:ext uri="{FF2B5EF4-FFF2-40B4-BE49-F238E27FC236}">
                  <a16:creationId xmlns:a16="http://schemas.microsoft.com/office/drawing/2014/main" id="{00000000-0008-0000-2100-00001F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7840" name="Check Box 32" hidden="1">
              <a:extLst>
                <a:ext uri="{63B3BB69-23CF-44E3-9099-C40C66FF867C}">
                  <a14:compatExt spid="_x0000_s25847840"/>
                </a:ext>
                <a:ext uri="{FF2B5EF4-FFF2-40B4-BE49-F238E27FC236}">
                  <a16:creationId xmlns:a16="http://schemas.microsoft.com/office/drawing/2014/main" id="{00000000-0008-0000-2100-000020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7841" name="Check Box 33" hidden="1">
              <a:extLst>
                <a:ext uri="{63B3BB69-23CF-44E3-9099-C40C66FF867C}">
                  <a14:compatExt spid="_x0000_s25847841"/>
                </a:ext>
                <a:ext uri="{FF2B5EF4-FFF2-40B4-BE49-F238E27FC236}">
                  <a16:creationId xmlns:a16="http://schemas.microsoft.com/office/drawing/2014/main" id="{00000000-0008-0000-2100-000021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7842" name="Check Box 34" hidden="1">
              <a:extLst>
                <a:ext uri="{63B3BB69-23CF-44E3-9099-C40C66FF867C}">
                  <a14:compatExt spid="_x0000_s25847842"/>
                </a:ext>
                <a:ext uri="{FF2B5EF4-FFF2-40B4-BE49-F238E27FC236}">
                  <a16:creationId xmlns:a16="http://schemas.microsoft.com/office/drawing/2014/main" id="{00000000-0008-0000-2100-000022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7843" name="Check Box 35" hidden="1">
              <a:extLst>
                <a:ext uri="{63B3BB69-23CF-44E3-9099-C40C66FF867C}">
                  <a14:compatExt spid="_x0000_s25847843"/>
                </a:ext>
                <a:ext uri="{FF2B5EF4-FFF2-40B4-BE49-F238E27FC236}">
                  <a16:creationId xmlns:a16="http://schemas.microsoft.com/office/drawing/2014/main" id="{00000000-0008-0000-2100-000023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7844" name="Check Box 36" hidden="1">
              <a:extLst>
                <a:ext uri="{63B3BB69-23CF-44E3-9099-C40C66FF867C}">
                  <a14:compatExt spid="_x0000_s25847844"/>
                </a:ext>
                <a:ext uri="{FF2B5EF4-FFF2-40B4-BE49-F238E27FC236}">
                  <a16:creationId xmlns:a16="http://schemas.microsoft.com/office/drawing/2014/main" id="{00000000-0008-0000-2100-000024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7845" name="Check Box 37" hidden="1">
              <a:extLst>
                <a:ext uri="{63B3BB69-23CF-44E3-9099-C40C66FF867C}">
                  <a14:compatExt spid="_x0000_s25847845"/>
                </a:ext>
                <a:ext uri="{FF2B5EF4-FFF2-40B4-BE49-F238E27FC236}">
                  <a16:creationId xmlns:a16="http://schemas.microsoft.com/office/drawing/2014/main" id="{00000000-0008-0000-2100-00002568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DBC52281-0541-400F-AC69-D2DF86C95CE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CEBAEDA-CEF7-4D43-8866-8ECC80DF6D1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6785" name="Check Box 1" hidden="1">
              <a:extLst>
                <a:ext uri="{63B3BB69-23CF-44E3-9099-C40C66FF867C}">
                  <a14:compatExt spid="_x0000_s25846785"/>
                </a:ext>
                <a:ext uri="{FF2B5EF4-FFF2-40B4-BE49-F238E27FC236}">
                  <a16:creationId xmlns:a16="http://schemas.microsoft.com/office/drawing/2014/main" id="{00000000-0008-0000-2200-000001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6786" name="Check Box 2" hidden="1">
              <a:extLst>
                <a:ext uri="{63B3BB69-23CF-44E3-9099-C40C66FF867C}">
                  <a14:compatExt spid="_x0000_s25846786"/>
                </a:ext>
                <a:ext uri="{FF2B5EF4-FFF2-40B4-BE49-F238E27FC236}">
                  <a16:creationId xmlns:a16="http://schemas.microsoft.com/office/drawing/2014/main" id="{00000000-0008-0000-2200-000002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6787" name="Check Box 3" hidden="1">
              <a:extLst>
                <a:ext uri="{63B3BB69-23CF-44E3-9099-C40C66FF867C}">
                  <a14:compatExt spid="_x0000_s25846787"/>
                </a:ext>
                <a:ext uri="{FF2B5EF4-FFF2-40B4-BE49-F238E27FC236}">
                  <a16:creationId xmlns:a16="http://schemas.microsoft.com/office/drawing/2014/main" id="{00000000-0008-0000-2200-000003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6788" name="Check Box 4" hidden="1">
              <a:extLst>
                <a:ext uri="{63B3BB69-23CF-44E3-9099-C40C66FF867C}">
                  <a14:compatExt spid="_x0000_s25846788"/>
                </a:ext>
                <a:ext uri="{FF2B5EF4-FFF2-40B4-BE49-F238E27FC236}">
                  <a16:creationId xmlns:a16="http://schemas.microsoft.com/office/drawing/2014/main" id="{00000000-0008-0000-2200-000004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6789" name="Check Box 5" hidden="1">
              <a:extLst>
                <a:ext uri="{63B3BB69-23CF-44E3-9099-C40C66FF867C}">
                  <a14:compatExt spid="_x0000_s25846789"/>
                </a:ext>
                <a:ext uri="{FF2B5EF4-FFF2-40B4-BE49-F238E27FC236}">
                  <a16:creationId xmlns:a16="http://schemas.microsoft.com/office/drawing/2014/main" id="{00000000-0008-0000-2200-000005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6790" name="Check Box 6" hidden="1">
              <a:extLst>
                <a:ext uri="{63B3BB69-23CF-44E3-9099-C40C66FF867C}">
                  <a14:compatExt spid="_x0000_s25846790"/>
                </a:ext>
                <a:ext uri="{FF2B5EF4-FFF2-40B4-BE49-F238E27FC236}">
                  <a16:creationId xmlns:a16="http://schemas.microsoft.com/office/drawing/2014/main" id="{00000000-0008-0000-2200-000006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6791" name="Check Box 7" hidden="1">
              <a:extLst>
                <a:ext uri="{63B3BB69-23CF-44E3-9099-C40C66FF867C}">
                  <a14:compatExt spid="_x0000_s25846791"/>
                </a:ext>
                <a:ext uri="{FF2B5EF4-FFF2-40B4-BE49-F238E27FC236}">
                  <a16:creationId xmlns:a16="http://schemas.microsoft.com/office/drawing/2014/main" id="{00000000-0008-0000-2200-000007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6792" name="Button 8" hidden="1">
              <a:extLst>
                <a:ext uri="{63B3BB69-23CF-44E3-9099-C40C66FF867C}">
                  <a14:compatExt spid="_x0000_s25846792"/>
                </a:ext>
                <a:ext uri="{FF2B5EF4-FFF2-40B4-BE49-F238E27FC236}">
                  <a16:creationId xmlns:a16="http://schemas.microsoft.com/office/drawing/2014/main" id="{00000000-0008-0000-2200-0000086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6793" name="Button 9" hidden="1">
              <a:extLst>
                <a:ext uri="{63B3BB69-23CF-44E3-9099-C40C66FF867C}">
                  <a14:compatExt spid="_x0000_s25846793"/>
                </a:ext>
                <a:ext uri="{FF2B5EF4-FFF2-40B4-BE49-F238E27FC236}">
                  <a16:creationId xmlns:a16="http://schemas.microsoft.com/office/drawing/2014/main" id="{00000000-0008-0000-2200-00000964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6794" name="Check Box 10" hidden="1">
              <a:extLst>
                <a:ext uri="{63B3BB69-23CF-44E3-9099-C40C66FF867C}">
                  <a14:compatExt spid="_x0000_s25846794"/>
                </a:ext>
                <a:ext uri="{FF2B5EF4-FFF2-40B4-BE49-F238E27FC236}">
                  <a16:creationId xmlns:a16="http://schemas.microsoft.com/office/drawing/2014/main" id="{00000000-0008-0000-2200-00000A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6795" name="Button 11" hidden="1">
              <a:extLst>
                <a:ext uri="{63B3BB69-23CF-44E3-9099-C40C66FF867C}">
                  <a14:compatExt spid="_x0000_s25846795"/>
                </a:ext>
                <a:ext uri="{FF2B5EF4-FFF2-40B4-BE49-F238E27FC236}">
                  <a16:creationId xmlns:a16="http://schemas.microsoft.com/office/drawing/2014/main" id="{00000000-0008-0000-2200-00000B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6796" name="Button 12" hidden="1">
              <a:extLst>
                <a:ext uri="{63B3BB69-23CF-44E3-9099-C40C66FF867C}">
                  <a14:compatExt spid="_x0000_s25846796"/>
                </a:ext>
                <a:ext uri="{FF2B5EF4-FFF2-40B4-BE49-F238E27FC236}">
                  <a16:creationId xmlns:a16="http://schemas.microsoft.com/office/drawing/2014/main" id="{00000000-0008-0000-2200-00000C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6797" name="Button 13" hidden="1">
              <a:extLst>
                <a:ext uri="{63B3BB69-23CF-44E3-9099-C40C66FF867C}">
                  <a14:compatExt spid="_x0000_s25846797"/>
                </a:ext>
                <a:ext uri="{FF2B5EF4-FFF2-40B4-BE49-F238E27FC236}">
                  <a16:creationId xmlns:a16="http://schemas.microsoft.com/office/drawing/2014/main" id="{00000000-0008-0000-2200-00000D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6798" name="Button 14" hidden="1">
              <a:extLst>
                <a:ext uri="{63B3BB69-23CF-44E3-9099-C40C66FF867C}">
                  <a14:compatExt spid="_x0000_s25846798"/>
                </a:ext>
                <a:ext uri="{FF2B5EF4-FFF2-40B4-BE49-F238E27FC236}">
                  <a16:creationId xmlns:a16="http://schemas.microsoft.com/office/drawing/2014/main" id="{00000000-0008-0000-2200-00000E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6799" name="Check Box 15" hidden="1">
              <a:extLst>
                <a:ext uri="{63B3BB69-23CF-44E3-9099-C40C66FF867C}">
                  <a14:compatExt spid="_x0000_s25846799"/>
                </a:ext>
                <a:ext uri="{FF2B5EF4-FFF2-40B4-BE49-F238E27FC236}">
                  <a16:creationId xmlns:a16="http://schemas.microsoft.com/office/drawing/2014/main" id="{00000000-0008-0000-2200-00000F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6800" name="Check Box 16" hidden="1">
              <a:extLst>
                <a:ext uri="{63B3BB69-23CF-44E3-9099-C40C66FF867C}">
                  <a14:compatExt spid="_x0000_s25846800"/>
                </a:ext>
                <a:ext uri="{FF2B5EF4-FFF2-40B4-BE49-F238E27FC236}">
                  <a16:creationId xmlns:a16="http://schemas.microsoft.com/office/drawing/2014/main" id="{00000000-0008-0000-2200-000010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6801" name="Check Box 17" hidden="1">
              <a:extLst>
                <a:ext uri="{63B3BB69-23CF-44E3-9099-C40C66FF867C}">
                  <a14:compatExt spid="_x0000_s25846801"/>
                </a:ext>
                <a:ext uri="{FF2B5EF4-FFF2-40B4-BE49-F238E27FC236}">
                  <a16:creationId xmlns:a16="http://schemas.microsoft.com/office/drawing/2014/main" id="{00000000-0008-0000-2200-000011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6802" name="Check Box 18" hidden="1">
              <a:extLst>
                <a:ext uri="{63B3BB69-23CF-44E3-9099-C40C66FF867C}">
                  <a14:compatExt spid="_x0000_s25846802"/>
                </a:ext>
                <a:ext uri="{FF2B5EF4-FFF2-40B4-BE49-F238E27FC236}">
                  <a16:creationId xmlns:a16="http://schemas.microsoft.com/office/drawing/2014/main" id="{00000000-0008-0000-2200-000012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6803" name="Check Box 19" hidden="1">
              <a:extLst>
                <a:ext uri="{63B3BB69-23CF-44E3-9099-C40C66FF867C}">
                  <a14:compatExt spid="_x0000_s25846803"/>
                </a:ext>
                <a:ext uri="{FF2B5EF4-FFF2-40B4-BE49-F238E27FC236}">
                  <a16:creationId xmlns:a16="http://schemas.microsoft.com/office/drawing/2014/main" id="{00000000-0008-0000-2200-000013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6804" name="Check Box 20" hidden="1">
              <a:extLst>
                <a:ext uri="{63B3BB69-23CF-44E3-9099-C40C66FF867C}">
                  <a14:compatExt spid="_x0000_s25846804"/>
                </a:ext>
                <a:ext uri="{FF2B5EF4-FFF2-40B4-BE49-F238E27FC236}">
                  <a16:creationId xmlns:a16="http://schemas.microsoft.com/office/drawing/2014/main" id="{00000000-0008-0000-2200-000014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6805" name="Check Box 21" hidden="1">
              <a:extLst>
                <a:ext uri="{63B3BB69-23CF-44E3-9099-C40C66FF867C}">
                  <a14:compatExt spid="_x0000_s25846805"/>
                </a:ext>
                <a:ext uri="{FF2B5EF4-FFF2-40B4-BE49-F238E27FC236}">
                  <a16:creationId xmlns:a16="http://schemas.microsoft.com/office/drawing/2014/main" id="{00000000-0008-0000-2200-000015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6806" name="Check Box 22" hidden="1">
              <a:extLst>
                <a:ext uri="{63B3BB69-23CF-44E3-9099-C40C66FF867C}">
                  <a14:compatExt spid="_x0000_s25846806"/>
                </a:ext>
                <a:ext uri="{FF2B5EF4-FFF2-40B4-BE49-F238E27FC236}">
                  <a16:creationId xmlns:a16="http://schemas.microsoft.com/office/drawing/2014/main" id="{00000000-0008-0000-2200-000016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6807" name="Check Box 23" hidden="1">
              <a:extLst>
                <a:ext uri="{63B3BB69-23CF-44E3-9099-C40C66FF867C}">
                  <a14:compatExt spid="_x0000_s25846807"/>
                </a:ext>
                <a:ext uri="{FF2B5EF4-FFF2-40B4-BE49-F238E27FC236}">
                  <a16:creationId xmlns:a16="http://schemas.microsoft.com/office/drawing/2014/main" id="{00000000-0008-0000-2200-000017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6808" name="Check Box 24" hidden="1">
              <a:extLst>
                <a:ext uri="{63B3BB69-23CF-44E3-9099-C40C66FF867C}">
                  <a14:compatExt spid="_x0000_s25846808"/>
                </a:ext>
                <a:ext uri="{FF2B5EF4-FFF2-40B4-BE49-F238E27FC236}">
                  <a16:creationId xmlns:a16="http://schemas.microsoft.com/office/drawing/2014/main" id="{00000000-0008-0000-2200-000018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6809" name="Check Box 25" hidden="1">
              <a:extLst>
                <a:ext uri="{63B3BB69-23CF-44E3-9099-C40C66FF867C}">
                  <a14:compatExt spid="_x0000_s25846809"/>
                </a:ext>
                <a:ext uri="{FF2B5EF4-FFF2-40B4-BE49-F238E27FC236}">
                  <a16:creationId xmlns:a16="http://schemas.microsoft.com/office/drawing/2014/main" id="{00000000-0008-0000-2200-000019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6810" name="Check Box 26" hidden="1">
              <a:extLst>
                <a:ext uri="{63B3BB69-23CF-44E3-9099-C40C66FF867C}">
                  <a14:compatExt spid="_x0000_s25846810"/>
                </a:ext>
                <a:ext uri="{FF2B5EF4-FFF2-40B4-BE49-F238E27FC236}">
                  <a16:creationId xmlns:a16="http://schemas.microsoft.com/office/drawing/2014/main" id="{00000000-0008-0000-2200-00001A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6811" name="Check Box 27" hidden="1">
              <a:extLst>
                <a:ext uri="{63B3BB69-23CF-44E3-9099-C40C66FF867C}">
                  <a14:compatExt spid="_x0000_s25846811"/>
                </a:ext>
                <a:ext uri="{FF2B5EF4-FFF2-40B4-BE49-F238E27FC236}">
                  <a16:creationId xmlns:a16="http://schemas.microsoft.com/office/drawing/2014/main" id="{00000000-0008-0000-2200-00001B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6812" name="Button 28" hidden="1">
              <a:extLst>
                <a:ext uri="{63B3BB69-23CF-44E3-9099-C40C66FF867C}">
                  <a14:compatExt spid="_x0000_s25846812"/>
                </a:ext>
                <a:ext uri="{FF2B5EF4-FFF2-40B4-BE49-F238E27FC236}">
                  <a16:creationId xmlns:a16="http://schemas.microsoft.com/office/drawing/2014/main" id="{00000000-0008-0000-2200-00001C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6813" name="Button 29" hidden="1">
              <a:extLst>
                <a:ext uri="{63B3BB69-23CF-44E3-9099-C40C66FF867C}">
                  <a14:compatExt spid="_x0000_s25846813"/>
                </a:ext>
                <a:ext uri="{FF2B5EF4-FFF2-40B4-BE49-F238E27FC236}">
                  <a16:creationId xmlns:a16="http://schemas.microsoft.com/office/drawing/2014/main" id="{00000000-0008-0000-2200-00001D64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6814" name="Check Box 30" hidden="1">
              <a:extLst>
                <a:ext uri="{63B3BB69-23CF-44E3-9099-C40C66FF867C}">
                  <a14:compatExt spid="_x0000_s25846814"/>
                </a:ext>
                <a:ext uri="{FF2B5EF4-FFF2-40B4-BE49-F238E27FC236}">
                  <a16:creationId xmlns:a16="http://schemas.microsoft.com/office/drawing/2014/main" id="{00000000-0008-0000-2200-00001E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6815" name="Check Box 31" hidden="1">
              <a:extLst>
                <a:ext uri="{63B3BB69-23CF-44E3-9099-C40C66FF867C}">
                  <a14:compatExt spid="_x0000_s25846815"/>
                </a:ext>
                <a:ext uri="{FF2B5EF4-FFF2-40B4-BE49-F238E27FC236}">
                  <a16:creationId xmlns:a16="http://schemas.microsoft.com/office/drawing/2014/main" id="{00000000-0008-0000-2200-00001F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6816" name="Check Box 32" hidden="1">
              <a:extLst>
                <a:ext uri="{63B3BB69-23CF-44E3-9099-C40C66FF867C}">
                  <a14:compatExt spid="_x0000_s25846816"/>
                </a:ext>
                <a:ext uri="{FF2B5EF4-FFF2-40B4-BE49-F238E27FC236}">
                  <a16:creationId xmlns:a16="http://schemas.microsoft.com/office/drawing/2014/main" id="{00000000-0008-0000-2200-000020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6817" name="Check Box 33" hidden="1">
              <a:extLst>
                <a:ext uri="{63B3BB69-23CF-44E3-9099-C40C66FF867C}">
                  <a14:compatExt spid="_x0000_s25846817"/>
                </a:ext>
                <a:ext uri="{FF2B5EF4-FFF2-40B4-BE49-F238E27FC236}">
                  <a16:creationId xmlns:a16="http://schemas.microsoft.com/office/drawing/2014/main" id="{00000000-0008-0000-2200-000021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6818" name="Check Box 34" hidden="1">
              <a:extLst>
                <a:ext uri="{63B3BB69-23CF-44E3-9099-C40C66FF867C}">
                  <a14:compatExt spid="_x0000_s25846818"/>
                </a:ext>
                <a:ext uri="{FF2B5EF4-FFF2-40B4-BE49-F238E27FC236}">
                  <a16:creationId xmlns:a16="http://schemas.microsoft.com/office/drawing/2014/main" id="{00000000-0008-0000-2200-000022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6819" name="Check Box 35" hidden="1">
              <a:extLst>
                <a:ext uri="{63B3BB69-23CF-44E3-9099-C40C66FF867C}">
                  <a14:compatExt spid="_x0000_s25846819"/>
                </a:ext>
                <a:ext uri="{FF2B5EF4-FFF2-40B4-BE49-F238E27FC236}">
                  <a16:creationId xmlns:a16="http://schemas.microsoft.com/office/drawing/2014/main" id="{00000000-0008-0000-2200-000023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6820" name="Check Box 36" hidden="1">
              <a:extLst>
                <a:ext uri="{63B3BB69-23CF-44E3-9099-C40C66FF867C}">
                  <a14:compatExt spid="_x0000_s25846820"/>
                </a:ext>
                <a:ext uri="{FF2B5EF4-FFF2-40B4-BE49-F238E27FC236}">
                  <a16:creationId xmlns:a16="http://schemas.microsoft.com/office/drawing/2014/main" id="{00000000-0008-0000-2200-000024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6821" name="Check Box 37" hidden="1">
              <a:extLst>
                <a:ext uri="{63B3BB69-23CF-44E3-9099-C40C66FF867C}">
                  <a14:compatExt spid="_x0000_s25846821"/>
                </a:ext>
                <a:ext uri="{FF2B5EF4-FFF2-40B4-BE49-F238E27FC236}">
                  <a16:creationId xmlns:a16="http://schemas.microsoft.com/office/drawing/2014/main" id="{00000000-0008-0000-2200-00002564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2B184743-6755-46E4-88DC-C8BABB64FFB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92A2AF1-FD16-4C95-9479-F5843BA3E2F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845761" name="Check Box 1" hidden="1">
              <a:extLst>
                <a:ext uri="{63B3BB69-23CF-44E3-9099-C40C66FF867C}">
                  <a14:compatExt spid="_x0000_s25845761"/>
                </a:ext>
                <a:ext uri="{FF2B5EF4-FFF2-40B4-BE49-F238E27FC236}">
                  <a16:creationId xmlns:a16="http://schemas.microsoft.com/office/drawing/2014/main" id="{00000000-0008-0000-2300-000001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845762" name="Check Box 2" hidden="1">
              <a:extLst>
                <a:ext uri="{63B3BB69-23CF-44E3-9099-C40C66FF867C}">
                  <a14:compatExt spid="_x0000_s25845762"/>
                </a:ext>
                <a:ext uri="{FF2B5EF4-FFF2-40B4-BE49-F238E27FC236}">
                  <a16:creationId xmlns:a16="http://schemas.microsoft.com/office/drawing/2014/main" id="{00000000-0008-0000-2300-000002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845763" name="Check Box 3" hidden="1">
              <a:extLst>
                <a:ext uri="{63B3BB69-23CF-44E3-9099-C40C66FF867C}">
                  <a14:compatExt spid="_x0000_s25845763"/>
                </a:ext>
                <a:ext uri="{FF2B5EF4-FFF2-40B4-BE49-F238E27FC236}">
                  <a16:creationId xmlns:a16="http://schemas.microsoft.com/office/drawing/2014/main" id="{00000000-0008-0000-2300-000003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845764" name="Check Box 4" hidden="1">
              <a:extLst>
                <a:ext uri="{63B3BB69-23CF-44E3-9099-C40C66FF867C}">
                  <a14:compatExt spid="_x0000_s25845764"/>
                </a:ext>
                <a:ext uri="{FF2B5EF4-FFF2-40B4-BE49-F238E27FC236}">
                  <a16:creationId xmlns:a16="http://schemas.microsoft.com/office/drawing/2014/main" id="{00000000-0008-0000-2300-000004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845765" name="Check Box 5" hidden="1">
              <a:extLst>
                <a:ext uri="{63B3BB69-23CF-44E3-9099-C40C66FF867C}">
                  <a14:compatExt spid="_x0000_s25845765"/>
                </a:ext>
                <a:ext uri="{FF2B5EF4-FFF2-40B4-BE49-F238E27FC236}">
                  <a16:creationId xmlns:a16="http://schemas.microsoft.com/office/drawing/2014/main" id="{00000000-0008-0000-2300-000005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845766" name="Check Box 6" hidden="1">
              <a:extLst>
                <a:ext uri="{63B3BB69-23CF-44E3-9099-C40C66FF867C}">
                  <a14:compatExt spid="_x0000_s25845766"/>
                </a:ext>
                <a:ext uri="{FF2B5EF4-FFF2-40B4-BE49-F238E27FC236}">
                  <a16:creationId xmlns:a16="http://schemas.microsoft.com/office/drawing/2014/main" id="{00000000-0008-0000-2300-000006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845767" name="Check Box 7" hidden="1">
              <a:extLst>
                <a:ext uri="{63B3BB69-23CF-44E3-9099-C40C66FF867C}">
                  <a14:compatExt spid="_x0000_s25845767"/>
                </a:ext>
                <a:ext uri="{FF2B5EF4-FFF2-40B4-BE49-F238E27FC236}">
                  <a16:creationId xmlns:a16="http://schemas.microsoft.com/office/drawing/2014/main" id="{00000000-0008-0000-2300-000007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845768" name="Button 8" hidden="1">
              <a:extLst>
                <a:ext uri="{63B3BB69-23CF-44E3-9099-C40C66FF867C}">
                  <a14:compatExt spid="_x0000_s25845768"/>
                </a:ext>
                <a:ext uri="{FF2B5EF4-FFF2-40B4-BE49-F238E27FC236}">
                  <a16:creationId xmlns:a16="http://schemas.microsoft.com/office/drawing/2014/main" id="{00000000-0008-0000-2300-0000086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845769" name="Button 9" hidden="1">
              <a:extLst>
                <a:ext uri="{63B3BB69-23CF-44E3-9099-C40C66FF867C}">
                  <a14:compatExt spid="_x0000_s25845769"/>
                </a:ext>
                <a:ext uri="{FF2B5EF4-FFF2-40B4-BE49-F238E27FC236}">
                  <a16:creationId xmlns:a16="http://schemas.microsoft.com/office/drawing/2014/main" id="{00000000-0008-0000-2300-000009608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845770" name="Check Box 10" hidden="1">
              <a:extLst>
                <a:ext uri="{63B3BB69-23CF-44E3-9099-C40C66FF867C}">
                  <a14:compatExt spid="_x0000_s25845770"/>
                </a:ext>
                <a:ext uri="{FF2B5EF4-FFF2-40B4-BE49-F238E27FC236}">
                  <a16:creationId xmlns:a16="http://schemas.microsoft.com/office/drawing/2014/main" id="{00000000-0008-0000-2300-00000A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845771" name="Button 11" hidden="1">
              <a:extLst>
                <a:ext uri="{63B3BB69-23CF-44E3-9099-C40C66FF867C}">
                  <a14:compatExt spid="_x0000_s25845771"/>
                </a:ext>
                <a:ext uri="{FF2B5EF4-FFF2-40B4-BE49-F238E27FC236}">
                  <a16:creationId xmlns:a16="http://schemas.microsoft.com/office/drawing/2014/main" id="{00000000-0008-0000-2300-00000B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845772" name="Button 12" hidden="1">
              <a:extLst>
                <a:ext uri="{63B3BB69-23CF-44E3-9099-C40C66FF867C}">
                  <a14:compatExt spid="_x0000_s25845772"/>
                </a:ext>
                <a:ext uri="{FF2B5EF4-FFF2-40B4-BE49-F238E27FC236}">
                  <a16:creationId xmlns:a16="http://schemas.microsoft.com/office/drawing/2014/main" id="{00000000-0008-0000-2300-00000C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845773" name="Button 13" hidden="1">
              <a:extLst>
                <a:ext uri="{63B3BB69-23CF-44E3-9099-C40C66FF867C}">
                  <a14:compatExt spid="_x0000_s25845773"/>
                </a:ext>
                <a:ext uri="{FF2B5EF4-FFF2-40B4-BE49-F238E27FC236}">
                  <a16:creationId xmlns:a16="http://schemas.microsoft.com/office/drawing/2014/main" id="{00000000-0008-0000-2300-00000D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845774" name="Button 14" hidden="1">
              <a:extLst>
                <a:ext uri="{63B3BB69-23CF-44E3-9099-C40C66FF867C}">
                  <a14:compatExt spid="_x0000_s25845774"/>
                </a:ext>
                <a:ext uri="{FF2B5EF4-FFF2-40B4-BE49-F238E27FC236}">
                  <a16:creationId xmlns:a16="http://schemas.microsoft.com/office/drawing/2014/main" id="{00000000-0008-0000-2300-00000E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845775" name="Check Box 15" hidden="1">
              <a:extLst>
                <a:ext uri="{63B3BB69-23CF-44E3-9099-C40C66FF867C}">
                  <a14:compatExt spid="_x0000_s25845775"/>
                </a:ext>
                <a:ext uri="{FF2B5EF4-FFF2-40B4-BE49-F238E27FC236}">
                  <a16:creationId xmlns:a16="http://schemas.microsoft.com/office/drawing/2014/main" id="{00000000-0008-0000-2300-00000F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845776" name="Check Box 16" hidden="1">
              <a:extLst>
                <a:ext uri="{63B3BB69-23CF-44E3-9099-C40C66FF867C}">
                  <a14:compatExt spid="_x0000_s25845776"/>
                </a:ext>
                <a:ext uri="{FF2B5EF4-FFF2-40B4-BE49-F238E27FC236}">
                  <a16:creationId xmlns:a16="http://schemas.microsoft.com/office/drawing/2014/main" id="{00000000-0008-0000-2300-000010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845777" name="Check Box 17" hidden="1">
              <a:extLst>
                <a:ext uri="{63B3BB69-23CF-44E3-9099-C40C66FF867C}">
                  <a14:compatExt spid="_x0000_s25845777"/>
                </a:ext>
                <a:ext uri="{FF2B5EF4-FFF2-40B4-BE49-F238E27FC236}">
                  <a16:creationId xmlns:a16="http://schemas.microsoft.com/office/drawing/2014/main" id="{00000000-0008-0000-2300-000011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845778" name="Check Box 18" hidden="1">
              <a:extLst>
                <a:ext uri="{63B3BB69-23CF-44E3-9099-C40C66FF867C}">
                  <a14:compatExt spid="_x0000_s25845778"/>
                </a:ext>
                <a:ext uri="{FF2B5EF4-FFF2-40B4-BE49-F238E27FC236}">
                  <a16:creationId xmlns:a16="http://schemas.microsoft.com/office/drawing/2014/main" id="{00000000-0008-0000-2300-000012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845779" name="Check Box 19" hidden="1">
              <a:extLst>
                <a:ext uri="{63B3BB69-23CF-44E3-9099-C40C66FF867C}">
                  <a14:compatExt spid="_x0000_s25845779"/>
                </a:ext>
                <a:ext uri="{FF2B5EF4-FFF2-40B4-BE49-F238E27FC236}">
                  <a16:creationId xmlns:a16="http://schemas.microsoft.com/office/drawing/2014/main" id="{00000000-0008-0000-2300-000013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845780" name="Check Box 20" hidden="1">
              <a:extLst>
                <a:ext uri="{63B3BB69-23CF-44E3-9099-C40C66FF867C}">
                  <a14:compatExt spid="_x0000_s25845780"/>
                </a:ext>
                <a:ext uri="{FF2B5EF4-FFF2-40B4-BE49-F238E27FC236}">
                  <a16:creationId xmlns:a16="http://schemas.microsoft.com/office/drawing/2014/main" id="{00000000-0008-0000-2300-000014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845781" name="Check Box 21" hidden="1">
              <a:extLst>
                <a:ext uri="{63B3BB69-23CF-44E3-9099-C40C66FF867C}">
                  <a14:compatExt spid="_x0000_s25845781"/>
                </a:ext>
                <a:ext uri="{FF2B5EF4-FFF2-40B4-BE49-F238E27FC236}">
                  <a16:creationId xmlns:a16="http://schemas.microsoft.com/office/drawing/2014/main" id="{00000000-0008-0000-2300-000015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845782" name="Check Box 22" hidden="1">
              <a:extLst>
                <a:ext uri="{63B3BB69-23CF-44E3-9099-C40C66FF867C}">
                  <a14:compatExt spid="_x0000_s25845782"/>
                </a:ext>
                <a:ext uri="{FF2B5EF4-FFF2-40B4-BE49-F238E27FC236}">
                  <a16:creationId xmlns:a16="http://schemas.microsoft.com/office/drawing/2014/main" id="{00000000-0008-0000-2300-000016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845783" name="Check Box 23" hidden="1">
              <a:extLst>
                <a:ext uri="{63B3BB69-23CF-44E3-9099-C40C66FF867C}">
                  <a14:compatExt spid="_x0000_s25845783"/>
                </a:ext>
                <a:ext uri="{FF2B5EF4-FFF2-40B4-BE49-F238E27FC236}">
                  <a16:creationId xmlns:a16="http://schemas.microsoft.com/office/drawing/2014/main" id="{00000000-0008-0000-2300-000017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845784" name="Check Box 24" hidden="1">
              <a:extLst>
                <a:ext uri="{63B3BB69-23CF-44E3-9099-C40C66FF867C}">
                  <a14:compatExt spid="_x0000_s25845784"/>
                </a:ext>
                <a:ext uri="{FF2B5EF4-FFF2-40B4-BE49-F238E27FC236}">
                  <a16:creationId xmlns:a16="http://schemas.microsoft.com/office/drawing/2014/main" id="{00000000-0008-0000-2300-000018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845785" name="Check Box 25" hidden="1">
              <a:extLst>
                <a:ext uri="{63B3BB69-23CF-44E3-9099-C40C66FF867C}">
                  <a14:compatExt spid="_x0000_s25845785"/>
                </a:ext>
                <a:ext uri="{FF2B5EF4-FFF2-40B4-BE49-F238E27FC236}">
                  <a16:creationId xmlns:a16="http://schemas.microsoft.com/office/drawing/2014/main" id="{00000000-0008-0000-2300-000019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845786" name="Check Box 26" hidden="1">
              <a:extLst>
                <a:ext uri="{63B3BB69-23CF-44E3-9099-C40C66FF867C}">
                  <a14:compatExt spid="_x0000_s25845786"/>
                </a:ext>
                <a:ext uri="{FF2B5EF4-FFF2-40B4-BE49-F238E27FC236}">
                  <a16:creationId xmlns:a16="http://schemas.microsoft.com/office/drawing/2014/main" id="{00000000-0008-0000-2300-00001A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845787" name="Check Box 27" hidden="1">
              <a:extLst>
                <a:ext uri="{63B3BB69-23CF-44E3-9099-C40C66FF867C}">
                  <a14:compatExt spid="_x0000_s25845787"/>
                </a:ext>
                <a:ext uri="{FF2B5EF4-FFF2-40B4-BE49-F238E27FC236}">
                  <a16:creationId xmlns:a16="http://schemas.microsoft.com/office/drawing/2014/main" id="{00000000-0008-0000-2300-00001B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845788" name="Button 28" hidden="1">
              <a:extLst>
                <a:ext uri="{63B3BB69-23CF-44E3-9099-C40C66FF867C}">
                  <a14:compatExt spid="_x0000_s25845788"/>
                </a:ext>
                <a:ext uri="{FF2B5EF4-FFF2-40B4-BE49-F238E27FC236}">
                  <a16:creationId xmlns:a16="http://schemas.microsoft.com/office/drawing/2014/main" id="{00000000-0008-0000-2300-00001C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845789" name="Button 29" hidden="1">
              <a:extLst>
                <a:ext uri="{63B3BB69-23CF-44E3-9099-C40C66FF867C}">
                  <a14:compatExt spid="_x0000_s25845789"/>
                </a:ext>
                <a:ext uri="{FF2B5EF4-FFF2-40B4-BE49-F238E27FC236}">
                  <a16:creationId xmlns:a16="http://schemas.microsoft.com/office/drawing/2014/main" id="{00000000-0008-0000-2300-00001D608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845790" name="Check Box 30" hidden="1">
              <a:extLst>
                <a:ext uri="{63B3BB69-23CF-44E3-9099-C40C66FF867C}">
                  <a14:compatExt spid="_x0000_s25845790"/>
                </a:ext>
                <a:ext uri="{FF2B5EF4-FFF2-40B4-BE49-F238E27FC236}">
                  <a16:creationId xmlns:a16="http://schemas.microsoft.com/office/drawing/2014/main" id="{00000000-0008-0000-2300-00001E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845791" name="Check Box 31" hidden="1">
              <a:extLst>
                <a:ext uri="{63B3BB69-23CF-44E3-9099-C40C66FF867C}">
                  <a14:compatExt spid="_x0000_s25845791"/>
                </a:ext>
                <a:ext uri="{FF2B5EF4-FFF2-40B4-BE49-F238E27FC236}">
                  <a16:creationId xmlns:a16="http://schemas.microsoft.com/office/drawing/2014/main" id="{00000000-0008-0000-2300-00001F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845792" name="Check Box 32" hidden="1">
              <a:extLst>
                <a:ext uri="{63B3BB69-23CF-44E3-9099-C40C66FF867C}">
                  <a14:compatExt spid="_x0000_s25845792"/>
                </a:ext>
                <a:ext uri="{FF2B5EF4-FFF2-40B4-BE49-F238E27FC236}">
                  <a16:creationId xmlns:a16="http://schemas.microsoft.com/office/drawing/2014/main" id="{00000000-0008-0000-2300-000020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845793" name="Check Box 33" hidden="1">
              <a:extLst>
                <a:ext uri="{63B3BB69-23CF-44E3-9099-C40C66FF867C}">
                  <a14:compatExt spid="_x0000_s25845793"/>
                </a:ext>
                <a:ext uri="{FF2B5EF4-FFF2-40B4-BE49-F238E27FC236}">
                  <a16:creationId xmlns:a16="http://schemas.microsoft.com/office/drawing/2014/main" id="{00000000-0008-0000-2300-000021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845794" name="Check Box 34" hidden="1">
              <a:extLst>
                <a:ext uri="{63B3BB69-23CF-44E3-9099-C40C66FF867C}">
                  <a14:compatExt spid="_x0000_s25845794"/>
                </a:ext>
                <a:ext uri="{FF2B5EF4-FFF2-40B4-BE49-F238E27FC236}">
                  <a16:creationId xmlns:a16="http://schemas.microsoft.com/office/drawing/2014/main" id="{00000000-0008-0000-2300-000022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845795" name="Check Box 35" hidden="1">
              <a:extLst>
                <a:ext uri="{63B3BB69-23CF-44E3-9099-C40C66FF867C}">
                  <a14:compatExt spid="_x0000_s25845795"/>
                </a:ext>
                <a:ext uri="{FF2B5EF4-FFF2-40B4-BE49-F238E27FC236}">
                  <a16:creationId xmlns:a16="http://schemas.microsoft.com/office/drawing/2014/main" id="{00000000-0008-0000-2300-000023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845796" name="Check Box 36" hidden="1">
              <a:extLst>
                <a:ext uri="{63B3BB69-23CF-44E3-9099-C40C66FF867C}">
                  <a14:compatExt spid="_x0000_s25845796"/>
                </a:ext>
                <a:ext uri="{FF2B5EF4-FFF2-40B4-BE49-F238E27FC236}">
                  <a16:creationId xmlns:a16="http://schemas.microsoft.com/office/drawing/2014/main" id="{00000000-0008-0000-2300-000024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845797" name="Check Box 37" hidden="1">
              <a:extLst>
                <a:ext uri="{63B3BB69-23CF-44E3-9099-C40C66FF867C}">
                  <a14:compatExt spid="_x0000_s25845797"/>
                </a:ext>
                <a:ext uri="{FF2B5EF4-FFF2-40B4-BE49-F238E27FC236}">
                  <a16:creationId xmlns:a16="http://schemas.microsoft.com/office/drawing/2014/main" id="{00000000-0008-0000-2300-000025608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A8F77A42-C9BC-4B3D-8FF0-081C922CB50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E80043F-6EAC-4584-92CC-E7991A1010A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742337" name="Check Box 1" hidden="1">
              <a:extLst>
                <a:ext uri="{63B3BB69-23CF-44E3-9099-C40C66FF867C}">
                  <a14:compatExt spid="_x0000_s25742337"/>
                </a:ext>
                <a:ext uri="{FF2B5EF4-FFF2-40B4-BE49-F238E27FC236}">
                  <a16:creationId xmlns:a16="http://schemas.microsoft.com/office/drawing/2014/main" id="{00000000-0008-0000-2400-000001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742338" name="Check Box 2" hidden="1">
              <a:extLst>
                <a:ext uri="{63B3BB69-23CF-44E3-9099-C40C66FF867C}">
                  <a14:compatExt spid="_x0000_s25742338"/>
                </a:ext>
                <a:ext uri="{FF2B5EF4-FFF2-40B4-BE49-F238E27FC236}">
                  <a16:creationId xmlns:a16="http://schemas.microsoft.com/office/drawing/2014/main" id="{00000000-0008-0000-2400-000002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742339" name="Check Box 3" hidden="1">
              <a:extLst>
                <a:ext uri="{63B3BB69-23CF-44E3-9099-C40C66FF867C}">
                  <a14:compatExt spid="_x0000_s25742339"/>
                </a:ext>
                <a:ext uri="{FF2B5EF4-FFF2-40B4-BE49-F238E27FC236}">
                  <a16:creationId xmlns:a16="http://schemas.microsoft.com/office/drawing/2014/main" id="{00000000-0008-0000-2400-000003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742340" name="Check Box 4" hidden="1">
              <a:extLst>
                <a:ext uri="{63B3BB69-23CF-44E3-9099-C40C66FF867C}">
                  <a14:compatExt spid="_x0000_s25742340"/>
                </a:ext>
                <a:ext uri="{FF2B5EF4-FFF2-40B4-BE49-F238E27FC236}">
                  <a16:creationId xmlns:a16="http://schemas.microsoft.com/office/drawing/2014/main" id="{00000000-0008-0000-2400-000004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742341" name="Check Box 5" hidden="1">
              <a:extLst>
                <a:ext uri="{63B3BB69-23CF-44E3-9099-C40C66FF867C}">
                  <a14:compatExt spid="_x0000_s25742341"/>
                </a:ext>
                <a:ext uri="{FF2B5EF4-FFF2-40B4-BE49-F238E27FC236}">
                  <a16:creationId xmlns:a16="http://schemas.microsoft.com/office/drawing/2014/main" id="{00000000-0008-0000-2400-000005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742342" name="Check Box 6" hidden="1">
              <a:extLst>
                <a:ext uri="{63B3BB69-23CF-44E3-9099-C40C66FF867C}">
                  <a14:compatExt spid="_x0000_s25742342"/>
                </a:ext>
                <a:ext uri="{FF2B5EF4-FFF2-40B4-BE49-F238E27FC236}">
                  <a16:creationId xmlns:a16="http://schemas.microsoft.com/office/drawing/2014/main" id="{00000000-0008-0000-2400-000006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742343" name="Check Box 7" hidden="1">
              <a:extLst>
                <a:ext uri="{63B3BB69-23CF-44E3-9099-C40C66FF867C}">
                  <a14:compatExt spid="_x0000_s25742343"/>
                </a:ext>
                <a:ext uri="{FF2B5EF4-FFF2-40B4-BE49-F238E27FC236}">
                  <a16:creationId xmlns:a16="http://schemas.microsoft.com/office/drawing/2014/main" id="{00000000-0008-0000-2400-000007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742344" name="Button 8" hidden="1">
              <a:extLst>
                <a:ext uri="{63B3BB69-23CF-44E3-9099-C40C66FF867C}">
                  <a14:compatExt spid="_x0000_s25742344"/>
                </a:ext>
                <a:ext uri="{FF2B5EF4-FFF2-40B4-BE49-F238E27FC236}">
                  <a16:creationId xmlns:a16="http://schemas.microsoft.com/office/drawing/2014/main" id="{00000000-0008-0000-2400-000008CC8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742345" name="Button 9" hidden="1">
              <a:extLst>
                <a:ext uri="{63B3BB69-23CF-44E3-9099-C40C66FF867C}">
                  <a14:compatExt spid="_x0000_s25742345"/>
                </a:ext>
                <a:ext uri="{FF2B5EF4-FFF2-40B4-BE49-F238E27FC236}">
                  <a16:creationId xmlns:a16="http://schemas.microsoft.com/office/drawing/2014/main" id="{00000000-0008-0000-2400-000009CC8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742346" name="Check Box 10" hidden="1">
              <a:extLst>
                <a:ext uri="{63B3BB69-23CF-44E3-9099-C40C66FF867C}">
                  <a14:compatExt spid="_x0000_s25742346"/>
                </a:ext>
                <a:ext uri="{FF2B5EF4-FFF2-40B4-BE49-F238E27FC236}">
                  <a16:creationId xmlns:a16="http://schemas.microsoft.com/office/drawing/2014/main" id="{00000000-0008-0000-2400-00000A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742347" name="Button 11" hidden="1">
              <a:extLst>
                <a:ext uri="{63B3BB69-23CF-44E3-9099-C40C66FF867C}">
                  <a14:compatExt spid="_x0000_s25742347"/>
                </a:ext>
                <a:ext uri="{FF2B5EF4-FFF2-40B4-BE49-F238E27FC236}">
                  <a16:creationId xmlns:a16="http://schemas.microsoft.com/office/drawing/2014/main" id="{00000000-0008-0000-2400-00000B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742348" name="Button 12" hidden="1">
              <a:extLst>
                <a:ext uri="{63B3BB69-23CF-44E3-9099-C40C66FF867C}">
                  <a14:compatExt spid="_x0000_s25742348"/>
                </a:ext>
                <a:ext uri="{FF2B5EF4-FFF2-40B4-BE49-F238E27FC236}">
                  <a16:creationId xmlns:a16="http://schemas.microsoft.com/office/drawing/2014/main" id="{00000000-0008-0000-2400-00000C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742349" name="Button 13" hidden="1">
              <a:extLst>
                <a:ext uri="{63B3BB69-23CF-44E3-9099-C40C66FF867C}">
                  <a14:compatExt spid="_x0000_s25742349"/>
                </a:ext>
                <a:ext uri="{FF2B5EF4-FFF2-40B4-BE49-F238E27FC236}">
                  <a16:creationId xmlns:a16="http://schemas.microsoft.com/office/drawing/2014/main" id="{00000000-0008-0000-2400-00000D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742350" name="Button 14" hidden="1">
              <a:extLst>
                <a:ext uri="{63B3BB69-23CF-44E3-9099-C40C66FF867C}">
                  <a14:compatExt spid="_x0000_s25742350"/>
                </a:ext>
                <a:ext uri="{FF2B5EF4-FFF2-40B4-BE49-F238E27FC236}">
                  <a16:creationId xmlns:a16="http://schemas.microsoft.com/office/drawing/2014/main" id="{00000000-0008-0000-2400-00000E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742351" name="Check Box 15" hidden="1">
              <a:extLst>
                <a:ext uri="{63B3BB69-23CF-44E3-9099-C40C66FF867C}">
                  <a14:compatExt spid="_x0000_s25742351"/>
                </a:ext>
                <a:ext uri="{FF2B5EF4-FFF2-40B4-BE49-F238E27FC236}">
                  <a16:creationId xmlns:a16="http://schemas.microsoft.com/office/drawing/2014/main" id="{00000000-0008-0000-2400-00000F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742352" name="Check Box 16" hidden="1">
              <a:extLst>
                <a:ext uri="{63B3BB69-23CF-44E3-9099-C40C66FF867C}">
                  <a14:compatExt spid="_x0000_s25742352"/>
                </a:ext>
                <a:ext uri="{FF2B5EF4-FFF2-40B4-BE49-F238E27FC236}">
                  <a16:creationId xmlns:a16="http://schemas.microsoft.com/office/drawing/2014/main" id="{00000000-0008-0000-2400-000010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742353" name="Check Box 17" hidden="1">
              <a:extLst>
                <a:ext uri="{63B3BB69-23CF-44E3-9099-C40C66FF867C}">
                  <a14:compatExt spid="_x0000_s25742353"/>
                </a:ext>
                <a:ext uri="{FF2B5EF4-FFF2-40B4-BE49-F238E27FC236}">
                  <a16:creationId xmlns:a16="http://schemas.microsoft.com/office/drawing/2014/main" id="{00000000-0008-0000-2400-000011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742354" name="Check Box 18" hidden="1">
              <a:extLst>
                <a:ext uri="{63B3BB69-23CF-44E3-9099-C40C66FF867C}">
                  <a14:compatExt spid="_x0000_s25742354"/>
                </a:ext>
                <a:ext uri="{FF2B5EF4-FFF2-40B4-BE49-F238E27FC236}">
                  <a16:creationId xmlns:a16="http://schemas.microsoft.com/office/drawing/2014/main" id="{00000000-0008-0000-2400-000012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742355" name="Check Box 19" hidden="1">
              <a:extLst>
                <a:ext uri="{63B3BB69-23CF-44E3-9099-C40C66FF867C}">
                  <a14:compatExt spid="_x0000_s25742355"/>
                </a:ext>
                <a:ext uri="{FF2B5EF4-FFF2-40B4-BE49-F238E27FC236}">
                  <a16:creationId xmlns:a16="http://schemas.microsoft.com/office/drawing/2014/main" id="{00000000-0008-0000-2400-000013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742356" name="Check Box 20" hidden="1">
              <a:extLst>
                <a:ext uri="{63B3BB69-23CF-44E3-9099-C40C66FF867C}">
                  <a14:compatExt spid="_x0000_s25742356"/>
                </a:ext>
                <a:ext uri="{FF2B5EF4-FFF2-40B4-BE49-F238E27FC236}">
                  <a16:creationId xmlns:a16="http://schemas.microsoft.com/office/drawing/2014/main" id="{00000000-0008-0000-2400-000014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742357" name="Check Box 21" hidden="1">
              <a:extLst>
                <a:ext uri="{63B3BB69-23CF-44E3-9099-C40C66FF867C}">
                  <a14:compatExt spid="_x0000_s25742357"/>
                </a:ext>
                <a:ext uri="{FF2B5EF4-FFF2-40B4-BE49-F238E27FC236}">
                  <a16:creationId xmlns:a16="http://schemas.microsoft.com/office/drawing/2014/main" id="{00000000-0008-0000-2400-000015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742358" name="Check Box 22" hidden="1">
              <a:extLst>
                <a:ext uri="{63B3BB69-23CF-44E3-9099-C40C66FF867C}">
                  <a14:compatExt spid="_x0000_s25742358"/>
                </a:ext>
                <a:ext uri="{FF2B5EF4-FFF2-40B4-BE49-F238E27FC236}">
                  <a16:creationId xmlns:a16="http://schemas.microsoft.com/office/drawing/2014/main" id="{00000000-0008-0000-2400-000016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742359" name="Check Box 23" hidden="1">
              <a:extLst>
                <a:ext uri="{63B3BB69-23CF-44E3-9099-C40C66FF867C}">
                  <a14:compatExt spid="_x0000_s25742359"/>
                </a:ext>
                <a:ext uri="{FF2B5EF4-FFF2-40B4-BE49-F238E27FC236}">
                  <a16:creationId xmlns:a16="http://schemas.microsoft.com/office/drawing/2014/main" id="{00000000-0008-0000-2400-000017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742360" name="Check Box 24" hidden="1">
              <a:extLst>
                <a:ext uri="{63B3BB69-23CF-44E3-9099-C40C66FF867C}">
                  <a14:compatExt spid="_x0000_s25742360"/>
                </a:ext>
                <a:ext uri="{FF2B5EF4-FFF2-40B4-BE49-F238E27FC236}">
                  <a16:creationId xmlns:a16="http://schemas.microsoft.com/office/drawing/2014/main" id="{00000000-0008-0000-2400-000018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742361" name="Check Box 25" hidden="1">
              <a:extLst>
                <a:ext uri="{63B3BB69-23CF-44E3-9099-C40C66FF867C}">
                  <a14:compatExt spid="_x0000_s25742361"/>
                </a:ext>
                <a:ext uri="{FF2B5EF4-FFF2-40B4-BE49-F238E27FC236}">
                  <a16:creationId xmlns:a16="http://schemas.microsoft.com/office/drawing/2014/main" id="{00000000-0008-0000-2400-000019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742362" name="Check Box 26" hidden="1">
              <a:extLst>
                <a:ext uri="{63B3BB69-23CF-44E3-9099-C40C66FF867C}">
                  <a14:compatExt spid="_x0000_s25742362"/>
                </a:ext>
                <a:ext uri="{FF2B5EF4-FFF2-40B4-BE49-F238E27FC236}">
                  <a16:creationId xmlns:a16="http://schemas.microsoft.com/office/drawing/2014/main" id="{00000000-0008-0000-2400-00001A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742363" name="Check Box 27" hidden="1">
              <a:extLst>
                <a:ext uri="{63B3BB69-23CF-44E3-9099-C40C66FF867C}">
                  <a14:compatExt spid="_x0000_s25742363"/>
                </a:ext>
                <a:ext uri="{FF2B5EF4-FFF2-40B4-BE49-F238E27FC236}">
                  <a16:creationId xmlns:a16="http://schemas.microsoft.com/office/drawing/2014/main" id="{00000000-0008-0000-2400-00001B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742364" name="Button 28" hidden="1">
              <a:extLst>
                <a:ext uri="{63B3BB69-23CF-44E3-9099-C40C66FF867C}">
                  <a14:compatExt spid="_x0000_s25742364"/>
                </a:ext>
                <a:ext uri="{FF2B5EF4-FFF2-40B4-BE49-F238E27FC236}">
                  <a16:creationId xmlns:a16="http://schemas.microsoft.com/office/drawing/2014/main" id="{00000000-0008-0000-2400-00001C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742365" name="Button 29" hidden="1">
              <a:extLst>
                <a:ext uri="{63B3BB69-23CF-44E3-9099-C40C66FF867C}">
                  <a14:compatExt spid="_x0000_s25742365"/>
                </a:ext>
                <a:ext uri="{FF2B5EF4-FFF2-40B4-BE49-F238E27FC236}">
                  <a16:creationId xmlns:a16="http://schemas.microsoft.com/office/drawing/2014/main" id="{00000000-0008-0000-2400-00001DCC8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742366" name="Check Box 30" hidden="1">
              <a:extLst>
                <a:ext uri="{63B3BB69-23CF-44E3-9099-C40C66FF867C}">
                  <a14:compatExt spid="_x0000_s25742366"/>
                </a:ext>
                <a:ext uri="{FF2B5EF4-FFF2-40B4-BE49-F238E27FC236}">
                  <a16:creationId xmlns:a16="http://schemas.microsoft.com/office/drawing/2014/main" id="{00000000-0008-0000-2400-00001E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742367" name="Check Box 31" hidden="1">
              <a:extLst>
                <a:ext uri="{63B3BB69-23CF-44E3-9099-C40C66FF867C}">
                  <a14:compatExt spid="_x0000_s25742367"/>
                </a:ext>
                <a:ext uri="{FF2B5EF4-FFF2-40B4-BE49-F238E27FC236}">
                  <a16:creationId xmlns:a16="http://schemas.microsoft.com/office/drawing/2014/main" id="{00000000-0008-0000-2400-00001F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742368" name="Check Box 32" hidden="1">
              <a:extLst>
                <a:ext uri="{63B3BB69-23CF-44E3-9099-C40C66FF867C}">
                  <a14:compatExt spid="_x0000_s25742368"/>
                </a:ext>
                <a:ext uri="{FF2B5EF4-FFF2-40B4-BE49-F238E27FC236}">
                  <a16:creationId xmlns:a16="http://schemas.microsoft.com/office/drawing/2014/main" id="{00000000-0008-0000-2400-000020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742369" name="Check Box 33" hidden="1">
              <a:extLst>
                <a:ext uri="{63B3BB69-23CF-44E3-9099-C40C66FF867C}">
                  <a14:compatExt spid="_x0000_s25742369"/>
                </a:ext>
                <a:ext uri="{FF2B5EF4-FFF2-40B4-BE49-F238E27FC236}">
                  <a16:creationId xmlns:a16="http://schemas.microsoft.com/office/drawing/2014/main" id="{00000000-0008-0000-2400-000021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742370" name="Check Box 34" hidden="1">
              <a:extLst>
                <a:ext uri="{63B3BB69-23CF-44E3-9099-C40C66FF867C}">
                  <a14:compatExt spid="_x0000_s25742370"/>
                </a:ext>
                <a:ext uri="{FF2B5EF4-FFF2-40B4-BE49-F238E27FC236}">
                  <a16:creationId xmlns:a16="http://schemas.microsoft.com/office/drawing/2014/main" id="{00000000-0008-0000-2400-000022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742371" name="Check Box 35" hidden="1">
              <a:extLst>
                <a:ext uri="{63B3BB69-23CF-44E3-9099-C40C66FF867C}">
                  <a14:compatExt spid="_x0000_s25742371"/>
                </a:ext>
                <a:ext uri="{FF2B5EF4-FFF2-40B4-BE49-F238E27FC236}">
                  <a16:creationId xmlns:a16="http://schemas.microsoft.com/office/drawing/2014/main" id="{00000000-0008-0000-2400-000023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742372" name="Check Box 36" hidden="1">
              <a:extLst>
                <a:ext uri="{63B3BB69-23CF-44E3-9099-C40C66FF867C}">
                  <a14:compatExt spid="_x0000_s25742372"/>
                </a:ext>
                <a:ext uri="{FF2B5EF4-FFF2-40B4-BE49-F238E27FC236}">
                  <a16:creationId xmlns:a16="http://schemas.microsoft.com/office/drawing/2014/main" id="{00000000-0008-0000-2400-000024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742373" name="Check Box 37" hidden="1">
              <a:extLst>
                <a:ext uri="{63B3BB69-23CF-44E3-9099-C40C66FF867C}">
                  <a14:compatExt spid="_x0000_s25742373"/>
                </a:ext>
                <a:ext uri="{FF2B5EF4-FFF2-40B4-BE49-F238E27FC236}">
                  <a16:creationId xmlns:a16="http://schemas.microsoft.com/office/drawing/2014/main" id="{00000000-0008-0000-2400-000025CC8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5272F5ED-D25E-42D0-A212-18A9CB4C8EF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E548F0A-A292-496D-80D7-9A1A21A7A3EE}"/>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635841" name="Check Box 1" hidden="1">
              <a:extLst>
                <a:ext uri="{63B3BB69-23CF-44E3-9099-C40C66FF867C}">
                  <a14:compatExt spid="_x0000_s25635841"/>
                </a:ext>
                <a:ext uri="{FF2B5EF4-FFF2-40B4-BE49-F238E27FC236}">
                  <a16:creationId xmlns:a16="http://schemas.microsoft.com/office/drawing/2014/main" id="{00000000-0008-0000-2500-000001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635842" name="Check Box 2" hidden="1">
              <a:extLst>
                <a:ext uri="{63B3BB69-23CF-44E3-9099-C40C66FF867C}">
                  <a14:compatExt spid="_x0000_s25635842"/>
                </a:ext>
                <a:ext uri="{FF2B5EF4-FFF2-40B4-BE49-F238E27FC236}">
                  <a16:creationId xmlns:a16="http://schemas.microsoft.com/office/drawing/2014/main" id="{00000000-0008-0000-2500-000002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635843" name="Check Box 3" hidden="1">
              <a:extLst>
                <a:ext uri="{63B3BB69-23CF-44E3-9099-C40C66FF867C}">
                  <a14:compatExt spid="_x0000_s25635843"/>
                </a:ext>
                <a:ext uri="{FF2B5EF4-FFF2-40B4-BE49-F238E27FC236}">
                  <a16:creationId xmlns:a16="http://schemas.microsoft.com/office/drawing/2014/main" id="{00000000-0008-0000-2500-000003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635844" name="Check Box 4" hidden="1">
              <a:extLst>
                <a:ext uri="{63B3BB69-23CF-44E3-9099-C40C66FF867C}">
                  <a14:compatExt spid="_x0000_s25635844"/>
                </a:ext>
                <a:ext uri="{FF2B5EF4-FFF2-40B4-BE49-F238E27FC236}">
                  <a16:creationId xmlns:a16="http://schemas.microsoft.com/office/drawing/2014/main" id="{00000000-0008-0000-2500-000004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635845" name="Check Box 5" hidden="1">
              <a:extLst>
                <a:ext uri="{63B3BB69-23CF-44E3-9099-C40C66FF867C}">
                  <a14:compatExt spid="_x0000_s25635845"/>
                </a:ext>
                <a:ext uri="{FF2B5EF4-FFF2-40B4-BE49-F238E27FC236}">
                  <a16:creationId xmlns:a16="http://schemas.microsoft.com/office/drawing/2014/main" id="{00000000-0008-0000-2500-000005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635846" name="Check Box 6" hidden="1">
              <a:extLst>
                <a:ext uri="{63B3BB69-23CF-44E3-9099-C40C66FF867C}">
                  <a14:compatExt spid="_x0000_s25635846"/>
                </a:ext>
                <a:ext uri="{FF2B5EF4-FFF2-40B4-BE49-F238E27FC236}">
                  <a16:creationId xmlns:a16="http://schemas.microsoft.com/office/drawing/2014/main" id="{00000000-0008-0000-2500-000006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635847" name="Check Box 7" hidden="1">
              <a:extLst>
                <a:ext uri="{63B3BB69-23CF-44E3-9099-C40C66FF867C}">
                  <a14:compatExt spid="_x0000_s25635847"/>
                </a:ext>
                <a:ext uri="{FF2B5EF4-FFF2-40B4-BE49-F238E27FC236}">
                  <a16:creationId xmlns:a16="http://schemas.microsoft.com/office/drawing/2014/main" id="{00000000-0008-0000-2500-000007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635848" name="Button 8" hidden="1">
              <a:extLst>
                <a:ext uri="{63B3BB69-23CF-44E3-9099-C40C66FF867C}">
                  <a14:compatExt spid="_x0000_s25635848"/>
                </a:ext>
                <a:ext uri="{FF2B5EF4-FFF2-40B4-BE49-F238E27FC236}">
                  <a16:creationId xmlns:a16="http://schemas.microsoft.com/office/drawing/2014/main" id="{00000000-0008-0000-2500-0000082C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635849" name="Button 9" hidden="1">
              <a:extLst>
                <a:ext uri="{63B3BB69-23CF-44E3-9099-C40C66FF867C}">
                  <a14:compatExt spid="_x0000_s25635849"/>
                </a:ext>
                <a:ext uri="{FF2B5EF4-FFF2-40B4-BE49-F238E27FC236}">
                  <a16:creationId xmlns:a16="http://schemas.microsoft.com/office/drawing/2014/main" id="{00000000-0008-0000-2500-0000092C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635850" name="Check Box 10" hidden="1">
              <a:extLst>
                <a:ext uri="{63B3BB69-23CF-44E3-9099-C40C66FF867C}">
                  <a14:compatExt spid="_x0000_s25635850"/>
                </a:ext>
                <a:ext uri="{FF2B5EF4-FFF2-40B4-BE49-F238E27FC236}">
                  <a16:creationId xmlns:a16="http://schemas.microsoft.com/office/drawing/2014/main" id="{00000000-0008-0000-2500-00000A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635851" name="Button 11" hidden="1">
              <a:extLst>
                <a:ext uri="{63B3BB69-23CF-44E3-9099-C40C66FF867C}">
                  <a14:compatExt spid="_x0000_s25635851"/>
                </a:ext>
                <a:ext uri="{FF2B5EF4-FFF2-40B4-BE49-F238E27FC236}">
                  <a16:creationId xmlns:a16="http://schemas.microsoft.com/office/drawing/2014/main" id="{00000000-0008-0000-2500-00000B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635852" name="Button 12" hidden="1">
              <a:extLst>
                <a:ext uri="{63B3BB69-23CF-44E3-9099-C40C66FF867C}">
                  <a14:compatExt spid="_x0000_s25635852"/>
                </a:ext>
                <a:ext uri="{FF2B5EF4-FFF2-40B4-BE49-F238E27FC236}">
                  <a16:creationId xmlns:a16="http://schemas.microsoft.com/office/drawing/2014/main" id="{00000000-0008-0000-2500-00000C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635853" name="Button 13" hidden="1">
              <a:extLst>
                <a:ext uri="{63B3BB69-23CF-44E3-9099-C40C66FF867C}">
                  <a14:compatExt spid="_x0000_s25635853"/>
                </a:ext>
                <a:ext uri="{FF2B5EF4-FFF2-40B4-BE49-F238E27FC236}">
                  <a16:creationId xmlns:a16="http://schemas.microsoft.com/office/drawing/2014/main" id="{00000000-0008-0000-2500-00000D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635854" name="Button 14" hidden="1">
              <a:extLst>
                <a:ext uri="{63B3BB69-23CF-44E3-9099-C40C66FF867C}">
                  <a14:compatExt spid="_x0000_s25635854"/>
                </a:ext>
                <a:ext uri="{FF2B5EF4-FFF2-40B4-BE49-F238E27FC236}">
                  <a16:creationId xmlns:a16="http://schemas.microsoft.com/office/drawing/2014/main" id="{00000000-0008-0000-2500-00000E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635855" name="Check Box 15" hidden="1">
              <a:extLst>
                <a:ext uri="{63B3BB69-23CF-44E3-9099-C40C66FF867C}">
                  <a14:compatExt spid="_x0000_s25635855"/>
                </a:ext>
                <a:ext uri="{FF2B5EF4-FFF2-40B4-BE49-F238E27FC236}">
                  <a16:creationId xmlns:a16="http://schemas.microsoft.com/office/drawing/2014/main" id="{00000000-0008-0000-2500-00000F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635856" name="Check Box 16" hidden="1">
              <a:extLst>
                <a:ext uri="{63B3BB69-23CF-44E3-9099-C40C66FF867C}">
                  <a14:compatExt spid="_x0000_s25635856"/>
                </a:ext>
                <a:ext uri="{FF2B5EF4-FFF2-40B4-BE49-F238E27FC236}">
                  <a16:creationId xmlns:a16="http://schemas.microsoft.com/office/drawing/2014/main" id="{00000000-0008-0000-2500-000010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635857" name="Check Box 17" hidden="1">
              <a:extLst>
                <a:ext uri="{63B3BB69-23CF-44E3-9099-C40C66FF867C}">
                  <a14:compatExt spid="_x0000_s25635857"/>
                </a:ext>
                <a:ext uri="{FF2B5EF4-FFF2-40B4-BE49-F238E27FC236}">
                  <a16:creationId xmlns:a16="http://schemas.microsoft.com/office/drawing/2014/main" id="{00000000-0008-0000-2500-000011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635858" name="Check Box 18" hidden="1">
              <a:extLst>
                <a:ext uri="{63B3BB69-23CF-44E3-9099-C40C66FF867C}">
                  <a14:compatExt spid="_x0000_s25635858"/>
                </a:ext>
                <a:ext uri="{FF2B5EF4-FFF2-40B4-BE49-F238E27FC236}">
                  <a16:creationId xmlns:a16="http://schemas.microsoft.com/office/drawing/2014/main" id="{00000000-0008-0000-2500-000012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635859" name="Check Box 19" hidden="1">
              <a:extLst>
                <a:ext uri="{63B3BB69-23CF-44E3-9099-C40C66FF867C}">
                  <a14:compatExt spid="_x0000_s25635859"/>
                </a:ext>
                <a:ext uri="{FF2B5EF4-FFF2-40B4-BE49-F238E27FC236}">
                  <a16:creationId xmlns:a16="http://schemas.microsoft.com/office/drawing/2014/main" id="{00000000-0008-0000-2500-000013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635860" name="Check Box 20" hidden="1">
              <a:extLst>
                <a:ext uri="{63B3BB69-23CF-44E3-9099-C40C66FF867C}">
                  <a14:compatExt spid="_x0000_s25635860"/>
                </a:ext>
                <a:ext uri="{FF2B5EF4-FFF2-40B4-BE49-F238E27FC236}">
                  <a16:creationId xmlns:a16="http://schemas.microsoft.com/office/drawing/2014/main" id="{00000000-0008-0000-2500-000014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635861" name="Check Box 21" hidden="1">
              <a:extLst>
                <a:ext uri="{63B3BB69-23CF-44E3-9099-C40C66FF867C}">
                  <a14:compatExt spid="_x0000_s25635861"/>
                </a:ext>
                <a:ext uri="{FF2B5EF4-FFF2-40B4-BE49-F238E27FC236}">
                  <a16:creationId xmlns:a16="http://schemas.microsoft.com/office/drawing/2014/main" id="{00000000-0008-0000-2500-000015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635862" name="Check Box 22" hidden="1">
              <a:extLst>
                <a:ext uri="{63B3BB69-23CF-44E3-9099-C40C66FF867C}">
                  <a14:compatExt spid="_x0000_s25635862"/>
                </a:ext>
                <a:ext uri="{FF2B5EF4-FFF2-40B4-BE49-F238E27FC236}">
                  <a16:creationId xmlns:a16="http://schemas.microsoft.com/office/drawing/2014/main" id="{00000000-0008-0000-2500-000016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635863" name="Check Box 23" hidden="1">
              <a:extLst>
                <a:ext uri="{63B3BB69-23CF-44E3-9099-C40C66FF867C}">
                  <a14:compatExt spid="_x0000_s25635863"/>
                </a:ext>
                <a:ext uri="{FF2B5EF4-FFF2-40B4-BE49-F238E27FC236}">
                  <a16:creationId xmlns:a16="http://schemas.microsoft.com/office/drawing/2014/main" id="{00000000-0008-0000-2500-000017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635864" name="Check Box 24" hidden="1">
              <a:extLst>
                <a:ext uri="{63B3BB69-23CF-44E3-9099-C40C66FF867C}">
                  <a14:compatExt spid="_x0000_s25635864"/>
                </a:ext>
                <a:ext uri="{FF2B5EF4-FFF2-40B4-BE49-F238E27FC236}">
                  <a16:creationId xmlns:a16="http://schemas.microsoft.com/office/drawing/2014/main" id="{00000000-0008-0000-2500-000018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635865" name="Check Box 25" hidden="1">
              <a:extLst>
                <a:ext uri="{63B3BB69-23CF-44E3-9099-C40C66FF867C}">
                  <a14:compatExt spid="_x0000_s25635865"/>
                </a:ext>
                <a:ext uri="{FF2B5EF4-FFF2-40B4-BE49-F238E27FC236}">
                  <a16:creationId xmlns:a16="http://schemas.microsoft.com/office/drawing/2014/main" id="{00000000-0008-0000-2500-000019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635866" name="Check Box 26" hidden="1">
              <a:extLst>
                <a:ext uri="{63B3BB69-23CF-44E3-9099-C40C66FF867C}">
                  <a14:compatExt spid="_x0000_s25635866"/>
                </a:ext>
                <a:ext uri="{FF2B5EF4-FFF2-40B4-BE49-F238E27FC236}">
                  <a16:creationId xmlns:a16="http://schemas.microsoft.com/office/drawing/2014/main" id="{00000000-0008-0000-2500-00001A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635867" name="Check Box 27" hidden="1">
              <a:extLst>
                <a:ext uri="{63B3BB69-23CF-44E3-9099-C40C66FF867C}">
                  <a14:compatExt spid="_x0000_s25635867"/>
                </a:ext>
                <a:ext uri="{FF2B5EF4-FFF2-40B4-BE49-F238E27FC236}">
                  <a16:creationId xmlns:a16="http://schemas.microsoft.com/office/drawing/2014/main" id="{00000000-0008-0000-2500-00001B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635868" name="Button 28" hidden="1">
              <a:extLst>
                <a:ext uri="{63B3BB69-23CF-44E3-9099-C40C66FF867C}">
                  <a14:compatExt spid="_x0000_s25635868"/>
                </a:ext>
                <a:ext uri="{FF2B5EF4-FFF2-40B4-BE49-F238E27FC236}">
                  <a16:creationId xmlns:a16="http://schemas.microsoft.com/office/drawing/2014/main" id="{00000000-0008-0000-2500-00001C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635869" name="Button 29" hidden="1">
              <a:extLst>
                <a:ext uri="{63B3BB69-23CF-44E3-9099-C40C66FF867C}">
                  <a14:compatExt spid="_x0000_s25635869"/>
                </a:ext>
                <a:ext uri="{FF2B5EF4-FFF2-40B4-BE49-F238E27FC236}">
                  <a16:creationId xmlns:a16="http://schemas.microsoft.com/office/drawing/2014/main" id="{00000000-0008-0000-2500-00001D2C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635870" name="Check Box 30" hidden="1">
              <a:extLst>
                <a:ext uri="{63B3BB69-23CF-44E3-9099-C40C66FF867C}">
                  <a14:compatExt spid="_x0000_s25635870"/>
                </a:ext>
                <a:ext uri="{FF2B5EF4-FFF2-40B4-BE49-F238E27FC236}">
                  <a16:creationId xmlns:a16="http://schemas.microsoft.com/office/drawing/2014/main" id="{00000000-0008-0000-2500-00001E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635871" name="Check Box 31" hidden="1">
              <a:extLst>
                <a:ext uri="{63B3BB69-23CF-44E3-9099-C40C66FF867C}">
                  <a14:compatExt spid="_x0000_s25635871"/>
                </a:ext>
                <a:ext uri="{FF2B5EF4-FFF2-40B4-BE49-F238E27FC236}">
                  <a16:creationId xmlns:a16="http://schemas.microsoft.com/office/drawing/2014/main" id="{00000000-0008-0000-2500-00001F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635872" name="Check Box 32" hidden="1">
              <a:extLst>
                <a:ext uri="{63B3BB69-23CF-44E3-9099-C40C66FF867C}">
                  <a14:compatExt spid="_x0000_s25635872"/>
                </a:ext>
                <a:ext uri="{FF2B5EF4-FFF2-40B4-BE49-F238E27FC236}">
                  <a16:creationId xmlns:a16="http://schemas.microsoft.com/office/drawing/2014/main" id="{00000000-0008-0000-2500-000020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635873" name="Check Box 33" hidden="1">
              <a:extLst>
                <a:ext uri="{63B3BB69-23CF-44E3-9099-C40C66FF867C}">
                  <a14:compatExt spid="_x0000_s25635873"/>
                </a:ext>
                <a:ext uri="{FF2B5EF4-FFF2-40B4-BE49-F238E27FC236}">
                  <a16:creationId xmlns:a16="http://schemas.microsoft.com/office/drawing/2014/main" id="{00000000-0008-0000-2500-000021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635874" name="Check Box 34" hidden="1">
              <a:extLst>
                <a:ext uri="{63B3BB69-23CF-44E3-9099-C40C66FF867C}">
                  <a14:compatExt spid="_x0000_s25635874"/>
                </a:ext>
                <a:ext uri="{FF2B5EF4-FFF2-40B4-BE49-F238E27FC236}">
                  <a16:creationId xmlns:a16="http://schemas.microsoft.com/office/drawing/2014/main" id="{00000000-0008-0000-2500-000022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635875" name="Check Box 35" hidden="1">
              <a:extLst>
                <a:ext uri="{63B3BB69-23CF-44E3-9099-C40C66FF867C}">
                  <a14:compatExt spid="_x0000_s25635875"/>
                </a:ext>
                <a:ext uri="{FF2B5EF4-FFF2-40B4-BE49-F238E27FC236}">
                  <a16:creationId xmlns:a16="http://schemas.microsoft.com/office/drawing/2014/main" id="{00000000-0008-0000-2500-000023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635876" name="Check Box 36" hidden="1">
              <a:extLst>
                <a:ext uri="{63B3BB69-23CF-44E3-9099-C40C66FF867C}">
                  <a14:compatExt spid="_x0000_s25635876"/>
                </a:ext>
                <a:ext uri="{FF2B5EF4-FFF2-40B4-BE49-F238E27FC236}">
                  <a16:creationId xmlns:a16="http://schemas.microsoft.com/office/drawing/2014/main" id="{00000000-0008-0000-2500-000024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635877" name="Check Box 37" hidden="1">
              <a:extLst>
                <a:ext uri="{63B3BB69-23CF-44E3-9099-C40C66FF867C}">
                  <a14:compatExt spid="_x0000_s25635877"/>
                </a:ext>
                <a:ext uri="{FF2B5EF4-FFF2-40B4-BE49-F238E27FC236}">
                  <a16:creationId xmlns:a16="http://schemas.microsoft.com/office/drawing/2014/main" id="{00000000-0008-0000-2500-0000252C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D8CA4FF-E648-4C39-9728-1A2C99C5BF5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F8BB5F6-82F8-4DCF-9B92-92FC2A18249F}"/>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634817" name="Check Box 1" hidden="1">
              <a:extLst>
                <a:ext uri="{63B3BB69-23CF-44E3-9099-C40C66FF867C}">
                  <a14:compatExt spid="_x0000_s25634817"/>
                </a:ext>
                <a:ext uri="{FF2B5EF4-FFF2-40B4-BE49-F238E27FC236}">
                  <a16:creationId xmlns:a16="http://schemas.microsoft.com/office/drawing/2014/main" id="{00000000-0008-0000-2600-000001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634818" name="Check Box 2" hidden="1">
              <a:extLst>
                <a:ext uri="{63B3BB69-23CF-44E3-9099-C40C66FF867C}">
                  <a14:compatExt spid="_x0000_s25634818"/>
                </a:ext>
                <a:ext uri="{FF2B5EF4-FFF2-40B4-BE49-F238E27FC236}">
                  <a16:creationId xmlns:a16="http://schemas.microsoft.com/office/drawing/2014/main" id="{00000000-0008-0000-2600-000002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634819" name="Check Box 3" hidden="1">
              <a:extLst>
                <a:ext uri="{63B3BB69-23CF-44E3-9099-C40C66FF867C}">
                  <a14:compatExt spid="_x0000_s25634819"/>
                </a:ext>
                <a:ext uri="{FF2B5EF4-FFF2-40B4-BE49-F238E27FC236}">
                  <a16:creationId xmlns:a16="http://schemas.microsoft.com/office/drawing/2014/main" id="{00000000-0008-0000-2600-000003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634820" name="Check Box 4" hidden="1">
              <a:extLst>
                <a:ext uri="{63B3BB69-23CF-44E3-9099-C40C66FF867C}">
                  <a14:compatExt spid="_x0000_s25634820"/>
                </a:ext>
                <a:ext uri="{FF2B5EF4-FFF2-40B4-BE49-F238E27FC236}">
                  <a16:creationId xmlns:a16="http://schemas.microsoft.com/office/drawing/2014/main" id="{00000000-0008-0000-2600-000004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634821" name="Check Box 5" hidden="1">
              <a:extLst>
                <a:ext uri="{63B3BB69-23CF-44E3-9099-C40C66FF867C}">
                  <a14:compatExt spid="_x0000_s25634821"/>
                </a:ext>
                <a:ext uri="{FF2B5EF4-FFF2-40B4-BE49-F238E27FC236}">
                  <a16:creationId xmlns:a16="http://schemas.microsoft.com/office/drawing/2014/main" id="{00000000-0008-0000-2600-000005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634822" name="Check Box 6" hidden="1">
              <a:extLst>
                <a:ext uri="{63B3BB69-23CF-44E3-9099-C40C66FF867C}">
                  <a14:compatExt spid="_x0000_s25634822"/>
                </a:ext>
                <a:ext uri="{FF2B5EF4-FFF2-40B4-BE49-F238E27FC236}">
                  <a16:creationId xmlns:a16="http://schemas.microsoft.com/office/drawing/2014/main" id="{00000000-0008-0000-2600-000006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634823" name="Check Box 7" hidden="1">
              <a:extLst>
                <a:ext uri="{63B3BB69-23CF-44E3-9099-C40C66FF867C}">
                  <a14:compatExt spid="_x0000_s25634823"/>
                </a:ext>
                <a:ext uri="{FF2B5EF4-FFF2-40B4-BE49-F238E27FC236}">
                  <a16:creationId xmlns:a16="http://schemas.microsoft.com/office/drawing/2014/main" id="{00000000-0008-0000-2600-000007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634824" name="Button 8" hidden="1">
              <a:extLst>
                <a:ext uri="{63B3BB69-23CF-44E3-9099-C40C66FF867C}">
                  <a14:compatExt spid="_x0000_s25634824"/>
                </a:ext>
                <a:ext uri="{FF2B5EF4-FFF2-40B4-BE49-F238E27FC236}">
                  <a16:creationId xmlns:a16="http://schemas.microsoft.com/office/drawing/2014/main" id="{00000000-0008-0000-2600-00000828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634825" name="Button 9" hidden="1">
              <a:extLst>
                <a:ext uri="{63B3BB69-23CF-44E3-9099-C40C66FF867C}">
                  <a14:compatExt spid="_x0000_s25634825"/>
                </a:ext>
                <a:ext uri="{FF2B5EF4-FFF2-40B4-BE49-F238E27FC236}">
                  <a16:creationId xmlns:a16="http://schemas.microsoft.com/office/drawing/2014/main" id="{00000000-0008-0000-2600-000009288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634826" name="Check Box 10" hidden="1">
              <a:extLst>
                <a:ext uri="{63B3BB69-23CF-44E3-9099-C40C66FF867C}">
                  <a14:compatExt spid="_x0000_s25634826"/>
                </a:ext>
                <a:ext uri="{FF2B5EF4-FFF2-40B4-BE49-F238E27FC236}">
                  <a16:creationId xmlns:a16="http://schemas.microsoft.com/office/drawing/2014/main" id="{00000000-0008-0000-2600-00000A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634827" name="Button 11" hidden="1">
              <a:extLst>
                <a:ext uri="{63B3BB69-23CF-44E3-9099-C40C66FF867C}">
                  <a14:compatExt spid="_x0000_s25634827"/>
                </a:ext>
                <a:ext uri="{FF2B5EF4-FFF2-40B4-BE49-F238E27FC236}">
                  <a16:creationId xmlns:a16="http://schemas.microsoft.com/office/drawing/2014/main" id="{00000000-0008-0000-2600-00000B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634828" name="Button 12" hidden="1">
              <a:extLst>
                <a:ext uri="{63B3BB69-23CF-44E3-9099-C40C66FF867C}">
                  <a14:compatExt spid="_x0000_s25634828"/>
                </a:ext>
                <a:ext uri="{FF2B5EF4-FFF2-40B4-BE49-F238E27FC236}">
                  <a16:creationId xmlns:a16="http://schemas.microsoft.com/office/drawing/2014/main" id="{00000000-0008-0000-2600-00000C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634829" name="Button 13" hidden="1">
              <a:extLst>
                <a:ext uri="{63B3BB69-23CF-44E3-9099-C40C66FF867C}">
                  <a14:compatExt spid="_x0000_s25634829"/>
                </a:ext>
                <a:ext uri="{FF2B5EF4-FFF2-40B4-BE49-F238E27FC236}">
                  <a16:creationId xmlns:a16="http://schemas.microsoft.com/office/drawing/2014/main" id="{00000000-0008-0000-2600-00000D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634830" name="Button 14" hidden="1">
              <a:extLst>
                <a:ext uri="{63B3BB69-23CF-44E3-9099-C40C66FF867C}">
                  <a14:compatExt spid="_x0000_s25634830"/>
                </a:ext>
                <a:ext uri="{FF2B5EF4-FFF2-40B4-BE49-F238E27FC236}">
                  <a16:creationId xmlns:a16="http://schemas.microsoft.com/office/drawing/2014/main" id="{00000000-0008-0000-2600-00000E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634831" name="Check Box 15" hidden="1">
              <a:extLst>
                <a:ext uri="{63B3BB69-23CF-44E3-9099-C40C66FF867C}">
                  <a14:compatExt spid="_x0000_s25634831"/>
                </a:ext>
                <a:ext uri="{FF2B5EF4-FFF2-40B4-BE49-F238E27FC236}">
                  <a16:creationId xmlns:a16="http://schemas.microsoft.com/office/drawing/2014/main" id="{00000000-0008-0000-2600-00000F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634832" name="Check Box 16" hidden="1">
              <a:extLst>
                <a:ext uri="{63B3BB69-23CF-44E3-9099-C40C66FF867C}">
                  <a14:compatExt spid="_x0000_s25634832"/>
                </a:ext>
                <a:ext uri="{FF2B5EF4-FFF2-40B4-BE49-F238E27FC236}">
                  <a16:creationId xmlns:a16="http://schemas.microsoft.com/office/drawing/2014/main" id="{00000000-0008-0000-2600-000010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634833" name="Check Box 17" hidden="1">
              <a:extLst>
                <a:ext uri="{63B3BB69-23CF-44E3-9099-C40C66FF867C}">
                  <a14:compatExt spid="_x0000_s25634833"/>
                </a:ext>
                <a:ext uri="{FF2B5EF4-FFF2-40B4-BE49-F238E27FC236}">
                  <a16:creationId xmlns:a16="http://schemas.microsoft.com/office/drawing/2014/main" id="{00000000-0008-0000-2600-000011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634834" name="Check Box 18" hidden="1">
              <a:extLst>
                <a:ext uri="{63B3BB69-23CF-44E3-9099-C40C66FF867C}">
                  <a14:compatExt spid="_x0000_s25634834"/>
                </a:ext>
                <a:ext uri="{FF2B5EF4-FFF2-40B4-BE49-F238E27FC236}">
                  <a16:creationId xmlns:a16="http://schemas.microsoft.com/office/drawing/2014/main" id="{00000000-0008-0000-2600-000012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634835" name="Check Box 19" hidden="1">
              <a:extLst>
                <a:ext uri="{63B3BB69-23CF-44E3-9099-C40C66FF867C}">
                  <a14:compatExt spid="_x0000_s25634835"/>
                </a:ext>
                <a:ext uri="{FF2B5EF4-FFF2-40B4-BE49-F238E27FC236}">
                  <a16:creationId xmlns:a16="http://schemas.microsoft.com/office/drawing/2014/main" id="{00000000-0008-0000-2600-000013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634836" name="Check Box 20" hidden="1">
              <a:extLst>
                <a:ext uri="{63B3BB69-23CF-44E3-9099-C40C66FF867C}">
                  <a14:compatExt spid="_x0000_s25634836"/>
                </a:ext>
                <a:ext uri="{FF2B5EF4-FFF2-40B4-BE49-F238E27FC236}">
                  <a16:creationId xmlns:a16="http://schemas.microsoft.com/office/drawing/2014/main" id="{00000000-0008-0000-2600-000014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634837" name="Check Box 21" hidden="1">
              <a:extLst>
                <a:ext uri="{63B3BB69-23CF-44E3-9099-C40C66FF867C}">
                  <a14:compatExt spid="_x0000_s25634837"/>
                </a:ext>
                <a:ext uri="{FF2B5EF4-FFF2-40B4-BE49-F238E27FC236}">
                  <a16:creationId xmlns:a16="http://schemas.microsoft.com/office/drawing/2014/main" id="{00000000-0008-0000-2600-000015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634838" name="Check Box 22" hidden="1">
              <a:extLst>
                <a:ext uri="{63B3BB69-23CF-44E3-9099-C40C66FF867C}">
                  <a14:compatExt spid="_x0000_s25634838"/>
                </a:ext>
                <a:ext uri="{FF2B5EF4-FFF2-40B4-BE49-F238E27FC236}">
                  <a16:creationId xmlns:a16="http://schemas.microsoft.com/office/drawing/2014/main" id="{00000000-0008-0000-2600-000016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634839" name="Check Box 23" hidden="1">
              <a:extLst>
                <a:ext uri="{63B3BB69-23CF-44E3-9099-C40C66FF867C}">
                  <a14:compatExt spid="_x0000_s25634839"/>
                </a:ext>
                <a:ext uri="{FF2B5EF4-FFF2-40B4-BE49-F238E27FC236}">
                  <a16:creationId xmlns:a16="http://schemas.microsoft.com/office/drawing/2014/main" id="{00000000-0008-0000-2600-000017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634840" name="Check Box 24" hidden="1">
              <a:extLst>
                <a:ext uri="{63B3BB69-23CF-44E3-9099-C40C66FF867C}">
                  <a14:compatExt spid="_x0000_s25634840"/>
                </a:ext>
                <a:ext uri="{FF2B5EF4-FFF2-40B4-BE49-F238E27FC236}">
                  <a16:creationId xmlns:a16="http://schemas.microsoft.com/office/drawing/2014/main" id="{00000000-0008-0000-2600-000018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634841" name="Check Box 25" hidden="1">
              <a:extLst>
                <a:ext uri="{63B3BB69-23CF-44E3-9099-C40C66FF867C}">
                  <a14:compatExt spid="_x0000_s25634841"/>
                </a:ext>
                <a:ext uri="{FF2B5EF4-FFF2-40B4-BE49-F238E27FC236}">
                  <a16:creationId xmlns:a16="http://schemas.microsoft.com/office/drawing/2014/main" id="{00000000-0008-0000-2600-000019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634842" name="Check Box 26" hidden="1">
              <a:extLst>
                <a:ext uri="{63B3BB69-23CF-44E3-9099-C40C66FF867C}">
                  <a14:compatExt spid="_x0000_s25634842"/>
                </a:ext>
                <a:ext uri="{FF2B5EF4-FFF2-40B4-BE49-F238E27FC236}">
                  <a16:creationId xmlns:a16="http://schemas.microsoft.com/office/drawing/2014/main" id="{00000000-0008-0000-2600-00001A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634843" name="Check Box 27" hidden="1">
              <a:extLst>
                <a:ext uri="{63B3BB69-23CF-44E3-9099-C40C66FF867C}">
                  <a14:compatExt spid="_x0000_s25634843"/>
                </a:ext>
                <a:ext uri="{FF2B5EF4-FFF2-40B4-BE49-F238E27FC236}">
                  <a16:creationId xmlns:a16="http://schemas.microsoft.com/office/drawing/2014/main" id="{00000000-0008-0000-2600-00001B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634844" name="Button 28" hidden="1">
              <a:extLst>
                <a:ext uri="{63B3BB69-23CF-44E3-9099-C40C66FF867C}">
                  <a14:compatExt spid="_x0000_s25634844"/>
                </a:ext>
                <a:ext uri="{FF2B5EF4-FFF2-40B4-BE49-F238E27FC236}">
                  <a16:creationId xmlns:a16="http://schemas.microsoft.com/office/drawing/2014/main" id="{00000000-0008-0000-2600-00001C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634845" name="Button 29" hidden="1">
              <a:extLst>
                <a:ext uri="{63B3BB69-23CF-44E3-9099-C40C66FF867C}">
                  <a14:compatExt spid="_x0000_s25634845"/>
                </a:ext>
                <a:ext uri="{FF2B5EF4-FFF2-40B4-BE49-F238E27FC236}">
                  <a16:creationId xmlns:a16="http://schemas.microsoft.com/office/drawing/2014/main" id="{00000000-0008-0000-2600-00001D28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634846" name="Check Box 30" hidden="1">
              <a:extLst>
                <a:ext uri="{63B3BB69-23CF-44E3-9099-C40C66FF867C}">
                  <a14:compatExt spid="_x0000_s25634846"/>
                </a:ext>
                <a:ext uri="{FF2B5EF4-FFF2-40B4-BE49-F238E27FC236}">
                  <a16:creationId xmlns:a16="http://schemas.microsoft.com/office/drawing/2014/main" id="{00000000-0008-0000-2600-00001E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634847" name="Check Box 31" hidden="1">
              <a:extLst>
                <a:ext uri="{63B3BB69-23CF-44E3-9099-C40C66FF867C}">
                  <a14:compatExt spid="_x0000_s25634847"/>
                </a:ext>
                <a:ext uri="{FF2B5EF4-FFF2-40B4-BE49-F238E27FC236}">
                  <a16:creationId xmlns:a16="http://schemas.microsoft.com/office/drawing/2014/main" id="{00000000-0008-0000-2600-00001F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634848" name="Check Box 32" hidden="1">
              <a:extLst>
                <a:ext uri="{63B3BB69-23CF-44E3-9099-C40C66FF867C}">
                  <a14:compatExt spid="_x0000_s25634848"/>
                </a:ext>
                <a:ext uri="{FF2B5EF4-FFF2-40B4-BE49-F238E27FC236}">
                  <a16:creationId xmlns:a16="http://schemas.microsoft.com/office/drawing/2014/main" id="{00000000-0008-0000-2600-000020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634849" name="Check Box 33" hidden="1">
              <a:extLst>
                <a:ext uri="{63B3BB69-23CF-44E3-9099-C40C66FF867C}">
                  <a14:compatExt spid="_x0000_s25634849"/>
                </a:ext>
                <a:ext uri="{FF2B5EF4-FFF2-40B4-BE49-F238E27FC236}">
                  <a16:creationId xmlns:a16="http://schemas.microsoft.com/office/drawing/2014/main" id="{00000000-0008-0000-2600-000021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634850" name="Check Box 34" hidden="1">
              <a:extLst>
                <a:ext uri="{63B3BB69-23CF-44E3-9099-C40C66FF867C}">
                  <a14:compatExt spid="_x0000_s25634850"/>
                </a:ext>
                <a:ext uri="{FF2B5EF4-FFF2-40B4-BE49-F238E27FC236}">
                  <a16:creationId xmlns:a16="http://schemas.microsoft.com/office/drawing/2014/main" id="{00000000-0008-0000-2600-000022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634851" name="Check Box 35" hidden="1">
              <a:extLst>
                <a:ext uri="{63B3BB69-23CF-44E3-9099-C40C66FF867C}">
                  <a14:compatExt spid="_x0000_s25634851"/>
                </a:ext>
                <a:ext uri="{FF2B5EF4-FFF2-40B4-BE49-F238E27FC236}">
                  <a16:creationId xmlns:a16="http://schemas.microsoft.com/office/drawing/2014/main" id="{00000000-0008-0000-2600-000023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634852" name="Check Box 36" hidden="1">
              <a:extLst>
                <a:ext uri="{63B3BB69-23CF-44E3-9099-C40C66FF867C}">
                  <a14:compatExt spid="_x0000_s25634852"/>
                </a:ext>
                <a:ext uri="{FF2B5EF4-FFF2-40B4-BE49-F238E27FC236}">
                  <a16:creationId xmlns:a16="http://schemas.microsoft.com/office/drawing/2014/main" id="{00000000-0008-0000-2600-000024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634853" name="Check Box 37" hidden="1">
              <a:extLst>
                <a:ext uri="{63B3BB69-23CF-44E3-9099-C40C66FF867C}">
                  <a14:compatExt spid="_x0000_s25634853"/>
                </a:ext>
                <a:ext uri="{FF2B5EF4-FFF2-40B4-BE49-F238E27FC236}">
                  <a16:creationId xmlns:a16="http://schemas.microsoft.com/office/drawing/2014/main" id="{00000000-0008-0000-2600-000025288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E769B514-61FA-4ECD-8024-FB54F094FD0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AE44DD7-0C81-486A-A235-08D4C2183ACE}"/>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525249" name="Check Box 1" hidden="1">
              <a:extLst>
                <a:ext uri="{63B3BB69-23CF-44E3-9099-C40C66FF867C}">
                  <a14:compatExt spid="_x0000_s25525249"/>
                </a:ext>
                <a:ext uri="{FF2B5EF4-FFF2-40B4-BE49-F238E27FC236}">
                  <a16:creationId xmlns:a16="http://schemas.microsoft.com/office/drawing/2014/main" id="{00000000-0008-0000-2700-000001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525250" name="Check Box 2" hidden="1">
              <a:extLst>
                <a:ext uri="{63B3BB69-23CF-44E3-9099-C40C66FF867C}">
                  <a14:compatExt spid="_x0000_s25525250"/>
                </a:ext>
                <a:ext uri="{FF2B5EF4-FFF2-40B4-BE49-F238E27FC236}">
                  <a16:creationId xmlns:a16="http://schemas.microsoft.com/office/drawing/2014/main" id="{00000000-0008-0000-2700-000002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525251" name="Check Box 3" hidden="1">
              <a:extLst>
                <a:ext uri="{63B3BB69-23CF-44E3-9099-C40C66FF867C}">
                  <a14:compatExt spid="_x0000_s25525251"/>
                </a:ext>
                <a:ext uri="{FF2B5EF4-FFF2-40B4-BE49-F238E27FC236}">
                  <a16:creationId xmlns:a16="http://schemas.microsoft.com/office/drawing/2014/main" id="{00000000-0008-0000-2700-000003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525252" name="Check Box 4" hidden="1">
              <a:extLst>
                <a:ext uri="{63B3BB69-23CF-44E3-9099-C40C66FF867C}">
                  <a14:compatExt spid="_x0000_s25525252"/>
                </a:ext>
                <a:ext uri="{FF2B5EF4-FFF2-40B4-BE49-F238E27FC236}">
                  <a16:creationId xmlns:a16="http://schemas.microsoft.com/office/drawing/2014/main" id="{00000000-0008-0000-2700-000004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525253" name="Check Box 5" hidden="1">
              <a:extLst>
                <a:ext uri="{63B3BB69-23CF-44E3-9099-C40C66FF867C}">
                  <a14:compatExt spid="_x0000_s25525253"/>
                </a:ext>
                <a:ext uri="{FF2B5EF4-FFF2-40B4-BE49-F238E27FC236}">
                  <a16:creationId xmlns:a16="http://schemas.microsoft.com/office/drawing/2014/main" id="{00000000-0008-0000-2700-000005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525254" name="Check Box 6" hidden="1">
              <a:extLst>
                <a:ext uri="{63B3BB69-23CF-44E3-9099-C40C66FF867C}">
                  <a14:compatExt spid="_x0000_s25525254"/>
                </a:ext>
                <a:ext uri="{FF2B5EF4-FFF2-40B4-BE49-F238E27FC236}">
                  <a16:creationId xmlns:a16="http://schemas.microsoft.com/office/drawing/2014/main" id="{00000000-0008-0000-2700-000006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525255" name="Check Box 7" hidden="1">
              <a:extLst>
                <a:ext uri="{63B3BB69-23CF-44E3-9099-C40C66FF867C}">
                  <a14:compatExt spid="_x0000_s25525255"/>
                </a:ext>
                <a:ext uri="{FF2B5EF4-FFF2-40B4-BE49-F238E27FC236}">
                  <a16:creationId xmlns:a16="http://schemas.microsoft.com/office/drawing/2014/main" id="{00000000-0008-0000-2700-000007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525256" name="Button 8" hidden="1">
              <a:extLst>
                <a:ext uri="{63B3BB69-23CF-44E3-9099-C40C66FF867C}">
                  <a14:compatExt spid="_x0000_s25525256"/>
                </a:ext>
                <a:ext uri="{FF2B5EF4-FFF2-40B4-BE49-F238E27FC236}">
                  <a16:creationId xmlns:a16="http://schemas.microsoft.com/office/drawing/2014/main" id="{00000000-0008-0000-2700-0000087C8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525257" name="Button 9" hidden="1">
              <a:extLst>
                <a:ext uri="{63B3BB69-23CF-44E3-9099-C40C66FF867C}">
                  <a14:compatExt spid="_x0000_s25525257"/>
                </a:ext>
                <a:ext uri="{FF2B5EF4-FFF2-40B4-BE49-F238E27FC236}">
                  <a16:creationId xmlns:a16="http://schemas.microsoft.com/office/drawing/2014/main" id="{00000000-0008-0000-2700-0000097C8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525258" name="Check Box 10" hidden="1">
              <a:extLst>
                <a:ext uri="{63B3BB69-23CF-44E3-9099-C40C66FF867C}">
                  <a14:compatExt spid="_x0000_s25525258"/>
                </a:ext>
                <a:ext uri="{FF2B5EF4-FFF2-40B4-BE49-F238E27FC236}">
                  <a16:creationId xmlns:a16="http://schemas.microsoft.com/office/drawing/2014/main" id="{00000000-0008-0000-2700-00000A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525259" name="Button 11" hidden="1">
              <a:extLst>
                <a:ext uri="{63B3BB69-23CF-44E3-9099-C40C66FF867C}">
                  <a14:compatExt spid="_x0000_s25525259"/>
                </a:ext>
                <a:ext uri="{FF2B5EF4-FFF2-40B4-BE49-F238E27FC236}">
                  <a16:creationId xmlns:a16="http://schemas.microsoft.com/office/drawing/2014/main" id="{00000000-0008-0000-2700-00000B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525260" name="Button 12" hidden="1">
              <a:extLst>
                <a:ext uri="{63B3BB69-23CF-44E3-9099-C40C66FF867C}">
                  <a14:compatExt spid="_x0000_s25525260"/>
                </a:ext>
                <a:ext uri="{FF2B5EF4-FFF2-40B4-BE49-F238E27FC236}">
                  <a16:creationId xmlns:a16="http://schemas.microsoft.com/office/drawing/2014/main" id="{00000000-0008-0000-2700-00000C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525261" name="Button 13" hidden="1">
              <a:extLst>
                <a:ext uri="{63B3BB69-23CF-44E3-9099-C40C66FF867C}">
                  <a14:compatExt spid="_x0000_s25525261"/>
                </a:ext>
                <a:ext uri="{FF2B5EF4-FFF2-40B4-BE49-F238E27FC236}">
                  <a16:creationId xmlns:a16="http://schemas.microsoft.com/office/drawing/2014/main" id="{00000000-0008-0000-2700-00000D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525262" name="Button 14" hidden="1">
              <a:extLst>
                <a:ext uri="{63B3BB69-23CF-44E3-9099-C40C66FF867C}">
                  <a14:compatExt spid="_x0000_s25525262"/>
                </a:ext>
                <a:ext uri="{FF2B5EF4-FFF2-40B4-BE49-F238E27FC236}">
                  <a16:creationId xmlns:a16="http://schemas.microsoft.com/office/drawing/2014/main" id="{00000000-0008-0000-2700-00000E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525263" name="Check Box 15" hidden="1">
              <a:extLst>
                <a:ext uri="{63B3BB69-23CF-44E3-9099-C40C66FF867C}">
                  <a14:compatExt spid="_x0000_s25525263"/>
                </a:ext>
                <a:ext uri="{FF2B5EF4-FFF2-40B4-BE49-F238E27FC236}">
                  <a16:creationId xmlns:a16="http://schemas.microsoft.com/office/drawing/2014/main" id="{00000000-0008-0000-2700-00000F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525264" name="Check Box 16" hidden="1">
              <a:extLst>
                <a:ext uri="{63B3BB69-23CF-44E3-9099-C40C66FF867C}">
                  <a14:compatExt spid="_x0000_s25525264"/>
                </a:ext>
                <a:ext uri="{FF2B5EF4-FFF2-40B4-BE49-F238E27FC236}">
                  <a16:creationId xmlns:a16="http://schemas.microsoft.com/office/drawing/2014/main" id="{00000000-0008-0000-2700-000010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525265" name="Check Box 17" hidden="1">
              <a:extLst>
                <a:ext uri="{63B3BB69-23CF-44E3-9099-C40C66FF867C}">
                  <a14:compatExt spid="_x0000_s25525265"/>
                </a:ext>
                <a:ext uri="{FF2B5EF4-FFF2-40B4-BE49-F238E27FC236}">
                  <a16:creationId xmlns:a16="http://schemas.microsoft.com/office/drawing/2014/main" id="{00000000-0008-0000-2700-000011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525266" name="Check Box 18" hidden="1">
              <a:extLst>
                <a:ext uri="{63B3BB69-23CF-44E3-9099-C40C66FF867C}">
                  <a14:compatExt spid="_x0000_s25525266"/>
                </a:ext>
                <a:ext uri="{FF2B5EF4-FFF2-40B4-BE49-F238E27FC236}">
                  <a16:creationId xmlns:a16="http://schemas.microsoft.com/office/drawing/2014/main" id="{00000000-0008-0000-2700-000012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525267" name="Check Box 19" hidden="1">
              <a:extLst>
                <a:ext uri="{63B3BB69-23CF-44E3-9099-C40C66FF867C}">
                  <a14:compatExt spid="_x0000_s25525267"/>
                </a:ext>
                <a:ext uri="{FF2B5EF4-FFF2-40B4-BE49-F238E27FC236}">
                  <a16:creationId xmlns:a16="http://schemas.microsoft.com/office/drawing/2014/main" id="{00000000-0008-0000-2700-000013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525268" name="Check Box 20" hidden="1">
              <a:extLst>
                <a:ext uri="{63B3BB69-23CF-44E3-9099-C40C66FF867C}">
                  <a14:compatExt spid="_x0000_s25525268"/>
                </a:ext>
                <a:ext uri="{FF2B5EF4-FFF2-40B4-BE49-F238E27FC236}">
                  <a16:creationId xmlns:a16="http://schemas.microsoft.com/office/drawing/2014/main" id="{00000000-0008-0000-2700-000014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525269" name="Check Box 21" hidden="1">
              <a:extLst>
                <a:ext uri="{63B3BB69-23CF-44E3-9099-C40C66FF867C}">
                  <a14:compatExt spid="_x0000_s25525269"/>
                </a:ext>
                <a:ext uri="{FF2B5EF4-FFF2-40B4-BE49-F238E27FC236}">
                  <a16:creationId xmlns:a16="http://schemas.microsoft.com/office/drawing/2014/main" id="{00000000-0008-0000-2700-000015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525270" name="Check Box 22" hidden="1">
              <a:extLst>
                <a:ext uri="{63B3BB69-23CF-44E3-9099-C40C66FF867C}">
                  <a14:compatExt spid="_x0000_s25525270"/>
                </a:ext>
                <a:ext uri="{FF2B5EF4-FFF2-40B4-BE49-F238E27FC236}">
                  <a16:creationId xmlns:a16="http://schemas.microsoft.com/office/drawing/2014/main" id="{00000000-0008-0000-2700-000016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525271" name="Check Box 23" hidden="1">
              <a:extLst>
                <a:ext uri="{63B3BB69-23CF-44E3-9099-C40C66FF867C}">
                  <a14:compatExt spid="_x0000_s25525271"/>
                </a:ext>
                <a:ext uri="{FF2B5EF4-FFF2-40B4-BE49-F238E27FC236}">
                  <a16:creationId xmlns:a16="http://schemas.microsoft.com/office/drawing/2014/main" id="{00000000-0008-0000-2700-000017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525272" name="Check Box 24" hidden="1">
              <a:extLst>
                <a:ext uri="{63B3BB69-23CF-44E3-9099-C40C66FF867C}">
                  <a14:compatExt spid="_x0000_s25525272"/>
                </a:ext>
                <a:ext uri="{FF2B5EF4-FFF2-40B4-BE49-F238E27FC236}">
                  <a16:creationId xmlns:a16="http://schemas.microsoft.com/office/drawing/2014/main" id="{00000000-0008-0000-2700-000018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525273" name="Check Box 25" hidden="1">
              <a:extLst>
                <a:ext uri="{63B3BB69-23CF-44E3-9099-C40C66FF867C}">
                  <a14:compatExt spid="_x0000_s25525273"/>
                </a:ext>
                <a:ext uri="{FF2B5EF4-FFF2-40B4-BE49-F238E27FC236}">
                  <a16:creationId xmlns:a16="http://schemas.microsoft.com/office/drawing/2014/main" id="{00000000-0008-0000-2700-000019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525274" name="Check Box 26" hidden="1">
              <a:extLst>
                <a:ext uri="{63B3BB69-23CF-44E3-9099-C40C66FF867C}">
                  <a14:compatExt spid="_x0000_s25525274"/>
                </a:ext>
                <a:ext uri="{FF2B5EF4-FFF2-40B4-BE49-F238E27FC236}">
                  <a16:creationId xmlns:a16="http://schemas.microsoft.com/office/drawing/2014/main" id="{00000000-0008-0000-2700-00001A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525275" name="Check Box 27" hidden="1">
              <a:extLst>
                <a:ext uri="{63B3BB69-23CF-44E3-9099-C40C66FF867C}">
                  <a14:compatExt spid="_x0000_s25525275"/>
                </a:ext>
                <a:ext uri="{FF2B5EF4-FFF2-40B4-BE49-F238E27FC236}">
                  <a16:creationId xmlns:a16="http://schemas.microsoft.com/office/drawing/2014/main" id="{00000000-0008-0000-2700-00001B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525276" name="Button 28" hidden="1">
              <a:extLst>
                <a:ext uri="{63B3BB69-23CF-44E3-9099-C40C66FF867C}">
                  <a14:compatExt spid="_x0000_s25525276"/>
                </a:ext>
                <a:ext uri="{FF2B5EF4-FFF2-40B4-BE49-F238E27FC236}">
                  <a16:creationId xmlns:a16="http://schemas.microsoft.com/office/drawing/2014/main" id="{00000000-0008-0000-2700-00001C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525277" name="Button 29" hidden="1">
              <a:extLst>
                <a:ext uri="{63B3BB69-23CF-44E3-9099-C40C66FF867C}">
                  <a14:compatExt spid="_x0000_s25525277"/>
                </a:ext>
                <a:ext uri="{FF2B5EF4-FFF2-40B4-BE49-F238E27FC236}">
                  <a16:creationId xmlns:a16="http://schemas.microsoft.com/office/drawing/2014/main" id="{00000000-0008-0000-2700-00001D7C8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525278" name="Check Box 30" hidden="1">
              <a:extLst>
                <a:ext uri="{63B3BB69-23CF-44E3-9099-C40C66FF867C}">
                  <a14:compatExt spid="_x0000_s25525278"/>
                </a:ext>
                <a:ext uri="{FF2B5EF4-FFF2-40B4-BE49-F238E27FC236}">
                  <a16:creationId xmlns:a16="http://schemas.microsoft.com/office/drawing/2014/main" id="{00000000-0008-0000-2700-00001E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525279" name="Check Box 31" hidden="1">
              <a:extLst>
                <a:ext uri="{63B3BB69-23CF-44E3-9099-C40C66FF867C}">
                  <a14:compatExt spid="_x0000_s25525279"/>
                </a:ext>
                <a:ext uri="{FF2B5EF4-FFF2-40B4-BE49-F238E27FC236}">
                  <a16:creationId xmlns:a16="http://schemas.microsoft.com/office/drawing/2014/main" id="{00000000-0008-0000-2700-00001F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525280" name="Check Box 32" hidden="1">
              <a:extLst>
                <a:ext uri="{63B3BB69-23CF-44E3-9099-C40C66FF867C}">
                  <a14:compatExt spid="_x0000_s25525280"/>
                </a:ext>
                <a:ext uri="{FF2B5EF4-FFF2-40B4-BE49-F238E27FC236}">
                  <a16:creationId xmlns:a16="http://schemas.microsoft.com/office/drawing/2014/main" id="{00000000-0008-0000-2700-000020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525281" name="Check Box 33" hidden="1">
              <a:extLst>
                <a:ext uri="{63B3BB69-23CF-44E3-9099-C40C66FF867C}">
                  <a14:compatExt spid="_x0000_s25525281"/>
                </a:ext>
                <a:ext uri="{FF2B5EF4-FFF2-40B4-BE49-F238E27FC236}">
                  <a16:creationId xmlns:a16="http://schemas.microsoft.com/office/drawing/2014/main" id="{00000000-0008-0000-2700-000021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525282" name="Check Box 34" hidden="1">
              <a:extLst>
                <a:ext uri="{63B3BB69-23CF-44E3-9099-C40C66FF867C}">
                  <a14:compatExt spid="_x0000_s25525282"/>
                </a:ext>
                <a:ext uri="{FF2B5EF4-FFF2-40B4-BE49-F238E27FC236}">
                  <a16:creationId xmlns:a16="http://schemas.microsoft.com/office/drawing/2014/main" id="{00000000-0008-0000-2700-000022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525283" name="Check Box 35" hidden="1">
              <a:extLst>
                <a:ext uri="{63B3BB69-23CF-44E3-9099-C40C66FF867C}">
                  <a14:compatExt spid="_x0000_s25525283"/>
                </a:ext>
                <a:ext uri="{FF2B5EF4-FFF2-40B4-BE49-F238E27FC236}">
                  <a16:creationId xmlns:a16="http://schemas.microsoft.com/office/drawing/2014/main" id="{00000000-0008-0000-2700-000023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525284" name="Check Box 36" hidden="1">
              <a:extLst>
                <a:ext uri="{63B3BB69-23CF-44E3-9099-C40C66FF867C}">
                  <a14:compatExt spid="_x0000_s25525284"/>
                </a:ext>
                <a:ext uri="{FF2B5EF4-FFF2-40B4-BE49-F238E27FC236}">
                  <a16:creationId xmlns:a16="http://schemas.microsoft.com/office/drawing/2014/main" id="{00000000-0008-0000-2700-000024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525285" name="Check Box 37" hidden="1">
              <a:extLst>
                <a:ext uri="{63B3BB69-23CF-44E3-9099-C40C66FF867C}">
                  <a14:compatExt spid="_x0000_s25525285"/>
                </a:ext>
                <a:ext uri="{FF2B5EF4-FFF2-40B4-BE49-F238E27FC236}">
                  <a16:creationId xmlns:a16="http://schemas.microsoft.com/office/drawing/2014/main" id="{00000000-0008-0000-2700-0000257C8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1F38726-40B0-4AC0-BE82-1EEE8B0F044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2A0DFBA-E73F-41E3-AB6C-B6DE91F85C1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416705" name="Check Box 1" hidden="1">
              <a:extLst>
                <a:ext uri="{63B3BB69-23CF-44E3-9099-C40C66FF867C}">
                  <a14:compatExt spid="_x0000_s25416705"/>
                </a:ext>
                <a:ext uri="{FF2B5EF4-FFF2-40B4-BE49-F238E27FC236}">
                  <a16:creationId xmlns:a16="http://schemas.microsoft.com/office/drawing/2014/main" id="{00000000-0008-0000-2800-000001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416706" name="Check Box 2" hidden="1">
              <a:extLst>
                <a:ext uri="{63B3BB69-23CF-44E3-9099-C40C66FF867C}">
                  <a14:compatExt spid="_x0000_s25416706"/>
                </a:ext>
                <a:ext uri="{FF2B5EF4-FFF2-40B4-BE49-F238E27FC236}">
                  <a16:creationId xmlns:a16="http://schemas.microsoft.com/office/drawing/2014/main" id="{00000000-0008-0000-2800-000002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416707" name="Check Box 3" hidden="1">
              <a:extLst>
                <a:ext uri="{63B3BB69-23CF-44E3-9099-C40C66FF867C}">
                  <a14:compatExt spid="_x0000_s25416707"/>
                </a:ext>
                <a:ext uri="{FF2B5EF4-FFF2-40B4-BE49-F238E27FC236}">
                  <a16:creationId xmlns:a16="http://schemas.microsoft.com/office/drawing/2014/main" id="{00000000-0008-0000-2800-000003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416708" name="Check Box 4" hidden="1">
              <a:extLst>
                <a:ext uri="{63B3BB69-23CF-44E3-9099-C40C66FF867C}">
                  <a14:compatExt spid="_x0000_s25416708"/>
                </a:ext>
                <a:ext uri="{FF2B5EF4-FFF2-40B4-BE49-F238E27FC236}">
                  <a16:creationId xmlns:a16="http://schemas.microsoft.com/office/drawing/2014/main" id="{00000000-0008-0000-2800-000004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416709" name="Check Box 5" hidden="1">
              <a:extLst>
                <a:ext uri="{63B3BB69-23CF-44E3-9099-C40C66FF867C}">
                  <a14:compatExt spid="_x0000_s25416709"/>
                </a:ext>
                <a:ext uri="{FF2B5EF4-FFF2-40B4-BE49-F238E27FC236}">
                  <a16:creationId xmlns:a16="http://schemas.microsoft.com/office/drawing/2014/main" id="{00000000-0008-0000-2800-000005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416710" name="Check Box 6" hidden="1">
              <a:extLst>
                <a:ext uri="{63B3BB69-23CF-44E3-9099-C40C66FF867C}">
                  <a14:compatExt spid="_x0000_s25416710"/>
                </a:ext>
                <a:ext uri="{FF2B5EF4-FFF2-40B4-BE49-F238E27FC236}">
                  <a16:creationId xmlns:a16="http://schemas.microsoft.com/office/drawing/2014/main" id="{00000000-0008-0000-2800-000006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416711" name="Check Box 7" hidden="1">
              <a:extLst>
                <a:ext uri="{63B3BB69-23CF-44E3-9099-C40C66FF867C}">
                  <a14:compatExt spid="_x0000_s25416711"/>
                </a:ext>
                <a:ext uri="{FF2B5EF4-FFF2-40B4-BE49-F238E27FC236}">
                  <a16:creationId xmlns:a16="http://schemas.microsoft.com/office/drawing/2014/main" id="{00000000-0008-0000-2800-000007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416712" name="Button 8" hidden="1">
              <a:extLst>
                <a:ext uri="{63B3BB69-23CF-44E3-9099-C40C66FF867C}">
                  <a14:compatExt spid="_x0000_s25416712"/>
                </a:ext>
                <a:ext uri="{FF2B5EF4-FFF2-40B4-BE49-F238E27FC236}">
                  <a16:creationId xmlns:a16="http://schemas.microsoft.com/office/drawing/2014/main" id="{00000000-0008-0000-2800-000008D48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416713" name="Button 9" hidden="1">
              <a:extLst>
                <a:ext uri="{63B3BB69-23CF-44E3-9099-C40C66FF867C}">
                  <a14:compatExt spid="_x0000_s25416713"/>
                </a:ext>
                <a:ext uri="{FF2B5EF4-FFF2-40B4-BE49-F238E27FC236}">
                  <a16:creationId xmlns:a16="http://schemas.microsoft.com/office/drawing/2014/main" id="{00000000-0008-0000-2800-000009D48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416714" name="Check Box 10" hidden="1">
              <a:extLst>
                <a:ext uri="{63B3BB69-23CF-44E3-9099-C40C66FF867C}">
                  <a14:compatExt spid="_x0000_s25416714"/>
                </a:ext>
                <a:ext uri="{FF2B5EF4-FFF2-40B4-BE49-F238E27FC236}">
                  <a16:creationId xmlns:a16="http://schemas.microsoft.com/office/drawing/2014/main" id="{00000000-0008-0000-2800-00000A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416715" name="Button 11" hidden="1">
              <a:extLst>
                <a:ext uri="{63B3BB69-23CF-44E3-9099-C40C66FF867C}">
                  <a14:compatExt spid="_x0000_s25416715"/>
                </a:ext>
                <a:ext uri="{FF2B5EF4-FFF2-40B4-BE49-F238E27FC236}">
                  <a16:creationId xmlns:a16="http://schemas.microsoft.com/office/drawing/2014/main" id="{00000000-0008-0000-2800-00000B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416716" name="Button 12" hidden="1">
              <a:extLst>
                <a:ext uri="{63B3BB69-23CF-44E3-9099-C40C66FF867C}">
                  <a14:compatExt spid="_x0000_s25416716"/>
                </a:ext>
                <a:ext uri="{FF2B5EF4-FFF2-40B4-BE49-F238E27FC236}">
                  <a16:creationId xmlns:a16="http://schemas.microsoft.com/office/drawing/2014/main" id="{00000000-0008-0000-2800-00000C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416717" name="Button 13" hidden="1">
              <a:extLst>
                <a:ext uri="{63B3BB69-23CF-44E3-9099-C40C66FF867C}">
                  <a14:compatExt spid="_x0000_s25416717"/>
                </a:ext>
                <a:ext uri="{FF2B5EF4-FFF2-40B4-BE49-F238E27FC236}">
                  <a16:creationId xmlns:a16="http://schemas.microsoft.com/office/drawing/2014/main" id="{00000000-0008-0000-2800-00000D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416718" name="Button 14" hidden="1">
              <a:extLst>
                <a:ext uri="{63B3BB69-23CF-44E3-9099-C40C66FF867C}">
                  <a14:compatExt spid="_x0000_s25416718"/>
                </a:ext>
                <a:ext uri="{FF2B5EF4-FFF2-40B4-BE49-F238E27FC236}">
                  <a16:creationId xmlns:a16="http://schemas.microsoft.com/office/drawing/2014/main" id="{00000000-0008-0000-2800-00000E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416719" name="Check Box 15" hidden="1">
              <a:extLst>
                <a:ext uri="{63B3BB69-23CF-44E3-9099-C40C66FF867C}">
                  <a14:compatExt spid="_x0000_s25416719"/>
                </a:ext>
                <a:ext uri="{FF2B5EF4-FFF2-40B4-BE49-F238E27FC236}">
                  <a16:creationId xmlns:a16="http://schemas.microsoft.com/office/drawing/2014/main" id="{00000000-0008-0000-2800-00000F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416720" name="Check Box 16" hidden="1">
              <a:extLst>
                <a:ext uri="{63B3BB69-23CF-44E3-9099-C40C66FF867C}">
                  <a14:compatExt spid="_x0000_s25416720"/>
                </a:ext>
                <a:ext uri="{FF2B5EF4-FFF2-40B4-BE49-F238E27FC236}">
                  <a16:creationId xmlns:a16="http://schemas.microsoft.com/office/drawing/2014/main" id="{00000000-0008-0000-2800-000010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416721" name="Check Box 17" hidden="1">
              <a:extLst>
                <a:ext uri="{63B3BB69-23CF-44E3-9099-C40C66FF867C}">
                  <a14:compatExt spid="_x0000_s25416721"/>
                </a:ext>
                <a:ext uri="{FF2B5EF4-FFF2-40B4-BE49-F238E27FC236}">
                  <a16:creationId xmlns:a16="http://schemas.microsoft.com/office/drawing/2014/main" id="{00000000-0008-0000-2800-000011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416722" name="Check Box 18" hidden="1">
              <a:extLst>
                <a:ext uri="{63B3BB69-23CF-44E3-9099-C40C66FF867C}">
                  <a14:compatExt spid="_x0000_s25416722"/>
                </a:ext>
                <a:ext uri="{FF2B5EF4-FFF2-40B4-BE49-F238E27FC236}">
                  <a16:creationId xmlns:a16="http://schemas.microsoft.com/office/drawing/2014/main" id="{00000000-0008-0000-2800-000012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416723" name="Check Box 19" hidden="1">
              <a:extLst>
                <a:ext uri="{63B3BB69-23CF-44E3-9099-C40C66FF867C}">
                  <a14:compatExt spid="_x0000_s25416723"/>
                </a:ext>
                <a:ext uri="{FF2B5EF4-FFF2-40B4-BE49-F238E27FC236}">
                  <a16:creationId xmlns:a16="http://schemas.microsoft.com/office/drawing/2014/main" id="{00000000-0008-0000-2800-000013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416724" name="Check Box 20" hidden="1">
              <a:extLst>
                <a:ext uri="{63B3BB69-23CF-44E3-9099-C40C66FF867C}">
                  <a14:compatExt spid="_x0000_s25416724"/>
                </a:ext>
                <a:ext uri="{FF2B5EF4-FFF2-40B4-BE49-F238E27FC236}">
                  <a16:creationId xmlns:a16="http://schemas.microsoft.com/office/drawing/2014/main" id="{00000000-0008-0000-2800-000014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416725" name="Check Box 21" hidden="1">
              <a:extLst>
                <a:ext uri="{63B3BB69-23CF-44E3-9099-C40C66FF867C}">
                  <a14:compatExt spid="_x0000_s25416725"/>
                </a:ext>
                <a:ext uri="{FF2B5EF4-FFF2-40B4-BE49-F238E27FC236}">
                  <a16:creationId xmlns:a16="http://schemas.microsoft.com/office/drawing/2014/main" id="{00000000-0008-0000-2800-000015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416726" name="Check Box 22" hidden="1">
              <a:extLst>
                <a:ext uri="{63B3BB69-23CF-44E3-9099-C40C66FF867C}">
                  <a14:compatExt spid="_x0000_s25416726"/>
                </a:ext>
                <a:ext uri="{FF2B5EF4-FFF2-40B4-BE49-F238E27FC236}">
                  <a16:creationId xmlns:a16="http://schemas.microsoft.com/office/drawing/2014/main" id="{00000000-0008-0000-2800-000016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416727" name="Check Box 23" hidden="1">
              <a:extLst>
                <a:ext uri="{63B3BB69-23CF-44E3-9099-C40C66FF867C}">
                  <a14:compatExt spid="_x0000_s25416727"/>
                </a:ext>
                <a:ext uri="{FF2B5EF4-FFF2-40B4-BE49-F238E27FC236}">
                  <a16:creationId xmlns:a16="http://schemas.microsoft.com/office/drawing/2014/main" id="{00000000-0008-0000-2800-000017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416728" name="Check Box 24" hidden="1">
              <a:extLst>
                <a:ext uri="{63B3BB69-23CF-44E3-9099-C40C66FF867C}">
                  <a14:compatExt spid="_x0000_s25416728"/>
                </a:ext>
                <a:ext uri="{FF2B5EF4-FFF2-40B4-BE49-F238E27FC236}">
                  <a16:creationId xmlns:a16="http://schemas.microsoft.com/office/drawing/2014/main" id="{00000000-0008-0000-2800-000018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416729" name="Check Box 25" hidden="1">
              <a:extLst>
                <a:ext uri="{63B3BB69-23CF-44E3-9099-C40C66FF867C}">
                  <a14:compatExt spid="_x0000_s25416729"/>
                </a:ext>
                <a:ext uri="{FF2B5EF4-FFF2-40B4-BE49-F238E27FC236}">
                  <a16:creationId xmlns:a16="http://schemas.microsoft.com/office/drawing/2014/main" id="{00000000-0008-0000-2800-000019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416730" name="Check Box 26" hidden="1">
              <a:extLst>
                <a:ext uri="{63B3BB69-23CF-44E3-9099-C40C66FF867C}">
                  <a14:compatExt spid="_x0000_s25416730"/>
                </a:ext>
                <a:ext uri="{FF2B5EF4-FFF2-40B4-BE49-F238E27FC236}">
                  <a16:creationId xmlns:a16="http://schemas.microsoft.com/office/drawing/2014/main" id="{00000000-0008-0000-2800-00001A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416731" name="Check Box 27" hidden="1">
              <a:extLst>
                <a:ext uri="{63B3BB69-23CF-44E3-9099-C40C66FF867C}">
                  <a14:compatExt spid="_x0000_s25416731"/>
                </a:ext>
                <a:ext uri="{FF2B5EF4-FFF2-40B4-BE49-F238E27FC236}">
                  <a16:creationId xmlns:a16="http://schemas.microsoft.com/office/drawing/2014/main" id="{00000000-0008-0000-2800-00001B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416732" name="Button 28" hidden="1">
              <a:extLst>
                <a:ext uri="{63B3BB69-23CF-44E3-9099-C40C66FF867C}">
                  <a14:compatExt spid="_x0000_s25416732"/>
                </a:ext>
                <a:ext uri="{FF2B5EF4-FFF2-40B4-BE49-F238E27FC236}">
                  <a16:creationId xmlns:a16="http://schemas.microsoft.com/office/drawing/2014/main" id="{00000000-0008-0000-2800-00001C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416733" name="Button 29" hidden="1">
              <a:extLst>
                <a:ext uri="{63B3BB69-23CF-44E3-9099-C40C66FF867C}">
                  <a14:compatExt spid="_x0000_s25416733"/>
                </a:ext>
                <a:ext uri="{FF2B5EF4-FFF2-40B4-BE49-F238E27FC236}">
                  <a16:creationId xmlns:a16="http://schemas.microsoft.com/office/drawing/2014/main" id="{00000000-0008-0000-2800-00001DD48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416734" name="Check Box 30" hidden="1">
              <a:extLst>
                <a:ext uri="{63B3BB69-23CF-44E3-9099-C40C66FF867C}">
                  <a14:compatExt spid="_x0000_s25416734"/>
                </a:ext>
                <a:ext uri="{FF2B5EF4-FFF2-40B4-BE49-F238E27FC236}">
                  <a16:creationId xmlns:a16="http://schemas.microsoft.com/office/drawing/2014/main" id="{00000000-0008-0000-2800-00001E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416735" name="Check Box 31" hidden="1">
              <a:extLst>
                <a:ext uri="{63B3BB69-23CF-44E3-9099-C40C66FF867C}">
                  <a14:compatExt spid="_x0000_s25416735"/>
                </a:ext>
                <a:ext uri="{FF2B5EF4-FFF2-40B4-BE49-F238E27FC236}">
                  <a16:creationId xmlns:a16="http://schemas.microsoft.com/office/drawing/2014/main" id="{00000000-0008-0000-2800-00001F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416736" name="Check Box 32" hidden="1">
              <a:extLst>
                <a:ext uri="{63B3BB69-23CF-44E3-9099-C40C66FF867C}">
                  <a14:compatExt spid="_x0000_s25416736"/>
                </a:ext>
                <a:ext uri="{FF2B5EF4-FFF2-40B4-BE49-F238E27FC236}">
                  <a16:creationId xmlns:a16="http://schemas.microsoft.com/office/drawing/2014/main" id="{00000000-0008-0000-2800-000020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416737" name="Check Box 33" hidden="1">
              <a:extLst>
                <a:ext uri="{63B3BB69-23CF-44E3-9099-C40C66FF867C}">
                  <a14:compatExt spid="_x0000_s25416737"/>
                </a:ext>
                <a:ext uri="{FF2B5EF4-FFF2-40B4-BE49-F238E27FC236}">
                  <a16:creationId xmlns:a16="http://schemas.microsoft.com/office/drawing/2014/main" id="{00000000-0008-0000-2800-000021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416738" name="Check Box 34" hidden="1">
              <a:extLst>
                <a:ext uri="{63B3BB69-23CF-44E3-9099-C40C66FF867C}">
                  <a14:compatExt spid="_x0000_s25416738"/>
                </a:ext>
                <a:ext uri="{FF2B5EF4-FFF2-40B4-BE49-F238E27FC236}">
                  <a16:creationId xmlns:a16="http://schemas.microsoft.com/office/drawing/2014/main" id="{00000000-0008-0000-2800-000022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416739" name="Check Box 35" hidden="1">
              <a:extLst>
                <a:ext uri="{63B3BB69-23CF-44E3-9099-C40C66FF867C}">
                  <a14:compatExt spid="_x0000_s25416739"/>
                </a:ext>
                <a:ext uri="{FF2B5EF4-FFF2-40B4-BE49-F238E27FC236}">
                  <a16:creationId xmlns:a16="http://schemas.microsoft.com/office/drawing/2014/main" id="{00000000-0008-0000-2800-000023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416740" name="Check Box 36" hidden="1">
              <a:extLst>
                <a:ext uri="{63B3BB69-23CF-44E3-9099-C40C66FF867C}">
                  <a14:compatExt spid="_x0000_s25416740"/>
                </a:ext>
                <a:ext uri="{FF2B5EF4-FFF2-40B4-BE49-F238E27FC236}">
                  <a16:creationId xmlns:a16="http://schemas.microsoft.com/office/drawing/2014/main" id="{00000000-0008-0000-2800-000024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416741" name="Check Box 37" hidden="1">
              <a:extLst>
                <a:ext uri="{63B3BB69-23CF-44E3-9099-C40C66FF867C}">
                  <a14:compatExt spid="_x0000_s25416741"/>
                </a:ext>
                <a:ext uri="{FF2B5EF4-FFF2-40B4-BE49-F238E27FC236}">
                  <a16:creationId xmlns:a16="http://schemas.microsoft.com/office/drawing/2014/main" id="{00000000-0008-0000-2800-000025D48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B83FEA7-CE67-456D-BBAE-997840FA3C9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DFDAAD6-36D3-4663-9CDE-C66FFC9C620C}"/>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309185" name="Check Box 1" hidden="1">
              <a:extLst>
                <a:ext uri="{63B3BB69-23CF-44E3-9099-C40C66FF867C}">
                  <a14:compatExt spid="_x0000_s25309185"/>
                </a:ext>
                <a:ext uri="{FF2B5EF4-FFF2-40B4-BE49-F238E27FC236}">
                  <a16:creationId xmlns:a16="http://schemas.microsoft.com/office/drawing/2014/main" id="{00000000-0008-0000-2900-000001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309186" name="Check Box 2" hidden="1">
              <a:extLst>
                <a:ext uri="{63B3BB69-23CF-44E3-9099-C40C66FF867C}">
                  <a14:compatExt spid="_x0000_s25309186"/>
                </a:ext>
                <a:ext uri="{FF2B5EF4-FFF2-40B4-BE49-F238E27FC236}">
                  <a16:creationId xmlns:a16="http://schemas.microsoft.com/office/drawing/2014/main" id="{00000000-0008-0000-2900-000002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309187" name="Check Box 3" hidden="1">
              <a:extLst>
                <a:ext uri="{63B3BB69-23CF-44E3-9099-C40C66FF867C}">
                  <a14:compatExt spid="_x0000_s25309187"/>
                </a:ext>
                <a:ext uri="{FF2B5EF4-FFF2-40B4-BE49-F238E27FC236}">
                  <a16:creationId xmlns:a16="http://schemas.microsoft.com/office/drawing/2014/main" id="{00000000-0008-0000-2900-000003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309188" name="Check Box 4" hidden="1">
              <a:extLst>
                <a:ext uri="{63B3BB69-23CF-44E3-9099-C40C66FF867C}">
                  <a14:compatExt spid="_x0000_s25309188"/>
                </a:ext>
                <a:ext uri="{FF2B5EF4-FFF2-40B4-BE49-F238E27FC236}">
                  <a16:creationId xmlns:a16="http://schemas.microsoft.com/office/drawing/2014/main" id="{00000000-0008-0000-2900-000004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309189" name="Check Box 5" hidden="1">
              <a:extLst>
                <a:ext uri="{63B3BB69-23CF-44E3-9099-C40C66FF867C}">
                  <a14:compatExt spid="_x0000_s25309189"/>
                </a:ext>
                <a:ext uri="{FF2B5EF4-FFF2-40B4-BE49-F238E27FC236}">
                  <a16:creationId xmlns:a16="http://schemas.microsoft.com/office/drawing/2014/main" id="{00000000-0008-0000-2900-000005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309190" name="Check Box 6" hidden="1">
              <a:extLst>
                <a:ext uri="{63B3BB69-23CF-44E3-9099-C40C66FF867C}">
                  <a14:compatExt spid="_x0000_s25309190"/>
                </a:ext>
                <a:ext uri="{FF2B5EF4-FFF2-40B4-BE49-F238E27FC236}">
                  <a16:creationId xmlns:a16="http://schemas.microsoft.com/office/drawing/2014/main" id="{00000000-0008-0000-2900-000006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309191" name="Check Box 7" hidden="1">
              <a:extLst>
                <a:ext uri="{63B3BB69-23CF-44E3-9099-C40C66FF867C}">
                  <a14:compatExt spid="_x0000_s25309191"/>
                </a:ext>
                <a:ext uri="{FF2B5EF4-FFF2-40B4-BE49-F238E27FC236}">
                  <a16:creationId xmlns:a16="http://schemas.microsoft.com/office/drawing/2014/main" id="{00000000-0008-0000-2900-000007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309192" name="Button 8" hidden="1">
              <a:extLst>
                <a:ext uri="{63B3BB69-23CF-44E3-9099-C40C66FF867C}">
                  <a14:compatExt spid="_x0000_s25309192"/>
                </a:ext>
                <a:ext uri="{FF2B5EF4-FFF2-40B4-BE49-F238E27FC236}">
                  <a16:creationId xmlns:a16="http://schemas.microsoft.com/office/drawing/2014/main" id="{00000000-0008-0000-2900-00000830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309193" name="Button 9" hidden="1">
              <a:extLst>
                <a:ext uri="{63B3BB69-23CF-44E3-9099-C40C66FF867C}">
                  <a14:compatExt spid="_x0000_s25309193"/>
                </a:ext>
                <a:ext uri="{FF2B5EF4-FFF2-40B4-BE49-F238E27FC236}">
                  <a16:creationId xmlns:a16="http://schemas.microsoft.com/office/drawing/2014/main" id="{00000000-0008-0000-2900-00000930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309194" name="Check Box 10" hidden="1">
              <a:extLst>
                <a:ext uri="{63B3BB69-23CF-44E3-9099-C40C66FF867C}">
                  <a14:compatExt spid="_x0000_s25309194"/>
                </a:ext>
                <a:ext uri="{FF2B5EF4-FFF2-40B4-BE49-F238E27FC236}">
                  <a16:creationId xmlns:a16="http://schemas.microsoft.com/office/drawing/2014/main" id="{00000000-0008-0000-2900-00000A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309195" name="Button 11" hidden="1">
              <a:extLst>
                <a:ext uri="{63B3BB69-23CF-44E3-9099-C40C66FF867C}">
                  <a14:compatExt spid="_x0000_s25309195"/>
                </a:ext>
                <a:ext uri="{FF2B5EF4-FFF2-40B4-BE49-F238E27FC236}">
                  <a16:creationId xmlns:a16="http://schemas.microsoft.com/office/drawing/2014/main" id="{00000000-0008-0000-2900-00000B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309196" name="Button 12" hidden="1">
              <a:extLst>
                <a:ext uri="{63B3BB69-23CF-44E3-9099-C40C66FF867C}">
                  <a14:compatExt spid="_x0000_s25309196"/>
                </a:ext>
                <a:ext uri="{FF2B5EF4-FFF2-40B4-BE49-F238E27FC236}">
                  <a16:creationId xmlns:a16="http://schemas.microsoft.com/office/drawing/2014/main" id="{00000000-0008-0000-2900-00000C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309197" name="Button 13" hidden="1">
              <a:extLst>
                <a:ext uri="{63B3BB69-23CF-44E3-9099-C40C66FF867C}">
                  <a14:compatExt spid="_x0000_s25309197"/>
                </a:ext>
                <a:ext uri="{FF2B5EF4-FFF2-40B4-BE49-F238E27FC236}">
                  <a16:creationId xmlns:a16="http://schemas.microsoft.com/office/drawing/2014/main" id="{00000000-0008-0000-2900-00000D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309198" name="Button 14" hidden="1">
              <a:extLst>
                <a:ext uri="{63B3BB69-23CF-44E3-9099-C40C66FF867C}">
                  <a14:compatExt spid="_x0000_s25309198"/>
                </a:ext>
                <a:ext uri="{FF2B5EF4-FFF2-40B4-BE49-F238E27FC236}">
                  <a16:creationId xmlns:a16="http://schemas.microsoft.com/office/drawing/2014/main" id="{00000000-0008-0000-2900-00000E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309199" name="Check Box 15" hidden="1">
              <a:extLst>
                <a:ext uri="{63B3BB69-23CF-44E3-9099-C40C66FF867C}">
                  <a14:compatExt spid="_x0000_s25309199"/>
                </a:ext>
                <a:ext uri="{FF2B5EF4-FFF2-40B4-BE49-F238E27FC236}">
                  <a16:creationId xmlns:a16="http://schemas.microsoft.com/office/drawing/2014/main" id="{00000000-0008-0000-2900-00000F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309200" name="Check Box 16" hidden="1">
              <a:extLst>
                <a:ext uri="{63B3BB69-23CF-44E3-9099-C40C66FF867C}">
                  <a14:compatExt spid="_x0000_s25309200"/>
                </a:ext>
                <a:ext uri="{FF2B5EF4-FFF2-40B4-BE49-F238E27FC236}">
                  <a16:creationId xmlns:a16="http://schemas.microsoft.com/office/drawing/2014/main" id="{00000000-0008-0000-2900-000010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309201" name="Check Box 17" hidden="1">
              <a:extLst>
                <a:ext uri="{63B3BB69-23CF-44E3-9099-C40C66FF867C}">
                  <a14:compatExt spid="_x0000_s25309201"/>
                </a:ext>
                <a:ext uri="{FF2B5EF4-FFF2-40B4-BE49-F238E27FC236}">
                  <a16:creationId xmlns:a16="http://schemas.microsoft.com/office/drawing/2014/main" id="{00000000-0008-0000-2900-000011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309202" name="Check Box 18" hidden="1">
              <a:extLst>
                <a:ext uri="{63B3BB69-23CF-44E3-9099-C40C66FF867C}">
                  <a14:compatExt spid="_x0000_s25309202"/>
                </a:ext>
                <a:ext uri="{FF2B5EF4-FFF2-40B4-BE49-F238E27FC236}">
                  <a16:creationId xmlns:a16="http://schemas.microsoft.com/office/drawing/2014/main" id="{00000000-0008-0000-2900-000012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309203" name="Check Box 19" hidden="1">
              <a:extLst>
                <a:ext uri="{63B3BB69-23CF-44E3-9099-C40C66FF867C}">
                  <a14:compatExt spid="_x0000_s25309203"/>
                </a:ext>
                <a:ext uri="{FF2B5EF4-FFF2-40B4-BE49-F238E27FC236}">
                  <a16:creationId xmlns:a16="http://schemas.microsoft.com/office/drawing/2014/main" id="{00000000-0008-0000-2900-000013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309204" name="Check Box 20" hidden="1">
              <a:extLst>
                <a:ext uri="{63B3BB69-23CF-44E3-9099-C40C66FF867C}">
                  <a14:compatExt spid="_x0000_s25309204"/>
                </a:ext>
                <a:ext uri="{FF2B5EF4-FFF2-40B4-BE49-F238E27FC236}">
                  <a16:creationId xmlns:a16="http://schemas.microsoft.com/office/drawing/2014/main" id="{00000000-0008-0000-2900-000014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309205" name="Check Box 21" hidden="1">
              <a:extLst>
                <a:ext uri="{63B3BB69-23CF-44E3-9099-C40C66FF867C}">
                  <a14:compatExt spid="_x0000_s25309205"/>
                </a:ext>
                <a:ext uri="{FF2B5EF4-FFF2-40B4-BE49-F238E27FC236}">
                  <a16:creationId xmlns:a16="http://schemas.microsoft.com/office/drawing/2014/main" id="{00000000-0008-0000-2900-000015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309206" name="Check Box 22" hidden="1">
              <a:extLst>
                <a:ext uri="{63B3BB69-23CF-44E3-9099-C40C66FF867C}">
                  <a14:compatExt spid="_x0000_s25309206"/>
                </a:ext>
                <a:ext uri="{FF2B5EF4-FFF2-40B4-BE49-F238E27FC236}">
                  <a16:creationId xmlns:a16="http://schemas.microsoft.com/office/drawing/2014/main" id="{00000000-0008-0000-2900-000016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309207" name="Check Box 23" hidden="1">
              <a:extLst>
                <a:ext uri="{63B3BB69-23CF-44E3-9099-C40C66FF867C}">
                  <a14:compatExt spid="_x0000_s25309207"/>
                </a:ext>
                <a:ext uri="{FF2B5EF4-FFF2-40B4-BE49-F238E27FC236}">
                  <a16:creationId xmlns:a16="http://schemas.microsoft.com/office/drawing/2014/main" id="{00000000-0008-0000-2900-000017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309208" name="Check Box 24" hidden="1">
              <a:extLst>
                <a:ext uri="{63B3BB69-23CF-44E3-9099-C40C66FF867C}">
                  <a14:compatExt spid="_x0000_s25309208"/>
                </a:ext>
                <a:ext uri="{FF2B5EF4-FFF2-40B4-BE49-F238E27FC236}">
                  <a16:creationId xmlns:a16="http://schemas.microsoft.com/office/drawing/2014/main" id="{00000000-0008-0000-2900-000018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309209" name="Check Box 25" hidden="1">
              <a:extLst>
                <a:ext uri="{63B3BB69-23CF-44E3-9099-C40C66FF867C}">
                  <a14:compatExt spid="_x0000_s25309209"/>
                </a:ext>
                <a:ext uri="{FF2B5EF4-FFF2-40B4-BE49-F238E27FC236}">
                  <a16:creationId xmlns:a16="http://schemas.microsoft.com/office/drawing/2014/main" id="{00000000-0008-0000-2900-000019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309210" name="Check Box 26" hidden="1">
              <a:extLst>
                <a:ext uri="{63B3BB69-23CF-44E3-9099-C40C66FF867C}">
                  <a14:compatExt spid="_x0000_s25309210"/>
                </a:ext>
                <a:ext uri="{FF2B5EF4-FFF2-40B4-BE49-F238E27FC236}">
                  <a16:creationId xmlns:a16="http://schemas.microsoft.com/office/drawing/2014/main" id="{00000000-0008-0000-2900-00001A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309211" name="Check Box 27" hidden="1">
              <a:extLst>
                <a:ext uri="{63B3BB69-23CF-44E3-9099-C40C66FF867C}">
                  <a14:compatExt spid="_x0000_s25309211"/>
                </a:ext>
                <a:ext uri="{FF2B5EF4-FFF2-40B4-BE49-F238E27FC236}">
                  <a16:creationId xmlns:a16="http://schemas.microsoft.com/office/drawing/2014/main" id="{00000000-0008-0000-2900-00001B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309212" name="Button 28" hidden="1">
              <a:extLst>
                <a:ext uri="{63B3BB69-23CF-44E3-9099-C40C66FF867C}">
                  <a14:compatExt spid="_x0000_s25309212"/>
                </a:ext>
                <a:ext uri="{FF2B5EF4-FFF2-40B4-BE49-F238E27FC236}">
                  <a16:creationId xmlns:a16="http://schemas.microsoft.com/office/drawing/2014/main" id="{00000000-0008-0000-2900-00001C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309213" name="Button 29" hidden="1">
              <a:extLst>
                <a:ext uri="{63B3BB69-23CF-44E3-9099-C40C66FF867C}">
                  <a14:compatExt spid="_x0000_s25309213"/>
                </a:ext>
                <a:ext uri="{FF2B5EF4-FFF2-40B4-BE49-F238E27FC236}">
                  <a16:creationId xmlns:a16="http://schemas.microsoft.com/office/drawing/2014/main" id="{00000000-0008-0000-2900-00001D30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309214" name="Check Box 30" hidden="1">
              <a:extLst>
                <a:ext uri="{63B3BB69-23CF-44E3-9099-C40C66FF867C}">
                  <a14:compatExt spid="_x0000_s25309214"/>
                </a:ext>
                <a:ext uri="{FF2B5EF4-FFF2-40B4-BE49-F238E27FC236}">
                  <a16:creationId xmlns:a16="http://schemas.microsoft.com/office/drawing/2014/main" id="{00000000-0008-0000-2900-00001E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309215" name="Check Box 31" hidden="1">
              <a:extLst>
                <a:ext uri="{63B3BB69-23CF-44E3-9099-C40C66FF867C}">
                  <a14:compatExt spid="_x0000_s25309215"/>
                </a:ext>
                <a:ext uri="{FF2B5EF4-FFF2-40B4-BE49-F238E27FC236}">
                  <a16:creationId xmlns:a16="http://schemas.microsoft.com/office/drawing/2014/main" id="{00000000-0008-0000-2900-00001F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309216" name="Check Box 32" hidden="1">
              <a:extLst>
                <a:ext uri="{63B3BB69-23CF-44E3-9099-C40C66FF867C}">
                  <a14:compatExt spid="_x0000_s25309216"/>
                </a:ext>
                <a:ext uri="{FF2B5EF4-FFF2-40B4-BE49-F238E27FC236}">
                  <a16:creationId xmlns:a16="http://schemas.microsoft.com/office/drawing/2014/main" id="{00000000-0008-0000-2900-000020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309217" name="Check Box 33" hidden="1">
              <a:extLst>
                <a:ext uri="{63B3BB69-23CF-44E3-9099-C40C66FF867C}">
                  <a14:compatExt spid="_x0000_s25309217"/>
                </a:ext>
                <a:ext uri="{FF2B5EF4-FFF2-40B4-BE49-F238E27FC236}">
                  <a16:creationId xmlns:a16="http://schemas.microsoft.com/office/drawing/2014/main" id="{00000000-0008-0000-2900-000021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309218" name="Check Box 34" hidden="1">
              <a:extLst>
                <a:ext uri="{63B3BB69-23CF-44E3-9099-C40C66FF867C}">
                  <a14:compatExt spid="_x0000_s25309218"/>
                </a:ext>
                <a:ext uri="{FF2B5EF4-FFF2-40B4-BE49-F238E27FC236}">
                  <a16:creationId xmlns:a16="http://schemas.microsoft.com/office/drawing/2014/main" id="{00000000-0008-0000-2900-000022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309219" name="Check Box 35" hidden="1">
              <a:extLst>
                <a:ext uri="{63B3BB69-23CF-44E3-9099-C40C66FF867C}">
                  <a14:compatExt spid="_x0000_s25309219"/>
                </a:ext>
                <a:ext uri="{FF2B5EF4-FFF2-40B4-BE49-F238E27FC236}">
                  <a16:creationId xmlns:a16="http://schemas.microsoft.com/office/drawing/2014/main" id="{00000000-0008-0000-2900-000023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309220" name="Check Box 36" hidden="1">
              <a:extLst>
                <a:ext uri="{63B3BB69-23CF-44E3-9099-C40C66FF867C}">
                  <a14:compatExt spid="_x0000_s25309220"/>
                </a:ext>
                <a:ext uri="{FF2B5EF4-FFF2-40B4-BE49-F238E27FC236}">
                  <a16:creationId xmlns:a16="http://schemas.microsoft.com/office/drawing/2014/main" id="{00000000-0008-0000-2900-000024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309221" name="Check Box 37" hidden="1">
              <a:extLst>
                <a:ext uri="{63B3BB69-23CF-44E3-9099-C40C66FF867C}">
                  <a14:compatExt spid="_x0000_s25309221"/>
                </a:ext>
                <a:ext uri="{FF2B5EF4-FFF2-40B4-BE49-F238E27FC236}">
                  <a16:creationId xmlns:a16="http://schemas.microsoft.com/office/drawing/2014/main" id="{00000000-0008-0000-2900-00002530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6919598-3B1C-41DD-BC40-FE44CB4C3C5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A97EDF0-F6CA-471A-AE8C-DD37C8F611C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a:p>
          <a:r>
            <a:rPr lang="en-AU" sz="1100"/>
            <a:t>Kyle at ACC is the builder</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308161" name="Check Box 1" hidden="1">
              <a:extLst>
                <a:ext uri="{63B3BB69-23CF-44E3-9099-C40C66FF867C}">
                  <a14:compatExt spid="_x0000_s25308161"/>
                </a:ext>
                <a:ext uri="{FF2B5EF4-FFF2-40B4-BE49-F238E27FC236}">
                  <a16:creationId xmlns:a16="http://schemas.microsoft.com/office/drawing/2014/main" id="{00000000-0008-0000-2A00-000001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308162" name="Check Box 2" hidden="1">
              <a:extLst>
                <a:ext uri="{63B3BB69-23CF-44E3-9099-C40C66FF867C}">
                  <a14:compatExt spid="_x0000_s25308162"/>
                </a:ext>
                <a:ext uri="{FF2B5EF4-FFF2-40B4-BE49-F238E27FC236}">
                  <a16:creationId xmlns:a16="http://schemas.microsoft.com/office/drawing/2014/main" id="{00000000-0008-0000-2A00-000002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308163" name="Check Box 3" hidden="1">
              <a:extLst>
                <a:ext uri="{63B3BB69-23CF-44E3-9099-C40C66FF867C}">
                  <a14:compatExt spid="_x0000_s25308163"/>
                </a:ext>
                <a:ext uri="{FF2B5EF4-FFF2-40B4-BE49-F238E27FC236}">
                  <a16:creationId xmlns:a16="http://schemas.microsoft.com/office/drawing/2014/main" id="{00000000-0008-0000-2A00-000003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308164" name="Check Box 4" hidden="1">
              <a:extLst>
                <a:ext uri="{63B3BB69-23CF-44E3-9099-C40C66FF867C}">
                  <a14:compatExt spid="_x0000_s25308164"/>
                </a:ext>
                <a:ext uri="{FF2B5EF4-FFF2-40B4-BE49-F238E27FC236}">
                  <a16:creationId xmlns:a16="http://schemas.microsoft.com/office/drawing/2014/main" id="{00000000-0008-0000-2A00-000004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308165" name="Check Box 5" hidden="1">
              <a:extLst>
                <a:ext uri="{63B3BB69-23CF-44E3-9099-C40C66FF867C}">
                  <a14:compatExt spid="_x0000_s25308165"/>
                </a:ext>
                <a:ext uri="{FF2B5EF4-FFF2-40B4-BE49-F238E27FC236}">
                  <a16:creationId xmlns:a16="http://schemas.microsoft.com/office/drawing/2014/main" id="{00000000-0008-0000-2A00-000005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308166" name="Check Box 6" hidden="1">
              <a:extLst>
                <a:ext uri="{63B3BB69-23CF-44E3-9099-C40C66FF867C}">
                  <a14:compatExt spid="_x0000_s25308166"/>
                </a:ext>
                <a:ext uri="{FF2B5EF4-FFF2-40B4-BE49-F238E27FC236}">
                  <a16:creationId xmlns:a16="http://schemas.microsoft.com/office/drawing/2014/main" id="{00000000-0008-0000-2A00-000006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308167" name="Check Box 7" hidden="1">
              <a:extLst>
                <a:ext uri="{63B3BB69-23CF-44E3-9099-C40C66FF867C}">
                  <a14:compatExt spid="_x0000_s25308167"/>
                </a:ext>
                <a:ext uri="{FF2B5EF4-FFF2-40B4-BE49-F238E27FC236}">
                  <a16:creationId xmlns:a16="http://schemas.microsoft.com/office/drawing/2014/main" id="{00000000-0008-0000-2A00-000007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308168" name="Button 8" hidden="1">
              <a:extLst>
                <a:ext uri="{63B3BB69-23CF-44E3-9099-C40C66FF867C}">
                  <a14:compatExt spid="_x0000_s25308168"/>
                </a:ext>
                <a:ext uri="{FF2B5EF4-FFF2-40B4-BE49-F238E27FC236}">
                  <a16:creationId xmlns:a16="http://schemas.microsoft.com/office/drawing/2014/main" id="{00000000-0008-0000-2A00-0000082C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308169" name="Button 9" hidden="1">
              <a:extLst>
                <a:ext uri="{63B3BB69-23CF-44E3-9099-C40C66FF867C}">
                  <a14:compatExt spid="_x0000_s25308169"/>
                </a:ext>
                <a:ext uri="{FF2B5EF4-FFF2-40B4-BE49-F238E27FC236}">
                  <a16:creationId xmlns:a16="http://schemas.microsoft.com/office/drawing/2014/main" id="{00000000-0008-0000-2A00-0000092C82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308170" name="Check Box 10" hidden="1">
              <a:extLst>
                <a:ext uri="{63B3BB69-23CF-44E3-9099-C40C66FF867C}">
                  <a14:compatExt spid="_x0000_s25308170"/>
                </a:ext>
                <a:ext uri="{FF2B5EF4-FFF2-40B4-BE49-F238E27FC236}">
                  <a16:creationId xmlns:a16="http://schemas.microsoft.com/office/drawing/2014/main" id="{00000000-0008-0000-2A00-00000A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308171" name="Button 11" hidden="1">
              <a:extLst>
                <a:ext uri="{63B3BB69-23CF-44E3-9099-C40C66FF867C}">
                  <a14:compatExt spid="_x0000_s25308171"/>
                </a:ext>
                <a:ext uri="{FF2B5EF4-FFF2-40B4-BE49-F238E27FC236}">
                  <a16:creationId xmlns:a16="http://schemas.microsoft.com/office/drawing/2014/main" id="{00000000-0008-0000-2A00-00000B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308172" name="Button 12" hidden="1">
              <a:extLst>
                <a:ext uri="{63B3BB69-23CF-44E3-9099-C40C66FF867C}">
                  <a14:compatExt spid="_x0000_s25308172"/>
                </a:ext>
                <a:ext uri="{FF2B5EF4-FFF2-40B4-BE49-F238E27FC236}">
                  <a16:creationId xmlns:a16="http://schemas.microsoft.com/office/drawing/2014/main" id="{00000000-0008-0000-2A00-00000C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308173" name="Button 13" hidden="1">
              <a:extLst>
                <a:ext uri="{63B3BB69-23CF-44E3-9099-C40C66FF867C}">
                  <a14:compatExt spid="_x0000_s25308173"/>
                </a:ext>
                <a:ext uri="{FF2B5EF4-FFF2-40B4-BE49-F238E27FC236}">
                  <a16:creationId xmlns:a16="http://schemas.microsoft.com/office/drawing/2014/main" id="{00000000-0008-0000-2A00-00000D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308174" name="Button 14" hidden="1">
              <a:extLst>
                <a:ext uri="{63B3BB69-23CF-44E3-9099-C40C66FF867C}">
                  <a14:compatExt spid="_x0000_s25308174"/>
                </a:ext>
                <a:ext uri="{FF2B5EF4-FFF2-40B4-BE49-F238E27FC236}">
                  <a16:creationId xmlns:a16="http://schemas.microsoft.com/office/drawing/2014/main" id="{00000000-0008-0000-2A00-00000E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308175" name="Check Box 15" hidden="1">
              <a:extLst>
                <a:ext uri="{63B3BB69-23CF-44E3-9099-C40C66FF867C}">
                  <a14:compatExt spid="_x0000_s25308175"/>
                </a:ext>
                <a:ext uri="{FF2B5EF4-FFF2-40B4-BE49-F238E27FC236}">
                  <a16:creationId xmlns:a16="http://schemas.microsoft.com/office/drawing/2014/main" id="{00000000-0008-0000-2A00-00000F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308176" name="Check Box 16" hidden="1">
              <a:extLst>
                <a:ext uri="{63B3BB69-23CF-44E3-9099-C40C66FF867C}">
                  <a14:compatExt spid="_x0000_s25308176"/>
                </a:ext>
                <a:ext uri="{FF2B5EF4-FFF2-40B4-BE49-F238E27FC236}">
                  <a16:creationId xmlns:a16="http://schemas.microsoft.com/office/drawing/2014/main" id="{00000000-0008-0000-2A00-000010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308177" name="Check Box 17" hidden="1">
              <a:extLst>
                <a:ext uri="{63B3BB69-23CF-44E3-9099-C40C66FF867C}">
                  <a14:compatExt spid="_x0000_s25308177"/>
                </a:ext>
                <a:ext uri="{FF2B5EF4-FFF2-40B4-BE49-F238E27FC236}">
                  <a16:creationId xmlns:a16="http://schemas.microsoft.com/office/drawing/2014/main" id="{00000000-0008-0000-2A00-000011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308178" name="Check Box 18" hidden="1">
              <a:extLst>
                <a:ext uri="{63B3BB69-23CF-44E3-9099-C40C66FF867C}">
                  <a14:compatExt spid="_x0000_s25308178"/>
                </a:ext>
                <a:ext uri="{FF2B5EF4-FFF2-40B4-BE49-F238E27FC236}">
                  <a16:creationId xmlns:a16="http://schemas.microsoft.com/office/drawing/2014/main" id="{00000000-0008-0000-2A00-000012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308179" name="Check Box 19" hidden="1">
              <a:extLst>
                <a:ext uri="{63B3BB69-23CF-44E3-9099-C40C66FF867C}">
                  <a14:compatExt spid="_x0000_s25308179"/>
                </a:ext>
                <a:ext uri="{FF2B5EF4-FFF2-40B4-BE49-F238E27FC236}">
                  <a16:creationId xmlns:a16="http://schemas.microsoft.com/office/drawing/2014/main" id="{00000000-0008-0000-2A00-000013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308180" name="Check Box 20" hidden="1">
              <a:extLst>
                <a:ext uri="{63B3BB69-23CF-44E3-9099-C40C66FF867C}">
                  <a14:compatExt spid="_x0000_s25308180"/>
                </a:ext>
                <a:ext uri="{FF2B5EF4-FFF2-40B4-BE49-F238E27FC236}">
                  <a16:creationId xmlns:a16="http://schemas.microsoft.com/office/drawing/2014/main" id="{00000000-0008-0000-2A00-000014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308181" name="Check Box 21" hidden="1">
              <a:extLst>
                <a:ext uri="{63B3BB69-23CF-44E3-9099-C40C66FF867C}">
                  <a14:compatExt spid="_x0000_s25308181"/>
                </a:ext>
                <a:ext uri="{FF2B5EF4-FFF2-40B4-BE49-F238E27FC236}">
                  <a16:creationId xmlns:a16="http://schemas.microsoft.com/office/drawing/2014/main" id="{00000000-0008-0000-2A00-000015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308182" name="Check Box 22" hidden="1">
              <a:extLst>
                <a:ext uri="{63B3BB69-23CF-44E3-9099-C40C66FF867C}">
                  <a14:compatExt spid="_x0000_s25308182"/>
                </a:ext>
                <a:ext uri="{FF2B5EF4-FFF2-40B4-BE49-F238E27FC236}">
                  <a16:creationId xmlns:a16="http://schemas.microsoft.com/office/drawing/2014/main" id="{00000000-0008-0000-2A00-000016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308183" name="Check Box 23" hidden="1">
              <a:extLst>
                <a:ext uri="{63B3BB69-23CF-44E3-9099-C40C66FF867C}">
                  <a14:compatExt spid="_x0000_s25308183"/>
                </a:ext>
                <a:ext uri="{FF2B5EF4-FFF2-40B4-BE49-F238E27FC236}">
                  <a16:creationId xmlns:a16="http://schemas.microsoft.com/office/drawing/2014/main" id="{00000000-0008-0000-2A00-000017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308184" name="Check Box 24" hidden="1">
              <a:extLst>
                <a:ext uri="{63B3BB69-23CF-44E3-9099-C40C66FF867C}">
                  <a14:compatExt spid="_x0000_s25308184"/>
                </a:ext>
                <a:ext uri="{FF2B5EF4-FFF2-40B4-BE49-F238E27FC236}">
                  <a16:creationId xmlns:a16="http://schemas.microsoft.com/office/drawing/2014/main" id="{00000000-0008-0000-2A00-000018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308185" name="Check Box 25" hidden="1">
              <a:extLst>
                <a:ext uri="{63B3BB69-23CF-44E3-9099-C40C66FF867C}">
                  <a14:compatExt spid="_x0000_s25308185"/>
                </a:ext>
                <a:ext uri="{FF2B5EF4-FFF2-40B4-BE49-F238E27FC236}">
                  <a16:creationId xmlns:a16="http://schemas.microsoft.com/office/drawing/2014/main" id="{00000000-0008-0000-2A00-000019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308186" name="Check Box 26" hidden="1">
              <a:extLst>
                <a:ext uri="{63B3BB69-23CF-44E3-9099-C40C66FF867C}">
                  <a14:compatExt spid="_x0000_s25308186"/>
                </a:ext>
                <a:ext uri="{FF2B5EF4-FFF2-40B4-BE49-F238E27FC236}">
                  <a16:creationId xmlns:a16="http://schemas.microsoft.com/office/drawing/2014/main" id="{00000000-0008-0000-2A00-00001A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308187" name="Check Box 27" hidden="1">
              <a:extLst>
                <a:ext uri="{63B3BB69-23CF-44E3-9099-C40C66FF867C}">
                  <a14:compatExt spid="_x0000_s25308187"/>
                </a:ext>
                <a:ext uri="{FF2B5EF4-FFF2-40B4-BE49-F238E27FC236}">
                  <a16:creationId xmlns:a16="http://schemas.microsoft.com/office/drawing/2014/main" id="{00000000-0008-0000-2A00-00001B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308188" name="Button 28" hidden="1">
              <a:extLst>
                <a:ext uri="{63B3BB69-23CF-44E3-9099-C40C66FF867C}">
                  <a14:compatExt spid="_x0000_s25308188"/>
                </a:ext>
                <a:ext uri="{FF2B5EF4-FFF2-40B4-BE49-F238E27FC236}">
                  <a16:creationId xmlns:a16="http://schemas.microsoft.com/office/drawing/2014/main" id="{00000000-0008-0000-2A00-00001C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308189" name="Button 29" hidden="1">
              <a:extLst>
                <a:ext uri="{63B3BB69-23CF-44E3-9099-C40C66FF867C}">
                  <a14:compatExt spid="_x0000_s25308189"/>
                </a:ext>
                <a:ext uri="{FF2B5EF4-FFF2-40B4-BE49-F238E27FC236}">
                  <a16:creationId xmlns:a16="http://schemas.microsoft.com/office/drawing/2014/main" id="{00000000-0008-0000-2A00-00001D2C8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308190" name="Check Box 30" hidden="1">
              <a:extLst>
                <a:ext uri="{63B3BB69-23CF-44E3-9099-C40C66FF867C}">
                  <a14:compatExt spid="_x0000_s25308190"/>
                </a:ext>
                <a:ext uri="{FF2B5EF4-FFF2-40B4-BE49-F238E27FC236}">
                  <a16:creationId xmlns:a16="http://schemas.microsoft.com/office/drawing/2014/main" id="{00000000-0008-0000-2A00-00001E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308191" name="Check Box 31" hidden="1">
              <a:extLst>
                <a:ext uri="{63B3BB69-23CF-44E3-9099-C40C66FF867C}">
                  <a14:compatExt spid="_x0000_s25308191"/>
                </a:ext>
                <a:ext uri="{FF2B5EF4-FFF2-40B4-BE49-F238E27FC236}">
                  <a16:creationId xmlns:a16="http://schemas.microsoft.com/office/drawing/2014/main" id="{00000000-0008-0000-2A00-00001F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308192" name="Check Box 32" hidden="1">
              <a:extLst>
                <a:ext uri="{63B3BB69-23CF-44E3-9099-C40C66FF867C}">
                  <a14:compatExt spid="_x0000_s25308192"/>
                </a:ext>
                <a:ext uri="{FF2B5EF4-FFF2-40B4-BE49-F238E27FC236}">
                  <a16:creationId xmlns:a16="http://schemas.microsoft.com/office/drawing/2014/main" id="{00000000-0008-0000-2A00-000020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308193" name="Check Box 33" hidden="1">
              <a:extLst>
                <a:ext uri="{63B3BB69-23CF-44E3-9099-C40C66FF867C}">
                  <a14:compatExt spid="_x0000_s25308193"/>
                </a:ext>
                <a:ext uri="{FF2B5EF4-FFF2-40B4-BE49-F238E27FC236}">
                  <a16:creationId xmlns:a16="http://schemas.microsoft.com/office/drawing/2014/main" id="{00000000-0008-0000-2A00-000021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308194" name="Check Box 34" hidden="1">
              <a:extLst>
                <a:ext uri="{63B3BB69-23CF-44E3-9099-C40C66FF867C}">
                  <a14:compatExt spid="_x0000_s25308194"/>
                </a:ext>
                <a:ext uri="{FF2B5EF4-FFF2-40B4-BE49-F238E27FC236}">
                  <a16:creationId xmlns:a16="http://schemas.microsoft.com/office/drawing/2014/main" id="{00000000-0008-0000-2A00-000022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308195" name="Check Box 35" hidden="1">
              <a:extLst>
                <a:ext uri="{63B3BB69-23CF-44E3-9099-C40C66FF867C}">
                  <a14:compatExt spid="_x0000_s25308195"/>
                </a:ext>
                <a:ext uri="{FF2B5EF4-FFF2-40B4-BE49-F238E27FC236}">
                  <a16:creationId xmlns:a16="http://schemas.microsoft.com/office/drawing/2014/main" id="{00000000-0008-0000-2A00-000023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308196" name="Check Box 36" hidden="1">
              <a:extLst>
                <a:ext uri="{63B3BB69-23CF-44E3-9099-C40C66FF867C}">
                  <a14:compatExt spid="_x0000_s25308196"/>
                </a:ext>
                <a:ext uri="{FF2B5EF4-FFF2-40B4-BE49-F238E27FC236}">
                  <a16:creationId xmlns:a16="http://schemas.microsoft.com/office/drawing/2014/main" id="{00000000-0008-0000-2A00-000024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308197" name="Check Box 37" hidden="1">
              <a:extLst>
                <a:ext uri="{63B3BB69-23CF-44E3-9099-C40C66FF867C}">
                  <a14:compatExt spid="_x0000_s25308197"/>
                </a:ext>
                <a:ext uri="{FF2B5EF4-FFF2-40B4-BE49-F238E27FC236}">
                  <a16:creationId xmlns:a16="http://schemas.microsoft.com/office/drawing/2014/main" id="{00000000-0008-0000-2A00-0000252C8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C83902CF-33D9-4FCE-95A5-2D23513799B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9075A57-C60F-4E85-919D-C985F65E878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202689" name="Check Box 1" hidden="1">
              <a:extLst>
                <a:ext uri="{63B3BB69-23CF-44E3-9099-C40C66FF867C}">
                  <a14:compatExt spid="_x0000_s25202689"/>
                </a:ext>
                <a:ext uri="{FF2B5EF4-FFF2-40B4-BE49-F238E27FC236}">
                  <a16:creationId xmlns:a16="http://schemas.microsoft.com/office/drawing/2014/main" id="{00000000-0008-0000-2B00-000001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202690" name="Check Box 2" hidden="1">
              <a:extLst>
                <a:ext uri="{63B3BB69-23CF-44E3-9099-C40C66FF867C}">
                  <a14:compatExt spid="_x0000_s25202690"/>
                </a:ext>
                <a:ext uri="{FF2B5EF4-FFF2-40B4-BE49-F238E27FC236}">
                  <a16:creationId xmlns:a16="http://schemas.microsoft.com/office/drawing/2014/main" id="{00000000-0008-0000-2B00-000002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202691" name="Check Box 3" hidden="1">
              <a:extLst>
                <a:ext uri="{63B3BB69-23CF-44E3-9099-C40C66FF867C}">
                  <a14:compatExt spid="_x0000_s25202691"/>
                </a:ext>
                <a:ext uri="{FF2B5EF4-FFF2-40B4-BE49-F238E27FC236}">
                  <a16:creationId xmlns:a16="http://schemas.microsoft.com/office/drawing/2014/main" id="{00000000-0008-0000-2B00-000003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202692" name="Check Box 4" hidden="1">
              <a:extLst>
                <a:ext uri="{63B3BB69-23CF-44E3-9099-C40C66FF867C}">
                  <a14:compatExt spid="_x0000_s25202692"/>
                </a:ext>
                <a:ext uri="{FF2B5EF4-FFF2-40B4-BE49-F238E27FC236}">
                  <a16:creationId xmlns:a16="http://schemas.microsoft.com/office/drawing/2014/main" id="{00000000-0008-0000-2B00-000004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202693" name="Check Box 5" hidden="1">
              <a:extLst>
                <a:ext uri="{63B3BB69-23CF-44E3-9099-C40C66FF867C}">
                  <a14:compatExt spid="_x0000_s25202693"/>
                </a:ext>
                <a:ext uri="{FF2B5EF4-FFF2-40B4-BE49-F238E27FC236}">
                  <a16:creationId xmlns:a16="http://schemas.microsoft.com/office/drawing/2014/main" id="{00000000-0008-0000-2B00-000005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202694" name="Check Box 6" hidden="1">
              <a:extLst>
                <a:ext uri="{63B3BB69-23CF-44E3-9099-C40C66FF867C}">
                  <a14:compatExt spid="_x0000_s25202694"/>
                </a:ext>
                <a:ext uri="{FF2B5EF4-FFF2-40B4-BE49-F238E27FC236}">
                  <a16:creationId xmlns:a16="http://schemas.microsoft.com/office/drawing/2014/main" id="{00000000-0008-0000-2B00-000006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202695" name="Check Box 7" hidden="1">
              <a:extLst>
                <a:ext uri="{63B3BB69-23CF-44E3-9099-C40C66FF867C}">
                  <a14:compatExt spid="_x0000_s25202695"/>
                </a:ext>
                <a:ext uri="{FF2B5EF4-FFF2-40B4-BE49-F238E27FC236}">
                  <a16:creationId xmlns:a16="http://schemas.microsoft.com/office/drawing/2014/main" id="{00000000-0008-0000-2B00-000007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202696" name="Button 8" hidden="1">
              <a:extLst>
                <a:ext uri="{63B3BB69-23CF-44E3-9099-C40C66FF867C}">
                  <a14:compatExt spid="_x0000_s25202696"/>
                </a:ext>
                <a:ext uri="{FF2B5EF4-FFF2-40B4-BE49-F238E27FC236}">
                  <a16:creationId xmlns:a16="http://schemas.microsoft.com/office/drawing/2014/main" id="{00000000-0008-0000-2B00-00000890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202697" name="Button 9" hidden="1">
              <a:extLst>
                <a:ext uri="{63B3BB69-23CF-44E3-9099-C40C66FF867C}">
                  <a14:compatExt spid="_x0000_s25202697"/>
                </a:ext>
                <a:ext uri="{FF2B5EF4-FFF2-40B4-BE49-F238E27FC236}">
                  <a16:creationId xmlns:a16="http://schemas.microsoft.com/office/drawing/2014/main" id="{00000000-0008-0000-2B00-000009908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202698" name="Check Box 10" hidden="1">
              <a:extLst>
                <a:ext uri="{63B3BB69-23CF-44E3-9099-C40C66FF867C}">
                  <a14:compatExt spid="_x0000_s25202698"/>
                </a:ext>
                <a:ext uri="{FF2B5EF4-FFF2-40B4-BE49-F238E27FC236}">
                  <a16:creationId xmlns:a16="http://schemas.microsoft.com/office/drawing/2014/main" id="{00000000-0008-0000-2B00-00000A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202699" name="Button 11" hidden="1">
              <a:extLst>
                <a:ext uri="{63B3BB69-23CF-44E3-9099-C40C66FF867C}">
                  <a14:compatExt spid="_x0000_s25202699"/>
                </a:ext>
                <a:ext uri="{FF2B5EF4-FFF2-40B4-BE49-F238E27FC236}">
                  <a16:creationId xmlns:a16="http://schemas.microsoft.com/office/drawing/2014/main" id="{00000000-0008-0000-2B00-00000B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202700" name="Button 12" hidden="1">
              <a:extLst>
                <a:ext uri="{63B3BB69-23CF-44E3-9099-C40C66FF867C}">
                  <a14:compatExt spid="_x0000_s25202700"/>
                </a:ext>
                <a:ext uri="{FF2B5EF4-FFF2-40B4-BE49-F238E27FC236}">
                  <a16:creationId xmlns:a16="http://schemas.microsoft.com/office/drawing/2014/main" id="{00000000-0008-0000-2B00-00000C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202701" name="Button 13" hidden="1">
              <a:extLst>
                <a:ext uri="{63B3BB69-23CF-44E3-9099-C40C66FF867C}">
                  <a14:compatExt spid="_x0000_s25202701"/>
                </a:ext>
                <a:ext uri="{FF2B5EF4-FFF2-40B4-BE49-F238E27FC236}">
                  <a16:creationId xmlns:a16="http://schemas.microsoft.com/office/drawing/2014/main" id="{00000000-0008-0000-2B00-00000D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202702" name="Button 14" hidden="1">
              <a:extLst>
                <a:ext uri="{63B3BB69-23CF-44E3-9099-C40C66FF867C}">
                  <a14:compatExt spid="_x0000_s25202702"/>
                </a:ext>
                <a:ext uri="{FF2B5EF4-FFF2-40B4-BE49-F238E27FC236}">
                  <a16:creationId xmlns:a16="http://schemas.microsoft.com/office/drawing/2014/main" id="{00000000-0008-0000-2B00-00000E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202703" name="Check Box 15" hidden="1">
              <a:extLst>
                <a:ext uri="{63B3BB69-23CF-44E3-9099-C40C66FF867C}">
                  <a14:compatExt spid="_x0000_s25202703"/>
                </a:ext>
                <a:ext uri="{FF2B5EF4-FFF2-40B4-BE49-F238E27FC236}">
                  <a16:creationId xmlns:a16="http://schemas.microsoft.com/office/drawing/2014/main" id="{00000000-0008-0000-2B00-00000F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202704" name="Check Box 16" hidden="1">
              <a:extLst>
                <a:ext uri="{63B3BB69-23CF-44E3-9099-C40C66FF867C}">
                  <a14:compatExt spid="_x0000_s25202704"/>
                </a:ext>
                <a:ext uri="{FF2B5EF4-FFF2-40B4-BE49-F238E27FC236}">
                  <a16:creationId xmlns:a16="http://schemas.microsoft.com/office/drawing/2014/main" id="{00000000-0008-0000-2B00-000010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202705" name="Check Box 17" hidden="1">
              <a:extLst>
                <a:ext uri="{63B3BB69-23CF-44E3-9099-C40C66FF867C}">
                  <a14:compatExt spid="_x0000_s25202705"/>
                </a:ext>
                <a:ext uri="{FF2B5EF4-FFF2-40B4-BE49-F238E27FC236}">
                  <a16:creationId xmlns:a16="http://schemas.microsoft.com/office/drawing/2014/main" id="{00000000-0008-0000-2B00-000011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202706" name="Check Box 18" hidden="1">
              <a:extLst>
                <a:ext uri="{63B3BB69-23CF-44E3-9099-C40C66FF867C}">
                  <a14:compatExt spid="_x0000_s25202706"/>
                </a:ext>
                <a:ext uri="{FF2B5EF4-FFF2-40B4-BE49-F238E27FC236}">
                  <a16:creationId xmlns:a16="http://schemas.microsoft.com/office/drawing/2014/main" id="{00000000-0008-0000-2B00-000012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202707" name="Check Box 19" hidden="1">
              <a:extLst>
                <a:ext uri="{63B3BB69-23CF-44E3-9099-C40C66FF867C}">
                  <a14:compatExt spid="_x0000_s25202707"/>
                </a:ext>
                <a:ext uri="{FF2B5EF4-FFF2-40B4-BE49-F238E27FC236}">
                  <a16:creationId xmlns:a16="http://schemas.microsoft.com/office/drawing/2014/main" id="{00000000-0008-0000-2B00-000013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202708" name="Check Box 20" hidden="1">
              <a:extLst>
                <a:ext uri="{63B3BB69-23CF-44E3-9099-C40C66FF867C}">
                  <a14:compatExt spid="_x0000_s25202708"/>
                </a:ext>
                <a:ext uri="{FF2B5EF4-FFF2-40B4-BE49-F238E27FC236}">
                  <a16:creationId xmlns:a16="http://schemas.microsoft.com/office/drawing/2014/main" id="{00000000-0008-0000-2B00-000014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202709" name="Check Box 21" hidden="1">
              <a:extLst>
                <a:ext uri="{63B3BB69-23CF-44E3-9099-C40C66FF867C}">
                  <a14:compatExt spid="_x0000_s25202709"/>
                </a:ext>
                <a:ext uri="{FF2B5EF4-FFF2-40B4-BE49-F238E27FC236}">
                  <a16:creationId xmlns:a16="http://schemas.microsoft.com/office/drawing/2014/main" id="{00000000-0008-0000-2B00-000015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202710" name="Check Box 22" hidden="1">
              <a:extLst>
                <a:ext uri="{63B3BB69-23CF-44E3-9099-C40C66FF867C}">
                  <a14:compatExt spid="_x0000_s25202710"/>
                </a:ext>
                <a:ext uri="{FF2B5EF4-FFF2-40B4-BE49-F238E27FC236}">
                  <a16:creationId xmlns:a16="http://schemas.microsoft.com/office/drawing/2014/main" id="{00000000-0008-0000-2B00-000016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202711" name="Check Box 23" hidden="1">
              <a:extLst>
                <a:ext uri="{63B3BB69-23CF-44E3-9099-C40C66FF867C}">
                  <a14:compatExt spid="_x0000_s25202711"/>
                </a:ext>
                <a:ext uri="{FF2B5EF4-FFF2-40B4-BE49-F238E27FC236}">
                  <a16:creationId xmlns:a16="http://schemas.microsoft.com/office/drawing/2014/main" id="{00000000-0008-0000-2B00-000017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202712" name="Check Box 24" hidden="1">
              <a:extLst>
                <a:ext uri="{63B3BB69-23CF-44E3-9099-C40C66FF867C}">
                  <a14:compatExt spid="_x0000_s25202712"/>
                </a:ext>
                <a:ext uri="{FF2B5EF4-FFF2-40B4-BE49-F238E27FC236}">
                  <a16:creationId xmlns:a16="http://schemas.microsoft.com/office/drawing/2014/main" id="{00000000-0008-0000-2B00-000018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202713" name="Check Box 25" hidden="1">
              <a:extLst>
                <a:ext uri="{63B3BB69-23CF-44E3-9099-C40C66FF867C}">
                  <a14:compatExt spid="_x0000_s25202713"/>
                </a:ext>
                <a:ext uri="{FF2B5EF4-FFF2-40B4-BE49-F238E27FC236}">
                  <a16:creationId xmlns:a16="http://schemas.microsoft.com/office/drawing/2014/main" id="{00000000-0008-0000-2B00-000019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202714" name="Check Box 26" hidden="1">
              <a:extLst>
                <a:ext uri="{63B3BB69-23CF-44E3-9099-C40C66FF867C}">
                  <a14:compatExt spid="_x0000_s25202714"/>
                </a:ext>
                <a:ext uri="{FF2B5EF4-FFF2-40B4-BE49-F238E27FC236}">
                  <a16:creationId xmlns:a16="http://schemas.microsoft.com/office/drawing/2014/main" id="{00000000-0008-0000-2B00-00001A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202715" name="Check Box 27" hidden="1">
              <a:extLst>
                <a:ext uri="{63B3BB69-23CF-44E3-9099-C40C66FF867C}">
                  <a14:compatExt spid="_x0000_s25202715"/>
                </a:ext>
                <a:ext uri="{FF2B5EF4-FFF2-40B4-BE49-F238E27FC236}">
                  <a16:creationId xmlns:a16="http://schemas.microsoft.com/office/drawing/2014/main" id="{00000000-0008-0000-2B00-00001B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202716" name="Button 28" hidden="1">
              <a:extLst>
                <a:ext uri="{63B3BB69-23CF-44E3-9099-C40C66FF867C}">
                  <a14:compatExt spid="_x0000_s25202716"/>
                </a:ext>
                <a:ext uri="{FF2B5EF4-FFF2-40B4-BE49-F238E27FC236}">
                  <a16:creationId xmlns:a16="http://schemas.microsoft.com/office/drawing/2014/main" id="{00000000-0008-0000-2B00-00001C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202717" name="Button 29" hidden="1">
              <a:extLst>
                <a:ext uri="{63B3BB69-23CF-44E3-9099-C40C66FF867C}">
                  <a14:compatExt spid="_x0000_s25202717"/>
                </a:ext>
                <a:ext uri="{FF2B5EF4-FFF2-40B4-BE49-F238E27FC236}">
                  <a16:creationId xmlns:a16="http://schemas.microsoft.com/office/drawing/2014/main" id="{00000000-0008-0000-2B00-00001D908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202718" name="Check Box 30" hidden="1">
              <a:extLst>
                <a:ext uri="{63B3BB69-23CF-44E3-9099-C40C66FF867C}">
                  <a14:compatExt spid="_x0000_s25202718"/>
                </a:ext>
                <a:ext uri="{FF2B5EF4-FFF2-40B4-BE49-F238E27FC236}">
                  <a16:creationId xmlns:a16="http://schemas.microsoft.com/office/drawing/2014/main" id="{00000000-0008-0000-2B00-00001E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202719" name="Check Box 31" hidden="1">
              <a:extLst>
                <a:ext uri="{63B3BB69-23CF-44E3-9099-C40C66FF867C}">
                  <a14:compatExt spid="_x0000_s25202719"/>
                </a:ext>
                <a:ext uri="{FF2B5EF4-FFF2-40B4-BE49-F238E27FC236}">
                  <a16:creationId xmlns:a16="http://schemas.microsoft.com/office/drawing/2014/main" id="{00000000-0008-0000-2B00-00001F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202720" name="Check Box 32" hidden="1">
              <a:extLst>
                <a:ext uri="{63B3BB69-23CF-44E3-9099-C40C66FF867C}">
                  <a14:compatExt spid="_x0000_s25202720"/>
                </a:ext>
                <a:ext uri="{FF2B5EF4-FFF2-40B4-BE49-F238E27FC236}">
                  <a16:creationId xmlns:a16="http://schemas.microsoft.com/office/drawing/2014/main" id="{00000000-0008-0000-2B00-000020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202721" name="Check Box 33" hidden="1">
              <a:extLst>
                <a:ext uri="{63B3BB69-23CF-44E3-9099-C40C66FF867C}">
                  <a14:compatExt spid="_x0000_s25202721"/>
                </a:ext>
                <a:ext uri="{FF2B5EF4-FFF2-40B4-BE49-F238E27FC236}">
                  <a16:creationId xmlns:a16="http://schemas.microsoft.com/office/drawing/2014/main" id="{00000000-0008-0000-2B00-000021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202722" name="Check Box 34" hidden="1">
              <a:extLst>
                <a:ext uri="{63B3BB69-23CF-44E3-9099-C40C66FF867C}">
                  <a14:compatExt spid="_x0000_s25202722"/>
                </a:ext>
                <a:ext uri="{FF2B5EF4-FFF2-40B4-BE49-F238E27FC236}">
                  <a16:creationId xmlns:a16="http://schemas.microsoft.com/office/drawing/2014/main" id="{00000000-0008-0000-2B00-000022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202723" name="Check Box 35" hidden="1">
              <a:extLst>
                <a:ext uri="{63B3BB69-23CF-44E3-9099-C40C66FF867C}">
                  <a14:compatExt spid="_x0000_s25202723"/>
                </a:ext>
                <a:ext uri="{FF2B5EF4-FFF2-40B4-BE49-F238E27FC236}">
                  <a16:creationId xmlns:a16="http://schemas.microsoft.com/office/drawing/2014/main" id="{00000000-0008-0000-2B00-000023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202724" name="Check Box 36" hidden="1">
              <a:extLst>
                <a:ext uri="{63B3BB69-23CF-44E3-9099-C40C66FF867C}">
                  <a14:compatExt spid="_x0000_s25202724"/>
                </a:ext>
                <a:ext uri="{FF2B5EF4-FFF2-40B4-BE49-F238E27FC236}">
                  <a16:creationId xmlns:a16="http://schemas.microsoft.com/office/drawing/2014/main" id="{00000000-0008-0000-2B00-000024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202725" name="Check Box 37" hidden="1">
              <a:extLst>
                <a:ext uri="{63B3BB69-23CF-44E3-9099-C40C66FF867C}">
                  <a14:compatExt spid="_x0000_s25202725"/>
                </a:ext>
                <a:ext uri="{FF2B5EF4-FFF2-40B4-BE49-F238E27FC236}">
                  <a16:creationId xmlns:a16="http://schemas.microsoft.com/office/drawing/2014/main" id="{00000000-0008-0000-2B00-000025908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D727FA1-62FC-4CC8-A7ED-8A4F5511612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4C3C206-A62C-4389-AF95-E4E0DED4E06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5094145" name="Check Box 1" hidden="1">
              <a:extLst>
                <a:ext uri="{63B3BB69-23CF-44E3-9099-C40C66FF867C}">
                  <a14:compatExt spid="_x0000_s25094145"/>
                </a:ext>
                <a:ext uri="{FF2B5EF4-FFF2-40B4-BE49-F238E27FC236}">
                  <a16:creationId xmlns:a16="http://schemas.microsoft.com/office/drawing/2014/main" id="{00000000-0008-0000-2C00-000001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5094146" name="Check Box 2" hidden="1">
              <a:extLst>
                <a:ext uri="{63B3BB69-23CF-44E3-9099-C40C66FF867C}">
                  <a14:compatExt spid="_x0000_s25094146"/>
                </a:ext>
                <a:ext uri="{FF2B5EF4-FFF2-40B4-BE49-F238E27FC236}">
                  <a16:creationId xmlns:a16="http://schemas.microsoft.com/office/drawing/2014/main" id="{00000000-0008-0000-2C00-000002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5094147" name="Check Box 3" hidden="1">
              <a:extLst>
                <a:ext uri="{63B3BB69-23CF-44E3-9099-C40C66FF867C}">
                  <a14:compatExt spid="_x0000_s25094147"/>
                </a:ext>
                <a:ext uri="{FF2B5EF4-FFF2-40B4-BE49-F238E27FC236}">
                  <a16:creationId xmlns:a16="http://schemas.microsoft.com/office/drawing/2014/main" id="{00000000-0008-0000-2C00-000003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5094148" name="Check Box 4" hidden="1">
              <a:extLst>
                <a:ext uri="{63B3BB69-23CF-44E3-9099-C40C66FF867C}">
                  <a14:compatExt spid="_x0000_s25094148"/>
                </a:ext>
                <a:ext uri="{FF2B5EF4-FFF2-40B4-BE49-F238E27FC236}">
                  <a16:creationId xmlns:a16="http://schemas.microsoft.com/office/drawing/2014/main" id="{00000000-0008-0000-2C00-000004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5094149" name="Check Box 5" hidden="1">
              <a:extLst>
                <a:ext uri="{63B3BB69-23CF-44E3-9099-C40C66FF867C}">
                  <a14:compatExt spid="_x0000_s25094149"/>
                </a:ext>
                <a:ext uri="{FF2B5EF4-FFF2-40B4-BE49-F238E27FC236}">
                  <a16:creationId xmlns:a16="http://schemas.microsoft.com/office/drawing/2014/main" id="{00000000-0008-0000-2C00-000005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5094150" name="Check Box 6" hidden="1">
              <a:extLst>
                <a:ext uri="{63B3BB69-23CF-44E3-9099-C40C66FF867C}">
                  <a14:compatExt spid="_x0000_s25094150"/>
                </a:ext>
                <a:ext uri="{FF2B5EF4-FFF2-40B4-BE49-F238E27FC236}">
                  <a16:creationId xmlns:a16="http://schemas.microsoft.com/office/drawing/2014/main" id="{00000000-0008-0000-2C00-000006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5094151" name="Check Box 7" hidden="1">
              <a:extLst>
                <a:ext uri="{63B3BB69-23CF-44E3-9099-C40C66FF867C}">
                  <a14:compatExt spid="_x0000_s25094151"/>
                </a:ext>
                <a:ext uri="{FF2B5EF4-FFF2-40B4-BE49-F238E27FC236}">
                  <a16:creationId xmlns:a16="http://schemas.microsoft.com/office/drawing/2014/main" id="{00000000-0008-0000-2C00-000007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5094152" name="Button 8" hidden="1">
              <a:extLst>
                <a:ext uri="{63B3BB69-23CF-44E3-9099-C40C66FF867C}">
                  <a14:compatExt spid="_x0000_s25094152"/>
                </a:ext>
                <a:ext uri="{FF2B5EF4-FFF2-40B4-BE49-F238E27FC236}">
                  <a16:creationId xmlns:a16="http://schemas.microsoft.com/office/drawing/2014/main" id="{00000000-0008-0000-2C00-000008E87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5094153" name="Button 9" hidden="1">
              <a:extLst>
                <a:ext uri="{63B3BB69-23CF-44E3-9099-C40C66FF867C}">
                  <a14:compatExt spid="_x0000_s25094153"/>
                </a:ext>
                <a:ext uri="{FF2B5EF4-FFF2-40B4-BE49-F238E27FC236}">
                  <a16:creationId xmlns:a16="http://schemas.microsoft.com/office/drawing/2014/main" id="{00000000-0008-0000-2C00-000009E87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5094154" name="Check Box 10" hidden="1">
              <a:extLst>
                <a:ext uri="{63B3BB69-23CF-44E3-9099-C40C66FF867C}">
                  <a14:compatExt spid="_x0000_s25094154"/>
                </a:ext>
                <a:ext uri="{FF2B5EF4-FFF2-40B4-BE49-F238E27FC236}">
                  <a16:creationId xmlns:a16="http://schemas.microsoft.com/office/drawing/2014/main" id="{00000000-0008-0000-2C00-00000A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5094155" name="Button 11" hidden="1">
              <a:extLst>
                <a:ext uri="{63B3BB69-23CF-44E3-9099-C40C66FF867C}">
                  <a14:compatExt spid="_x0000_s25094155"/>
                </a:ext>
                <a:ext uri="{FF2B5EF4-FFF2-40B4-BE49-F238E27FC236}">
                  <a16:creationId xmlns:a16="http://schemas.microsoft.com/office/drawing/2014/main" id="{00000000-0008-0000-2C00-00000B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5094156" name="Button 12" hidden="1">
              <a:extLst>
                <a:ext uri="{63B3BB69-23CF-44E3-9099-C40C66FF867C}">
                  <a14:compatExt spid="_x0000_s25094156"/>
                </a:ext>
                <a:ext uri="{FF2B5EF4-FFF2-40B4-BE49-F238E27FC236}">
                  <a16:creationId xmlns:a16="http://schemas.microsoft.com/office/drawing/2014/main" id="{00000000-0008-0000-2C00-00000C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5094157" name="Button 13" hidden="1">
              <a:extLst>
                <a:ext uri="{63B3BB69-23CF-44E3-9099-C40C66FF867C}">
                  <a14:compatExt spid="_x0000_s25094157"/>
                </a:ext>
                <a:ext uri="{FF2B5EF4-FFF2-40B4-BE49-F238E27FC236}">
                  <a16:creationId xmlns:a16="http://schemas.microsoft.com/office/drawing/2014/main" id="{00000000-0008-0000-2C00-00000D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5094158" name="Button 14" hidden="1">
              <a:extLst>
                <a:ext uri="{63B3BB69-23CF-44E3-9099-C40C66FF867C}">
                  <a14:compatExt spid="_x0000_s25094158"/>
                </a:ext>
                <a:ext uri="{FF2B5EF4-FFF2-40B4-BE49-F238E27FC236}">
                  <a16:creationId xmlns:a16="http://schemas.microsoft.com/office/drawing/2014/main" id="{00000000-0008-0000-2C00-00000E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5094159" name="Check Box 15" hidden="1">
              <a:extLst>
                <a:ext uri="{63B3BB69-23CF-44E3-9099-C40C66FF867C}">
                  <a14:compatExt spid="_x0000_s25094159"/>
                </a:ext>
                <a:ext uri="{FF2B5EF4-FFF2-40B4-BE49-F238E27FC236}">
                  <a16:creationId xmlns:a16="http://schemas.microsoft.com/office/drawing/2014/main" id="{00000000-0008-0000-2C00-00000F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5094160" name="Check Box 16" hidden="1">
              <a:extLst>
                <a:ext uri="{63B3BB69-23CF-44E3-9099-C40C66FF867C}">
                  <a14:compatExt spid="_x0000_s25094160"/>
                </a:ext>
                <a:ext uri="{FF2B5EF4-FFF2-40B4-BE49-F238E27FC236}">
                  <a16:creationId xmlns:a16="http://schemas.microsoft.com/office/drawing/2014/main" id="{00000000-0008-0000-2C00-000010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5094161" name="Check Box 17" hidden="1">
              <a:extLst>
                <a:ext uri="{63B3BB69-23CF-44E3-9099-C40C66FF867C}">
                  <a14:compatExt spid="_x0000_s25094161"/>
                </a:ext>
                <a:ext uri="{FF2B5EF4-FFF2-40B4-BE49-F238E27FC236}">
                  <a16:creationId xmlns:a16="http://schemas.microsoft.com/office/drawing/2014/main" id="{00000000-0008-0000-2C00-000011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5094162" name="Check Box 18" hidden="1">
              <a:extLst>
                <a:ext uri="{63B3BB69-23CF-44E3-9099-C40C66FF867C}">
                  <a14:compatExt spid="_x0000_s25094162"/>
                </a:ext>
                <a:ext uri="{FF2B5EF4-FFF2-40B4-BE49-F238E27FC236}">
                  <a16:creationId xmlns:a16="http://schemas.microsoft.com/office/drawing/2014/main" id="{00000000-0008-0000-2C00-000012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5094163" name="Check Box 19" hidden="1">
              <a:extLst>
                <a:ext uri="{63B3BB69-23CF-44E3-9099-C40C66FF867C}">
                  <a14:compatExt spid="_x0000_s25094163"/>
                </a:ext>
                <a:ext uri="{FF2B5EF4-FFF2-40B4-BE49-F238E27FC236}">
                  <a16:creationId xmlns:a16="http://schemas.microsoft.com/office/drawing/2014/main" id="{00000000-0008-0000-2C00-000013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5094164" name="Check Box 20" hidden="1">
              <a:extLst>
                <a:ext uri="{63B3BB69-23CF-44E3-9099-C40C66FF867C}">
                  <a14:compatExt spid="_x0000_s25094164"/>
                </a:ext>
                <a:ext uri="{FF2B5EF4-FFF2-40B4-BE49-F238E27FC236}">
                  <a16:creationId xmlns:a16="http://schemas.microsoft.com/office/drawing/2014/main" id="{00000000-0008-0000-2C00-000014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5094165" name="Check Box 21" hidden="1">
              <a:extLst>
                <a:ext uri="{63B3BB69-23CF-44E3-9099-C40C66FF867C}">
                  <a14:compatExt spid="_x0000_s25094165"/>
                </a:ext>
                <a:ext uri="{FF2B5EF4-FFF2-40B4-BE49-F238E27FC236}">
                  <a16:creationId xmlns:a16="http://schemas.microsoft.com/office/drawing/2014/main" id="{00000000-0008-0000-2C00-000015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5094166" name="Check Box 22" hidden="1">
              <a:extLst>
                <a:ext uri="{63B3BB69-23CF-44E3-9099-C40C66FF867C}">
                  <a14:compatExt spid="_x0000_s25094166"/>
                </a:ext>
                <a:ext uri="{FF2B5EF4-FFF2-40B4-BE49-F238E27FC236}">
                  <a16:creationId xmlns:a16="http://schemas.microsoft.com/office/drawing/2014/main" id="{00000000-0008-0000-2C00-000016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5094167" name="Check Box 23" hidden="1">
              <a:extLst>
                <a:ext uri="{63B3BB69-23CF-44E3-9099-C40C66FF867C}">
                  <a14:compatExt spid="_x0000_s25094167"/>
                </a:ext>
                <a:ext uri="{FF2B5EF4-FFF2-40B4-BE49-F238E27FC236}">
                  <a16:creationId xmlns:a16="http://schemas.microsoft.com/office/drawing/2014/main" id="{00000000-0008-0000-2C00-000017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5094168" name="Check Box 24" hidden="1">
              <a:extLst>
                <a:ext uri="{63B3BB69-23CF-44E3-9099-C40C66FF867C}">
                  <a14:compatExt spid="_x0000_s25094168"/>
                </a:ext>
                <a:ext uri="{FF2B5EF4-FFF2-40B4-BE49-F238E27FC236}">
                  <a16:creationId xmlns:a16="http://schemas.microsoft.com/office/drawing/2014/main" id="{00000000-0008-0000-2C00-000018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5094169" name="Check Box 25" hidden="1">
              <a:extLst>
                <a:ext uri="{63B3BB69-23CF-44E3-9099-C40C66FF867C}">
                  <a14:compatExt spid="_x0000_s25094169"/>
                </a:ext>
                <a:ext uri="{FF2B5EF4-FFF2-40B4-BE49-F238E27FC236}">
                  <a16:creationId xmlns:a16="http://schemas.microsoft.com/office/drawing/2014/main" id="{00000000-0008-0000-2C00-000019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5094170" name="Check Box 26" hidden="1">
              <a:extLst>
                <a:ext uri="{63B3BB69-23CF-44E3-9099-C40C66FF867C}">
                  <a14:compatExt spid="_x0000_s25094170"/>
                </a:ext>
                <a:ext uri="{FF2B5EF4-FFF2-40B4-BE49-F238E27FC236}">
                  <a16:creationId xmlns:a16="http://schemas.microsoft.com/office/drawing/2014/main" id="{00000000-0008-0000-2C00-00001A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5094171" name="Check Box 27" hidden="1">
              <a:extLst>
                <a:ext uri="{63B3BB69-23CF-44E3-9099-C40C66FF867C}">
                  <a14:compatExt spid="_x0000_s25094171"/>
                </a:ext>
                <a:ext uri="{FF2B5EF4-FFF2-40B4-BE49-F238E27FC236}">
                  <a16:creationId xmlns:a16="http://schemas.microsoft.com/office/drawing/2014/main" id="{00000000-0008-0000-2C00-00001B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5094172" name="Button 28" hidden="1">
              <a:extLst>
                <a:ext uri="{63B3BB69-23CF-44E3-9099-C40C66FF867C}">
                  <a14:compatExt spid="_x0000_s25094172"/>
                </a:ext>
                <a:ext uri="{FF2B5EF4-FFF2-40B4-BE49-F238E27FC236}">
                  <a16:creationId xmlns:a16="http://schemas.microsoft.com/office/drawing/2014/main" id="{00000000-0008-0000-2C00-00001C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5094173" name="Button 29" hidden="1">
              <a:extLst>
                <a:ext uri="{63B3BB69-23CF-44E3-9099-C40C66FF867C}">
                  <a14:compatExt spid="_x0000_s25094173"/>
                </a:ext>
                <a:ext uri="{FF2B5EF4-FFF2-40B4-BE49-F238E27FC236}">
                  <a16:creationId xmlns:a16="http://schemas.microsoft.com/office/drawing/2014/main" id="{00000000-0008-0000-2C00-00001DE87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5094174" name="Check Box 30" hidden="1">
              <a:extLst>
                <a:ext uri="{63B3BB69-23CF-44E3-9099-C40C66FF867C}">
                  <a14:compatExt spid="_x0000_s25094174"/>
                </a:ext>
                <a:ext uri="{FF2B5EF4-FFF2-40B4-BE49-F238E27FC236}">
                  <a16:creationId xmlns:a16="http://schemas.microsoft.com/office/drawing/2014/main" id="{00000000-0008-0000-2C00-00001E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5094175" name="Check Box 31" hidden="1">
              <a:extLst>
                <a:ext uri="{63B3BB69-23CF-44E3-9099-C40C66FF867C}">
                  <a14:compatExt spid="_x0000_s25094175"/>
                </a:ext>
                <a:ext uri="{FF2B5EF4-FFF2-40B4-BE49-F238E27FC236}">
                  <a16:creationId xmlns:a16="http://schemas.microsoft.com/office/drawing/2014/main" id="{00000000-0008-0000-2C00-00001F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5094176" name="Check Box 32" hidden="1">
              <a:extLst>
                <a:ext uri="{63B3BB69-23CF-44E3-9099-C40C66FF867C}">
                  <a14:compatExt spid="_x0000_s25094176"/>
                </a:ext>
                <a:ext uri="{FF2B5EF4-FFF2-40B4-BE49-F238E27FC236}">
                  <a16:creationId xmlns:a16="http://schemas.microsoft.com/office/drawing/2014/main" id="{00000000-0008-0000-2C00-000020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5094177" name="Check Box 33" hidden="1">
              <a:extLst>
                <a:ext uri="{63B3BB69-23CF-44E3-9099-C40C66FF867C}">
                  <a14:compatExt spid="_x0000_s25094177"/>
                </a:ext>
                <a:ext uri="{FF2B5EF4-FFF2-40B4-BE49-F238E27FC236}">
                  <a16:creationId xmlns:a16="http://schemas.microsoft.com/office/drawing/2014/main" id="{00000000-0008-0000-2C00-000021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5094178" name="Check Box 34" hidden="1">
              <a:extLst>
                <a:ext uri="{63B3BB69-23CF-44E3-9099-C40C66FF867C}">
                  <a14:compatExt spid="_x0000_s25094178"/>
                </a:ext>
                <a:ext uri="{FF2B5EF4-FFF2-40B4-BE49-F238E27FC236}">
                  <a16:creationId xmlns:a16="http://schemas.microsoft.com/office/drawing/2014/main" id="{00000000-0008-0000-2C00-000022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5094179" name="Check Box 35" hidden="1">
              <a:extLst>
                <a:ext uri="{63B3BB69-23CF-44E3-9099-C40C66FF867C}">
                  <a14:compatExt spid="_x0000_s25094179"/>
                </a:ext>
                <a:ext uri="{FF2B5EF4-FFF2-40B4-BE49-F238E27FC236}">
                  <a16:creationId xmlns:a16="http://schemas.microsoft.com/office/drawing/2014/main" id="{00000000-0008-0000-2C00-000023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5094180" name="Check Box 36" hidden="1">
              <a:extLst>
                <a:ext uri="{63B3BB69-23CF-44E3-9099-C40C66FF867C}">
                  <a14:compatExt spid="_x0000_s25094180"/>
                </a:ext>
                <a:ext uri="{FF2B5EF4-FFF2-40B4-BE49-F238E27FC236}">
                  <a16:creationId xmlns:a16="http://schemas.microsoft.com/office/drawing/2014/main" id="{00000000-0008-0000-2C00-000024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5094181" name="Check Box 37" hidden="1">
              <a:extLst>
                <a:ext uri="{63B3BB69-23CF-44E3-9099-C40C66FF867C}">
                  <a14:compatExt spid="_x0000_s25094181"/>
                </a:ext>
                <a:ext uri="{FF2B5EF4-FFF2-40B4-BE49-F238E27FC236}">
                  <a16:creationId xmlns:a16="http://schemas.microsoft.com/office/drawing/2014/main" id="{00000000-0008-0000-2C00-000025E87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9CB8B516-2412-4C08-8618-4F8D90868EF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98074D3-3A12-41EB-B54E-6636C7943AFB}"/>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877057" name="Check Box 1" hidden="1">
              <a:extLst>
                <a:ext uri="{63B3BB69-23CF-44E3-9099-C40C66FF867C}">
                  <a14:compatExt spid="_x0000_s24877057"/>
                </a:ext>
                <a:ext uri="{FF2B5EF4-FFF2-40B4-BE49-F238E27FC236}">
                  <a16:creationId xmlns:a16="http://schemas.microsoft.com/office/drawing/2014/main" id="{00000000-0008-0000-2D00-000001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877058" name="Check Box 2" hidden="1">
              <a:extLst>
                <a:ext uri="{63B3BB69-23CF-44E3-9099-C40C66FF867C}">
                  <a14:compatExt spid="_x0000_s24877058"/>
                </a:ext>
                <a:ext uri="{FF2B5EF4-FFF2-40B4-BE49-F238E27FC236}">
                  <a16:creationId xmlns:a16="http://schemas.microsoft.com/office/drawing/2014/main" id="{00000000-0008-0000-2D00-000002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877059" name="Check Box 3" hidden="1">
              <a:extLst>
                <a:ext uri="{63B3BB69-23CF-44E3-9099-C40C66FF867C}">
                  <a14:compatExt spid="_x0000_s24877059"/>
                </a:ext>
                <a:ext uri="{FF2B5EF4-FFF2-40B4-BE49-F238E27FC236}">
                  <a16:creationId xmlns:a16="http://schemas.microsoft.com/office/drawing/2014/main" id="{00000000-0008-0000-2D00-000003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877060" name="Check Box 4" hidden="1">
              <a:extLst>
                <a:ext uri="{63B3BB69-23CF-44E3-9099-C40C66FF867C}">
                  <a14:compatExt spid="_x0000_s24877060"/>
                </a:ext>
                <a:ext uri="{FF2B5EF4-FFF2-40B4-BE49-F238E27FC236}">
                  <a16:creationId xmlns:a16="http://schemas.microsoft.com/office/drawing/2014/main" id="{00000000-0008-0000-2D00-000004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877061" name="Check Box 5" hidden="1">
              <a:extLst>
                <a:ext uri="{63B3BB69-23CF-44E3-9099-C40C66FF867C}">
                  <a14:compatExt spid="_x0000_s24877061"/>
                </a:ext>
                <a:ext uri="{FF2B5EF4-FFF2-40B4-BE49-F238E27FC236}">
                  <a16:creationId xmlns:a16="http://schemas.microsoft.com/office/drawing/2014/main" id="{00000000-0008-0000-2D00-000005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877062" name="Check Box 6" hidden="1">
              <a:extLst>
                <a:ext uri="{63B3BB69-23CF-44E3-9099-C40C66FF867C}">
                  <a14:compatExt spid="_x0000_s24877062"/>
                </a:ext>
                <a:ext uri="{FF2B5EF4-FFF2-40B4-BE49-F238E27FC236}">
                  <a16:creationId xmlns:a16="http://schemas.microsoft.com/office/drawing/2014/main" id="{00000000-0008-0000-2D00-000006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877063" name="Check Box 7" hidden="1">
              <a:extLst>
                <a:ext uri="{63B3BB69-23CF-44E3-9099-C40C66FF867C}">
                  <a14:compatExt spid="_x0000_s24877063"/>
                </a:ext>
                <a:ext uri="{FF2B5EF4-FFF2-40B4-BE49-F238E27FC236}">
                  <a16:creationId xmlns:a16="http://schemas.microsoft.com/office/drawing/2014/main" id="{00000000-0008-0000-2D00-000007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877064" name="Button 8" hidden="1">
              <a:extLst>
                <a:ext uri="{63B3BB69-23CF-44E3-9099-C40C66FF867C}">
                  <a14:compatExt spid="_x0000_s24877064"/>
                </a:ext>
                <a:ext uri="{FF2B5EF4-FFF2-40B4-BE49-F238E27FC236}">
                  <a16:creationId xmlns:a16="http://schemas.microsoft.com/office/drawing/2014/main" id="{00000000-0008-0000-2D00-000008987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877065" name="Button 9" hidden="1">
              <a:extLst>
                <a:ext uri="{63B3BB69-23CF-44E3-9099-C40C66FF867C}">
                  <a14:compatExt spid="_x0000_s24877065"/>
                </a:ext>
                <a:ext uri="{FF2B5EF4-FFF2-40B4-BE49-F238E27FC236}">
                  <a16:creationId xmlns:a16="http://schemas.microsoft.com/office/drawing/2014/main" id="{00000000-0008-0000-2D00-000009987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877066" name="Check Box 10" hidden="1">
              <a:extLst>
                <a:ext uri="{63B3BB69-23CF-44E3-9099-C40C66FF867C}">
                  <a14:compatExt spid="_x0000_s24877066"/>
                </a:ext>
                <a:ext uri="{FF2B5EF4-FFF2-40B4-BE49-F238E27FC236}">
                  <a16:creationId xmlns:a16="http://schemas.microsoft.com/office/drawing/2014/main" id="{00000000-0008-0000-2D00-00000A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877067" name="Button 11" hidden="1">
              <a:extLst>
                <a:ext uri="{63B3BB69-23CF-44E3-9099-C40C66FF867C}">
                  <a14:compatExt spid="_x0000_s24877067"/>
                </a:ext>
                <a:ext uri="{FF2B5EF4-FFF2-40B4-BE49-F238E27FC236}">
                  <a16:creationId xmlns:a16="http://schemas.microsoft.com/office/drawing/2014/main" id="{00000000-0008-0000-2D00-00000B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877068" name="Button 12" hidden="1">
              <a:extLst>
                <a:ext uri="{63B3BB69-23CF-44E3-9099-C40C66FF867C}">
                  <a14:compatExt spid="_x0000_s24877068"/>
                </a:ext>
                <a:ext uri="{FF2B5EF4-FFF2-40B4-BE49-F238E27FC236}">
                  <a16:creationId xmlns:a16="http://schemas.microsoft.com/office/drawing/2014/main" id="{00000000-0008-0000-2D00-00000C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877069" name="Button 13" hidden="1">
              <a:extLst>
                <a:ext uri="{63B3BB69-23CF-44E3-9099-C40C66FF867C}">
                  <a14:compatExt spid="_x0000_s24877069"/>
                </a:ext>
                <a:ext uri="{FF2B5EF4-FFF2-40B4-BE49-F238E27FC236}">
                  <a16:creationId xmlns:a16="http://schemas.microsoft.com/office/drawing/2014/main" id="{00000000-0008-0000-2D00-00000D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877070" name="Button 14" hidden="1">
              <a:extLst>
                <a:ext uri="{63B3BB69-23CF-44E3-9099-C40C66FF867C}">
                  <a14:compatExt spid="_x0000_s24877070"/>
                </a:ext>
                <a:ext uri="{FF2B5EF4-FFF2-40B4-BE49-F238E27FC236}">
                  <a16:creationId xmlns:a16="http://schemas.microsoft.com/office/drawing/2014/main" id="{00000000-0008-0000-2D00-00000E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877071" name="Check Box 15" hidden="1">
              <a:extLst>
                <a:ext uri="{63B3BB69-23CF-44E3-9099-C40C66FF867C}">
                  <a14:compatExt spid="_x0000_s24877071"/>
                </a:ext>
                <a:ext uri="{FF2B5EF4-FFF2-40B4-BE49-F238E27FC236}">
                  <a16:creationId xmlns:a16="http://schemas.microsoft.com/office/drawing/2014/main" id="{00000000-0008-0000-2D00-00000F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877072" name="Check Box 16" hidden="1">
              <a:extLst>
                <a:ext uri="{63B3BB69-23CF-44E3-9099-C40C66FF867C}">
                  <a14:compatExt spid="_x0000_s24877072"/>
                </a:ext>
                <a:ext uri="{FF2B5EF4-FFF2-40B4-BE49-F238E27FC236}">
                  <a16:creationId xmlns:a16="http://schemas.microsoft.com/office/drawing/2014/main" id="{00000000-0008-0000-2D00-000010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877073" name="Check Box 17" hidden="1">
              <a:extLst>
                <a:ext uri="{63B3BB69-23CF-44E3-9099-C40C66FF867C}">
                  <a14:compatExt spid="_x0000_s24877073"/>
                </a:ext>
                <a:ext uri="{FF2B5EF4-FFF2-40B4-BE49-F238E27FC236}">
                  <a16:creationId xmlns:a16="http://schemas.microsoft.com/office/drawing/2014/main" id="{00000000-0008-0000-2D00-000011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877074" name="Check Box 18" hidden="1">
              <a:extLst>
                <a:ext uri="{63B3BB69-23CF-44E3-9099-C40C66FF867C}">
                  <a14:compatExt spid="_x0000_s24877074"/>
                </a:ext>
                <a:ext uri="{FF2B5EF4-FFF2-40B4-BE49-F238E27FC236}">
                  <a16:creationId xmlns:a16="http://schemas.microsoft.com/office/drawing/2014/main" id="{00000000-0008-0000-2D00-000012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877075" name="Check Box 19" hidden="1">
              <a:extLst>
                <a:ext uri="{63B3BB69-23CF-44E3-9099-C40C66FF867C}">
                  <a14:compatExt spid="_x0000_s24877075"/>
                </a:ext>
                <a:ext uri="{FF2B5EF4-FFF2-40B4-BE49-F238E27FC236}">
                  <a16:creationId xmlns:a16="http://schemas.microsoft.com/office/drawing/2014/main" id="{00000000-0008-0000-2D00-000013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877076" name="Check Box 20" hidden="1">
              <a:extLst>
                <a:ext uri="{63B3BB69-23CF-44E3-9099-C40C66FF867C}">
                  <a14:compatExt spid="_x0000_s24877076"/>
                </a:ext>
                <a:ext uri="{FF2B5EF4-FFF2-40B4-BE49-F238E27FC236}">
                  <a16:creationId xmlns:a16="http://schemas.microsoft.com/office/drawing/2014/main" id="{00000000-0008-0000-2D00-000014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877077" name="Check Box 21" hidden="1">
              <a:extLst>
                <a:ext uri="{63B3BB69-23CF-44E3-9099-C40C66FF867C}">
                  <a14:compatExt spid="_x0000_s24877077"/>
                </a:ext>
                <a:ext uri="{FF2B5EF4-FFF2-40B4-BE49-F238E27FC236}">
                  <a16:creationId xmlns:a16="http://schemas.microsoft.com/office/drawing/2014/main" id="{00000000-0008-0000-2D00-000015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877078" name="Check Box 22" hidden="1">
              <a:extLst>
                <a:ext uri="{63B3BB69-23CF-44E3-9099-C40C66FF867C}">
                  <a14:compatExt spid="_x0000_s24877078"/>
                </a:ext>
                <a:ext uri="{FF2B5EF4-FFF2-40B4-BE49-F238E27FC236}">
                  <a16:creationId xmlns:a16="http://schemas.microsoft.com/office/drawing/2014/main" id="{00000000-0008-0000-2D00-000016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877079" name="Check Box 23" hidden="1">
              <a:extLst>
                <a:ext uri="{63B3BB69-23CF-44E3-9099-C40C66FF867C}">
                  <a14:compatExt spid="_x0000_s24877079"/>
                </a:ext>
                <a:ext uri="{FF2B5EF4-FFF2-40B4-BE49-F238E27FC236}">
                  <a16:creationId xmlns:a16="http://schemas.microsoft.com/office/drawing/2014/main" id="{00000000-0008-0000-2D00-000017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877080" name="Check Box 24" hidden="1">
              <a:extLst>
                <a:ext uri="{63B3BB69-23CF-44E3-9099-C40C66FF867C}">
                  <a14:compatExt spid="_x0000_s24877080"/>
                </a:ext>
                <a:ext uri="{FF2B5EF4-FFF2-40B4-BE49-F238E27FC236}">
                  <a16:creationId xmlns:a16="http://schemas.microsoft.com/office/drawing/2014/main" id="{00000000-0008-0000-2D00-000018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877081" name="Check Box 25" hidden="1">
              <a:extLst>
                <a:ext uri="{63B3BB69-23CF-44E3-9099-C40C66FF867C}">
                  <a14:compatExt spid="_x0000_s24877081"/>
                </a:ext>
                <a:ext uri="{FF2B5EF4-FFF2-40B4-BE49-F238E27FC236}">
                  <a16:creationId xmlns:a16="http://schemas.microsoft.com/office/drawing/2014/main" id="{00000000-0008-0000-2D00-000019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877082" name="Check Box 26" hidden="1">
              <a:extLst>
                <a:ext uri="{63B3BB69-23CF-44E3-9099-C40C66FF867C}">
                  <a14:compatExt spid="_x0000_s24877082"/>
                </a:ext>
                <a:ext uri="{FF2B5EF4-FFF2-40B4-BE49-F238E27FC236}">
                  <a16:creationId xmlns:a16="http://schemas.microsoft.com/office/drawing/2014/main" id="{00000000-0008-0000-2D00-00001A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877083" name="Check Box 27" hidden="1">
              <a:extLst>
                <a:ext uri="{63B3BB69-23CF-44E3-9099-C40C66FF867C}">
                  <a14:compatExt spid="_x0000_s24877083"/>
                </a:ext>
                <a:ext uri="{FF2B5EF4-FFF2-40B4-BE49-F238E27FC236}">
                  <a16:creationId xmlns:a16="http://schemas.microsoft.com/office/drawing/2014/main" id="{00000000-0008-0000-2D00-00001B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877084" name="Button 28" hidden="1">
              <a:extLst>
                <a:ext uri="{63B3BB69-23CF-44E3-9099-C40C66FF867C}">
                  <a14:compatExt spid="_x0000_s24877084"/>
                </a:ext>
                <a:ext uri="{FF2B5EF4-FFF2-40B4-BE49-F238E27FC236}">
                  <a16:creationId xmlns:a16="http://schemas.microsoft.com/office/drawing/2014/main" id="{00000000-0008-0000-2D00-00001C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877085" name="Button 29" hidden="1">
              <a:extLst>
                <a:ext uri="{63B3BB69-23CF-44E3-9099-C40C66FF867C}">
                  <a14:compatExt spid="_x0000_s24877085"/>
                </a:ext>
                <a:ext uri="{FF2B5EF4-FFF2-40B4-BE49-F238E27FC236}">
                  <a16:creationId xmlns:a16="http://schemas.microsoft.com/office/drawing/2014/main" id="{00000000-0008-0000-2D00-00001D987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877086" name="Check Box 30" hidden="1">
              <a:extLst>
                <a:ext uri="{63B3BB69-23CF-44E3-9099-C40C66FF867C}">
                  <a14:compatExt spid="_x0000_s24877086"/>
                </a:ext>
                <a:ext uri="{FF2B5EF4-FFF2-40B4-BE49-F238E27FC236}">
                  <a16:creationId xmlns:a16="http://schemas.microsoft.com/office/drawing/2014/main" id="{00000000-0008-0000-2D00-00001E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877087" name="Check Box 31" hidden="1">
              <a:extLst>
                <a:ext uri="{63B3BB69-23CF-44E3-9099-C40C66FF867C}">
                  <a14:compatExt spid="_x0000_s24877087"/>
                </a:ext>
                <a:ext uri="{FF2B5EF4-FFF2-40B4-BE49-F238E27FC236}">
                  <a16:creationId xmlns:a16="http://schemas.microsoft.com/office/drawing/2014/main" id="{00000000-0008-0000-2D00-00001F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877088" name="Check Box 32" hidden="1">
              <a:extLst>
                <a:ext uri="{63B3BB69-23CF-44E3-9099-C40C66FF867C}">
                  <a14:compatExt spid="_x0000_s24877088"/>
                </a:ext>
                <a:ext uri="{FF2B5EF4-FFF2-40B4-BE49-F238E27FC236}">
                  <a16:creationId xmlns:a16="http://schemas.microsoft.com/office/drawing/2014/main" id="{00000000-0008-0000-2D00-000020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877089" name="Check Box 33" hidden="1">
              <a:extLst>
                <a:ext uri="{63B3BB69-23CF-44E3-9099-C40C66FF867C}">
                  <a14:compatExt spid="_x0000_s24877089"/>
                </a:ext>
                <a:ext uri="{FF2B5EF4-FFF2-40B4-BE49-F238E27FC236}">
                  <a16:creationId xmlns:a16="http://schemas.microsoft.com/office/drawing/2014/main" id="{00000000-0008-0000-2D00-000021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877090" name="Check Box 34" hidden="1">
              <a:extLst>
                <a:ext uri="{63B3BB69-23CF-44E3-9099-C40C66FF867C}">
                  <a14:compatExt spid="_x0000_s24877090"/>
                </a:ext>
                <a:ext uri="{FF2B5EF4-FFF2-40B4-BE49-F238E27FC236}">
                  <a16:creationId xmlns:a16="http://schemas.microsoft.com/office/drawing/2014/main" id="{00000000-0008-0000-2D00-000022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877091" name="Check Box 35" hidden="1">
              <a:extLst>
                <a:ext uri="{63B3BB69-23CF-44E3-9099-C40C66FF867C}">
                  <a14:compatExt spid="_x0000_s24877091"/>
                </a:ext>
                <a:ext uri="{FF2B5EF4-FFF2-40B4-BE49-F238E27FC236}">
                  <a16:creationId xmlns:a16="http://schemas.microsoft.com/office/drawing/2014/main" id="{00000000-0008-0000-2D00-000023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877092" name="Check Box 36" hidden="1">
              <a:extLst>
                <a:ext uri="{63B3BB69-23CF-44E3-9099-C40C66FF867C}">
                  <a14:compatExt spid="_x0000_s24877092"/>
                </a:ext>
                <a:ext uri="{FF2B5EF4-FFF2-40B4-BE49-F238E27FC236}">
                  <a16:creationId xmlns:a16="http://schemas.microsoft.com/office/drawing/2014/main" id="{00000000-0008-0000-2D00-000024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877093" name="Check Box 37" hidden="1">
              <a:extLst>
                <a:ext uri="{63B3BB69-23CF-44E3-9099-C40C66FF867C}">
                  <a14:compatExt spid="_x0000_s24877093"/>
                </a:ext>
                <a:ext uri="{FF2B5EF4-FFF2-40B4-BE49-F238E27FC236}">
                  <a16:creationId xmlns:a16="http://schemas.microsoft.com/office/drawing/2014/main" id="{00000000-0008-0000-2D00-000025987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C4F0525A-8C85-436E-B29D-8B35EBAC54E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42F7359-6D7E-45A4-A7DA-A5C475C42CF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767489" name="Check Box 1" hidden="1">
              <a:extLst>
                <a:ext uri="{63B3BB69-23CF-44E3-9099-C40C66FF867C}">
                  <a14:compatExt spid="_x0000_s24767489"/>
                </a:ext>
                <a:ext uri="{FF2B5EF4-FFF2-40B4-BE49-F238E27FC236}">
                  <a16:creationId xmlns:a16="http://schemas.microsoft.com/office/drawing/2014/main" id="{00000000-0008-0000-2E00-000001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767490" name="Check Box 2" hidden="1">
              <a:extLst>
                <a:ext uri="{63B3BB69-23CF-44E3-9099-C40C66FF867C}">
                  <a14:compatExt spid="_x0000_s24767490"/>
                </a:ext>
                <a:ext uri="{FF2B5EF4-FFF2-40B4-BE49-F238E27FC236}">
                  <a16:creationId xmlns:a16="http://schemas.microsoft.com/office/drawing/2014/main" id="{00000000-0008-0000-2E00-000002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767491" name="Check Box 3" hidden="1">
              <a:extLst>
                <a:ext uri="{63B3BB69-23CF-44E3-9099-C40C66FF867C}">
                  <a14:compatExt spid="_x0000_s24767491"/>
                </a:ext>
                <a:ext uri="{FF2B5EF4-FFF2-40B4-BE49-F238E27FC236}">
                  <a16:creationId xmlns:a16="http://schemas.microsoft.com/office/drawing/2014/main" id="{00000000-0008-0000-2E00-000003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767492" name="Check Box 4" hidden="1">
              <a:extLst>
                <a:ext uri="{63B3BB69-23CF-44E3-9099-C40C66FF867C}">
                  <a14:compatExt spid="_x0000_s24767492"/>
                </a:ext>
                <a:ext uri="{FF2B5EF4-FFF2-40B4-BE49-F238E27FC236}">
                  <a16:creationId xmlns:a16="http://schemas.microsoft.com/office/drawing/2014/main" id="{00000000-0008-0000-2E00-000004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767493" name="Check Box 5" hidden="1">
              <a:extLst>
                <a:ext uri="{63B3BB69-23CF-44E3-9099-C40C66FF867C}">
                  <a14:compatExt spid="_x0000_s24767493"/>
                </a:ext>
                <a:ext uri="{FF2B5EF4-FFF2-40B4-BE49-F238E27FC236}">
                  <a16:creationId xmlns:a16="http://schemas.microsoft.com/office/drawing/2014/main" id="{00000000-0008-0000-2E00-000005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767494" name="Check Box 6" hidden="1">
              <a:extLst>
                <a:ext uri="{63B3BB69-23CF-44E3-9099-C40C66FF867C}">
                  <a14:compatExt spid="_x0000_s24767494"/>
                </a:ext>
                <a:ext uri="{FF2B5EF4-FFF2-40B4-BE49-F238E27FC236}">
                  <a16:creationId xmlns:a16="http://schemas.microsoft.com/office/drawing/2014/main" id="{00000000-0008-0000-2E00-000006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767495" name="Check Box 7" hidden="1">
              <a:extLst>
                <a:ext uri="{63B3BB69-23CF-44E3-9099-C40C66FF867C}">
                  <a14:compatExt spid="_x0000_s24767495"/>
                </a:ext>
                <a:ext uri="{FF2B5EF4-FFF2-40B4-BE49-F238E27FC236}">
                  <a16:creationId xmlns:a16="http://schemas.microsoft.com/office/drawing/2014/main" id="{00000000-0008-0000-2E00-000007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767496" name="Button 8" hidden="1">
              <a:extLst>
                <a:ext uri="{63B3BB69-23CF-44E3-9099-C40C66FF867C}">
                  <a14:compatExt spid="_x0000_s24767496"/>
                </a:ext>
                <a:ext uri="{FF2B5EF4-FFF2-40B4-BE49-F238E27FC236}">
                  <a16:creationId xmlns:a16="http://schemas.microsoft.com/office/drawing/2014/main" id="{00000000-0008-0000-2E00-000008EC7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767497" name="Button 9" hidden="1">
              <a:extLst>
                <a:ext uri="{63B3BB69-23CF-44E3-9099-C40C66FF867C}">
                  <a14:compatExt spid="_x0000_s24767497"/>
                </a:ext>
                <a:ext uri="{FF2B5EF4-FFF2-40B4-BE49-F238E27FC236}">
                  <a16:creationId xmlns:a16="http://schemas.microsoft.com/office/drawing/2014/main" id="{00000000-0008-0000-2E00-000009EC7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767498" name="Check Box 10" hidden="1">
              <a:extLst>
                <a:ext uri="{63B3BB69-23CF-44E3-9099-C40C66FF867C}">
                  <a14:compatExt spid="_x0000_s24767498"/>
                </a:ext>
                <a:ext uri="{FF2B5EF4-FFF2-40B4-BE49-F238E27FC236}">
                  <a16:creationId xmlns:a16="http://schemas.microsoft.com/office/drawing/2014/main" id="{00000000-0008-0000-2E00-00000A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767499" name="Button 11" hidden="1">
              <a:extLst>
                <a:ext uri="{63B3BB69-23CF-44E3-9099-C40C66FF867C}">
                  <a14:compatExt spid="_x0000_s24767499"/>
                </a:ext>
                <a:ext uri="{FF2B5EF4-FFF2-40B4-BE49-F238E27FC236}">
                  <a16:creationId xmlns:a16="http://schemas.microsoft.com/office/drawing/2014/main" id="{00000000-0008-0000-2E00-00000B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767500" name="Button 12" hidden="1">
              <a:extLst>
                <a:ext uri="{63B3BB69-23CF-44E3-9099-C40C66FF867C}">
                  <a14:compatExt spid="_x0000_s24767500"/>
                </a:ext>
                <a:ext uri="{FF2B5EF4-FFF2-40B4-BE49-F238E27FC236}">
                  <a16:creationId xmlns:a16="http://schemas.microsoft.com/office/drawing/2014/main" id="{00000000-0008-0000-2E00-00000C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767501" name="Button 13" hidden="1">
              <a:extLst>
                <a:ext uri="{63B3BB69-23CF-44E3-9099-C40C66FF867C}">
                  <a14:compatExt spid="_x0000_s24767501"/>
                </a:ext>
                <a:ext uri="{FF2B5EF4-FFF2-40B4-BE49-F238E27FC236}">
                  <a16:creationId xmlns:a16="http://schemas.microsoft.com/office/drawing/2014/main" id="{00000000-0008-0000-2E00-00000D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767502" name="Button 14" hidden="1">
              <a:extLst>
                <a:ext uri="{63B3BB69-23CF-44E3-9099-C40C66FF867C}">
                  <a14:compatExt spid="_x0000_s24767502"/>
                </a:ext>
                <a:ext uri="{FF2B5EF4-FFF2-40B4-BE49-F238E27FC236}">
                  <a16:creationId xmlns:a16="http://schemas.microsoft.com/office/drawing/2014/main" id="{00000000-0008-0000-2E00-00000E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767503" name="Check Box 15" hidden="1">
              <a:extLst>
                <a:ext uri="{63B3BB69-23CF-44E3-9099-C40C66FF867C}">
                  <a14:compatExt spid="_x0000_s24767503"/>
                </a:ext>
                <a:ext uri="{FF2B5EF4-FFF2-40B4-BE49-F238E27FC236}">
                  <a16:creationId xmlns:a16="http://schemas.microsoft.com/office/drawing/2014/main" id="{00000000-0008-0000-2E00-00000F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767504" name="Check Box 16" hidden="1">
              <a:extLst>
                <a:ext uri="{63B3BB69-23CF-44E3-9099-C40C66FF867C}">
                  <a14:compatExt spid="_x0000_s24767504"/>
                </a:ext>
                <a:ext uri="{FF2B5EF4-FFF2-40B4-BE49-F238E27FC236}">
                  <a16:creationId xmlns:a16="http://schemas.microsoft.com/office/drawing/2014/main" id="{00000000-0008-0000-2E00-000010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767505" name="Check Box 17" hidden="1">
              <a:extLst>
                <a:ext uri="{63B3BB69-23CF-44E3-9099-C40C66FF867C}">
                  <a14:compatExt spid="_x0000_s24767505"/>
                </a:ext>
                <a:ext uri="{FF2B5EF4-FFF2-40B4-BE49-F238E27FC236}">
                  <a16:creationId xmlns:a16="http://schemas.microsoft.com/office/drawing/2014/main" id="{00000000-0008-0000-2E00-000011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767506" name="Check Box 18" hidden="1">
              <a:extLst>
                <a:ext uri="{63B3BB69-23CF-44E3-9099-C40C66FF867C}">
                  <a14:compatExt spid="_x0000_s24767506"/>
                </a:ext>
                <a:ext uri="{FF2B5EF4-FFF2-40B4-BE49-F238E27FC236}">
                  <a16:creationId xmlns:a16="http://schemas.microsoft.com/office/drawing/2014/main" id="{00000000-0008-0000-2E00-000012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767507" name="Check Box 19" hidden="1">
              <a:extLst>
                <a:ext uri="{63B3BB69-23CF-44E3-9099-C40C66FF867C}">
                  <a14:compatExt spid="_x0000_s24767507"/>
                </a:ext>
                <a:ext uri="{FF2B5EF4-FFF2-40B4-BE49-F238E27FC236}">
                  <a16:creationId xmlns:a16="http://schemas.microsoft.com/office/drawing/2014/main" id="{00000000-0008-0000-2E00-000013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767508" name="Check Box 20" hidden="1">
              <a:extLst>
                <a:ext uri="{63B3BB69-23CF-44E3-9099-C40C66FF867C}">
                  <a14:compatExt spid="_x0000_s24767508"/>
                </a:ext>
                <a:ext uri="{FF2B5EF4-FFF2-40B4-BE49-F238E27FC236}">
                  <a16:creationId xmlns:a16="http://schemas.microsoft.com/office/drawing/2014/main" id="{00000000-0008-0000-2E00-000014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767509" name="Check Box 21" hidden="1">
              <a:extLst>
                <a:ext uri="{63B3BB69-23CF-44E3-9099-C40C66FF867C}">
                  <a14:compatExt spid="_x0000_s24767509"/>
                </a:ext>
                <a:ext uri="{FF2B5EF4-FFF2-40B4-BE49-F238E27FC236}">
                  <a16:creationId xmlns:a16="http://schemas.microsoft.com/office/drawing/2014/main" id="{00000000-0008-0000-2E00-000015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767510" name="Check Box 22" hidden="1">
              <a:extLst>
                <a:ext uri="{63B3BB69-23CF-44E3-9099-C40C66FF867C}">
                  <a14:compatExt spid="_x0000_s24767510"/>
                </a:ext>
                <a:ext uri="{FF2B5EF4-FFF2-40B4-BE49-F238E27FC236}">
                  <a16:creationId xmlns:a16="http://schemas.microsoft.com/office/drawing/2014/main" id="{00000000-0008-0000-2E00-000016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767511" name="Check Box 23" hidden="1">
              <a:extLst>
                <a:ext uri="{63B3BB69-23CF-44E3-9099-C40C66FF867C}">
                  <a14:compatExt spid="_x0000_s24767511"/>
                </a:ext>
                <a:ext uri="{FF2B5EF4-FFF2-40B4-BE49-F238E27FC236}">
                  <a16:creationId xmlns:a16="http://schemas.microsoft.com/office/drawing/2014/main" id="{00000000-0008-0000-2E00-000017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767512" name="Check Box 24" hidden="1">
              <a:extLst>
                <a:ext uri="{63B3BB69-23CF-44E3-9099-C40C66FF867C}">
                  <a14:compatExt spid="_x0000_s24767512"/>
                </a:ext>
                <a:ext uri="{FF2B5EF4-FFF2-40B4-BE49-F238E27FC236}">
                  <a16:creationId xmlns:a16="http://schemas.microsoft.com/office/drawing/2014/main" id="{00000000-0008-0000-2E00-000018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767513" name="Check Box 25" hidden="1">
              <a:extLst>
                <a:ext uri="{63B3BB69-23CF-44E3-9099-C40C66FF867C}">
                  <a14:compatExt spid="_x0000_s24767513"/>
                </a:ext>
                <a:ext uri="{FF2B5EF4-FFF2-40B4-BE49-F238E27FC236}">
                  <a16:creationId xmlns:a16="http://schemas.microsoft.com/office/drawing/2014/main" id="{00000000-0008-0000-2E00-000019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767514" name="Check Box 26" hidden="1">
              <a:extLst>
                <a:ext uri="{63B3BB69-23CF-44E3-9099-C40C66FF867C}">
                  <a14:compatExt spid="_x0000_s24767514"/>
                </a:ext>
                <a:ext uri="{FF2B5EF4-FFF2-40B4-BE49-F238E27FC236}">
                  <a16:creationId xmlns:a16="http://schemas.microsoft.com/office/drawing/2014/main" id="{00000000-0008-0000-2E00-00001A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767515" name="Check Box 27" hidden="1">
              <a:extLst>
                <a:ext uri="{63B3BB69-23CF-44E3-9099-C40C66FF867C}">
                  <a14:compatExt spid="_x0000_s24767515"/>
                </a:ext>
                <a:ext uri="{FF2B5EF4-FFF2-40B4-BE49-F238E27FC236}">
                  <a16:creationId xmlns:a16="http://schemas.microsoft.com/office/drawing/2014/main" id="{00000000-0008-0000-2E00-00001B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767516" name="Button 28" hidden="1">
              <a:extLst>
                <a:ext uri="{63B3BB69-23CF-44E3-9099-C40C66FF867C}">
                  <a14:compatExt spid="_x0000_s24767516"/>
                </a:ext>
                <a:ext uri="{FF2B5EF4-FFF2-40B4-BE49-F238E27FC236}">
                  <a16:creationId xmlns:a16="http://schemas.microsoft.com/office/drawing/2014/main" id="{00000000-0008-0000-2E00-00001C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767517" name="Button 29" hidden="1">
              <a:extLst>
                <a:ext uri="{63B3BB69-23CF-44E3-9099-C40C66FF867C}">
                  <a14:compatExt spid="_x0000_s24767517"/>
                </a:ext>
                <a:ext uri="{FF2B5EF4-FFF2-40B4-BE49-F238E27FC236}">
                  <a16:creationId xmlns:a16="http://schemas.microsoft.com/office/drawing/2014/main" id="{00000000-0008-0000-2E00-00001DEC7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767518" name="Check Box 30" hidden="1">
              <a:extLst>
                <a:ext uri="{63B3BB69-23CF-44E3-9099-C40C66FF867C}">
                  <a14:compatExt spid="_x0000_s24767518"/>
                </a:ext>
                <a:ext uri="{FF2B5EF4-FFF2-40B4-BE49-F238E27FC236}">
                  <a16:creationId xmlns:a16="http://schemas.microsoft.com/office/drawing/2014/main" id="{00000000-0008-0000-2E00-00001E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767519" name="Check Box 31" hidden="1">
              <a:extLst>
                <a:ext uri="{63B3BB69-23CF-44E3-9099-C40C66FF867C}">
                  <a14:compatExt spid="_x0000_s24767519"/>
                </a:ext>
                <a:ext uri="{FF2B5EF4-FFF2-40B4-BE49-F238E27FC236}">
                  <a16:creationId xmlns:a16="http://schemas.microsoft.com/office/drawing/2014/main" id="{00000000-0008-0000-2E00-00001F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767520" name="Check Box 32" hidden="1">
              <a:extLst>
                <a:ext uri="{63B3BB69-23CF-44E3-9099-C40C66FF867C}">
                  <a14:compatExt spid="_x0000_s24767520"/>
                </a:ext>
                <a:ext uri="{FF2B5EF4-FFF2-40B4-BE49-F238E27FC236}">
                  <a16:creationId xmlns:a16="http://schemas.microsoft.com/office/drawing/2014/main" id="{00000000-0008-0000-2E00-000020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767521" name="Check Box 33" hidden="1">
              <a:extLst>
                <a:ext uri="{63B3BB69-23CF-44E3-9099-C40C66FF867C}">
                  <a14:compatExt spid="_x0000_s24767521"/>
                </a:ext>
                <a:ext uri="{FF2B5EF4-FFF2-40B4-BE49-F238E27FC236}">
                  <a16:creationId xmlns:a16="http://schemas.microsoft.com/office/drawing/2014/main" id="{00000000-0008-0000-2E00-000021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767522" name="Check Box 34" hidden="1">
              <a:extLst>
                <a:ext uri="{63B3BB69-23CF-44E3-9099-C40C66FF867C}">
                  <a14:compatExt spid="_x0000_s24767522"/>
                </a:ext>
                <a:ext uri="{FF2B5EF4-FFF2-40B4-BE49-F238E27FC236}">
                  <a16:creationId xmlns:a16="http://schemas.microsoft.com/office/drawing/2014/main" id="{00000000-0008-0000-2E00-000022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767523" name="Check Box 35" hidden="1">
              <a:extLst>
                <a:ext uri="{63B3BB69-23CF-44E3-9099-C40C66FF867C}">
                  <a14:compatExt spid="_x0000_s24767523"/>
                </a:ext>
                <a:ext uri="{FF2B5EF4-FFF2-40B4-BE49-F238E27FC236}">
                  <a16:creationId xmlns:a16="http://schemas.microsoft.com/office/drawing/2014/main" id="{00000000-0008-0000-2E00-000023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767524" name="Check Box 36" hidden="1">
              <a:extLst>
                <a:ext uri="{63B3BB69-23CF-44E3-9099-C40C66FF867C}">
                  <a14:compatExt spid="_x0000_s24767524"/>
                </a:ext>
                <a:ext uri="{FF2B5EF4-FFF2-40B4-BE49-F238E27FC236}">
                  <a16:creationId xmlns:a16="http://schemas.microsoft.com/office/drawing/2014/main" id="{00000000-0008-0000-2E00-000024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767525" name="Check Box 37" hidden="1">
              <a:extLst>
                <a:ext uri="{63B3BB69-23CF-44E3-9099-C40C66FF867C}">
                  <a14:compatExt spid="_x0000_s24767525"/>
                </a:ext>
                <a:ext uri="{FF2B5EF4-FFF2-40B4-BE49-F238E27FC236}">
                  <a16:creationId xmlns:a16="http://schemas.microsoft.com/office/drawing/2014/main" id="{00000000-0008-0000-2E00-000025EC7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010C2422-0438-49F5-90B6-7F539F73FB8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C462C7A-617A-4AC1-B1E7-BC9A9FA7A9A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986625" name="Check Box 1" hidden="1">
              <a:extLst>
                <a:ext uri="{63B3BB69-23CF-44E3-9099-C40C66FF867C}">
                  <a14:compatExt spid="_x0000_s24986625"/>
                </a:ext>
                <a:ext uri="{FF2B5EF4-FFF2-40B4-BE49-F238E27FC236}">
                  <a16:creationId xmlns:a16="http://schemas.microsoft.com/office/drawing/2014/main" id="{00000000-0008-0000-2F00-000001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986626" name="Check Box 2" hidden="1">
              <a:extLst>
                <a:ext uri="{63B3BB69-23CF-44E3-9099-C40C66FF867C}">
                  <a14:compatExt spid="_x0000_s24986626"/>
                </a:ext>
                <a:ext uri="{FF2B5EF4-FFF2-40B4-BE49-F238E27FC236}">
                  <a16:creationId xmlns:a16="http://schemas.microsoft.com/office/drawing/2014/main" id="{00000000-0008-0000-2F00-000002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986627" name="Check Box 3" hidden="1">
              <a:extLst>
                <a:ext uri="{63B3BB69-23CF-44E3-9099-C40C66FF867C}">
                  <a14:compatExt spid="_x0000_s24986627"/>
                </a:ext>
                <a:ext uri="{FF2B5EF4-FFF2-40B4-BE49-F238E27FC236}">
                  <a16:creationId xmlns:a16="http://schemas.microsoft.com/office/drawing/2014/main" id="{00000000-0008-0000-2F00-000003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986628" name="Check Box 4" hidden="1">
              <a:extLst>
                <a:ext uri="{63B3BB69-23CF-44E3-9099-C40C66FF867C}">
                  <a14:compatExt spid="_x0000_s24986628"/>
                </a:ext>
                <a:ext uri="{FF2B5EF4-FFF2-40B4-BE49-F238E27FC236}">
                  <a16:creationId xmlns:a16="http://schemas.microsoft.com/office/drawing/2014/main" id="{00000000-0008-0000-2F00-000004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986629" name="Check Box 5" hidden="1">
              <a:extLst>
                <a:ext uri="{63B3BB69-23CF-44E3-9099-C40C66FF867C}">
                  <a14:compatExt spid="_x0000_s24986629"/>
                </a:ext>
                <a:ext uri="{FF2B5EF4-FFF2-40B4-BE49-F238E27FC236}">
                  <a16:creationId xmlns:a16="http://schemas.microsoft.com/office/drawing/2014/main" id="{00000000-0008-0000-2F00-000005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986630" name="Check Box 6" hidden="1">
              <a:extLst>
                <a:ext uri="{63B3BB69-23CF-44E3-9099-C40C66FF867C}">
                  <a14:compatExt spid="_x0000_s24986630"/>
                </a:ext>
                <a:ext uri="{FF2B5EF4-FFF2-40B4-BE49-F238E27FC236}">
                  <a16:creationId xmlns:a16="http://schemas.microsoft.com/office/drawing/2014/main" id="{00000000-0008-0000-2F00-000006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986631" name="Check Box 7" hidden="1">
              <a:extLst>
                <a:ext uri="{63B3BB69-23CF-44E3-9099-C40C66FF867C}">
                  <a14:compatExt spid="_x0000_s24986631"/>
                </a:ext>
                <a:ext uri="{FF2B5EF4-FFF2-40B4-BE49-F238E27FC236}">
                  <a16:creationId xmlns:a16="http://schemas.microsoft.com/office/drawing/2014/main" id="{00000000-0008-0000-2F00-000007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986632" name="Button 8" hidden="1">
              <a:extLst>
                <a:ext uri="{63B3BB69-23CF-44E3-9099-C40C66FF867C}">
                  <a14:compatExt spid="_x0000_s24986632"/>
                </a:ext>
                <a:ext uri="{FF2B5EF4-FFF2-40B4-BE49-F238E27FC236}">
                  <a16:creationId xmlns:a16="http://schemas.microsoft.com/office/drawing/2014/main" id="{00000000-0008-0000-2F00-000008447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986633" name="Button 9" hidden="1">
              <a:extLst>
                <a:ext uri="{63B3BB69-23CF-44E3-9099-C40C66FF867C}">
                  <a14:compatExt spid="_x0000_s24986633"/>
                </a:ext>
                <a:ext uri="{FF2B5EF4-FFF2-40B4-BE49-F238E27FC236}">
                  <a16:creationId xmlns:a16="http://schemas.microsoft.com/office/drawing/2014/main" id="{00000000-0008-0000-2F00-000009447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986634" name="Check Box 10" hidden="1">
              <a:extLst>
                <a:ext uri="{63B3BB69-23CF-44E3-9099-C40C66FF867C}">
                  <a14:compatExt spid="_x0000_s24986634"/>
                </a:ext>
                <a:ext uri="{FF2B5EF4-FFF2-40B4-BE49-F238E27FC236}">
                  <a16:creationId xmlns:a16="http://schemas.microsoft.com/office/drawing/2014/main" id="{00000000-0008-0000-2F00-00000A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986635" name="Button 11" hidden="1">
              <a:extLst>
                <a:ext uri="{63B3BB69-23CF-44E3-9099-C40C66FF867C}">
                  <a14:compatExt spid="_x0000_s24986635"/>
                </a:ext>
                <a:ext uri="{FF2B5EF4-FFF2-40B4-BE49-F238E27FC236}">
                  <a16:creationId xmlns:a16="http://schemas.microsoft.com/office/drawing/2014/main" id="{00000000-0008-0000-2F00-00000B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986636" name="Button 12" hidden="1">
              <a:extLst>
                <a:ext uri="{63B3BB69-23CF-44E3-9099-C40C66FF867C}">
                  <a14:compatExt spid="_x0000_s24986636"/>
                </a:ext>
                <a:ext uri="{FF2B5EF4-FFF2-40B4-BE49-F238E27FC236}">
                  <a16:creationId xmlns:a16="http://schemas.microsoft.com/office/drawing/2014/main" id="{00000000-0008-0000-2F00-00000C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986637" name="Button 13" hidden="1">
              <a:extLst>
                <a:ext uri="{63B3BB69-23CF-44E3-9099-C40C66FF867C}">
                  <a14:compatExt spid="_x0000_s24986637"/>
                </a:ext>
                <a:ext uri="{FF2B5EF4-FFF2-40B4-BE49-F238E27FC236}">
                  <a16:creationId xmlns:a16="http://schemas.microsoft.com/office/drawing/2014/main" id="{00000000-0008-0000-2F00-00000D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986638" name="Button 14" hidden="1">
              <a:extLst>
                <a:ext uri="{63B3BB69-23CF-44E3-9099-C40C66FF867C}">
                  <a14:compatExt spid="_x0000_s24986638"/>
                </a:ext>
                <a:ext uri="{FF2B5EF4-FFF2-40B4-BE49-F238E27FC236}">
                  <a16:creationId xmlns:a16="http://schemas.microsoft.com/office/drawing/2014/main" id="{00000000-0008-0000-2F00-00000E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986639" name="Check Box 15" hidden="1">
              <a:extLst>
                <a:ext uri="{63B3BB69-23CF-44E3-9099-C40C66FF867C}">
                  <a14:compatExt spid="_x0000_s24986639"/>
                </a:ext>
                <a:ext uri="{FF2B5EF4-FFF2-40B4-BE49-F238E27FC236}">
                  <a16:creationId xmlns:a16="http://schemas.microsoft.com/office/drawing/2014/main" id="{00000000-0008-0000-2F00-00000F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986640" name="Check Box 16" hidden="1">
              <a:extLst>
                <a:ext uri="{63B3BB69-23CF-44E3-9099-C40C66FF867C}">
                  <a14:compatExt spid="_x0000_s24986640"/>
                </a:ext>
                <a:ext uri="{FF2B5EF4-FFF2-40B4-BE49-F238E27FC236}">
                  <a16:creationId xmlns:a16="http://schemas.microsoft.com/office/drawing/2014/main" id="{00000000-0008-0000-2F00-000010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986641" name="Check Box 17" hidden="1">
              <a:extLst>
                <a:ext uri="{63B3BB69-23CF-44E3-9099-C40C66FF867C}">
                  <a14:compatExt spid="_x0000_s24986641"/>
                </a:ext>
                <a:ext uri="{FF2B5EF4-FFF2-40B4-BE49-F238E27FC236}">
                  <a16:creationId xmlns:a16="http://schemas.microsoft.com/office/drawing/2014/main" id="{00000000-0008-0000-2F00-000011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986642" name="Check Box 18" hidden="1">
              <a:extLst>
                <a:ext uri="{63B3BB69-23CF-44E3-9099-C40C66FF867C}">
                  <a14:compatExt spid="_x0000_s24986642"/>
                </a:ext>
                <a:ext uri="{FF2B5EF4-FFF2-40B4-BE49-F238E27FC236}">
                  <a16:creationId xmlns:a16="http://schemas.microsoft.com/office/drawing/2014/main" id="{00000000-0008-0000-2F00-000012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986643" name="Check Box 19" hidden="1">
              <a:extLst>
                <a:ext uri="{63B3BB69-23CF-44E3-9099-C40C66FF867C}">
                  <a14:compatExt spid="_x0000_s24986643"/>
                </a:ext>
                <a:ext uri="{FF2B5EF4-FFF2-40B4-BE49-F238E27FC236}">
                  <a16:creationId xmlns:a16="http://schemas.microsoft.com/office/drawing/2014/main" id="{00000000-0008-0000-2F00-000013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986644" name="Check Box 20" hidden="1">
              <a:extLst>
                <a:ext uri="{63B3BB69-23CF-44E3-9099-C40C66FF867C}">
                  <a14:compatExt spid="_x0000_s24986644"/>
                </a:ext>
                <a:ext uri="{FF2B5EF4-FFF2-40B4-BE49-F238E27FC236}">
                  <a16:creationId xmlns:a16="http://schemas.microsoft.com/office/drawing/2014/main" id="{00000000-0008-0000-2F00-000014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986645" name="Check Box 21" hidden="1">
              <a:extLst>
                <a:ext uri="{63B3BB69-23CF-44E3-9099-C40C66FF867C}">
                  <a14:compatExt spid="_x0000_s24986645"/>
                </a:ext>
                <a:ext uri="{FF2B5EF4-FFF2-40B4-BE49-F238E27FC236}">
                  <a16:creationId xmlns:a16="http://schemas.microsoft.com/office/drawing/2014/main" id="{00000000-0008-0000-2F00-000015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986646" name="Check Box 22" hidden="1">
              <a:extLst>
                <a:ext uri="{63B3BB69-23CF-44E3-9099-C40C66FF867C}">
                  <a14:compatExt spid="_x0000_s24986646"/>
                </a:ext>
                <a:ext uri="{FF2B5EF4-FFF2-40B4-BE49-F238E27FC236}">
                  <a16:creationId xmlns:a16="http://schemas.microsoft.com/office/drawing/2014/main" id="{00000000-0008-0000-2F00-000016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986647" name="Check Box 23" hidden="1">
              <a:extLst>
                <a:ext uri="{63B3BB69-23CF-44E3-9099-C40C66FF867C}">
                  <a14:compatExt spid="_x0000_s24986647"/>
                </a:ext>
                <a:ext uri="{FF2B5EF4-FFF2-40B4-BE49-F238E27FC236}">
                  <a16:creationId xmlns:a16="http://schemas.microsoft.com/office/drawing/2014/main" id="{00000000-0008-0000-2F00-000017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986648" name="Check Box 24" hidden="1">
              <a:extLst>
                <a:ext uri="{63B3BB69-23CF-44E3-9099-C40C66FF867C}">
                  <a14:compatExt spid="_x0000_s24986648"/>
                </a:ext>
                <a:ext uri="{FF2B5EF4-FFF2-40B4-BE49-F238E27FC236}">
                  <a16:creationId xmlns:a16="http://schemas.microsoft.com/office/drawing/2014/main" id="{00000000-0008-0000-2F00-000018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986649" name="Check Box 25" hidden="1">
              <a:extLst>
                <a:ext uri="{63B3BB69-23CF-44E3-9099-C40C66FF867C}">
                  <a14:compatExt spid="_x0000_s24986649"/>
                </a:ext>
                <a:ext uri="{FF2B5EF4-FFF2-40B4-BE49-F238E27FC236}">
                  <a16:creationId xmlns:a16="http://schemas.microsoft.com/office/drawing/2014/main" id="{00000000-0008-0000-2F00-000019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986650" name="Check Box 26" hidden="1">
              <a:extLst>
                <a:ext uri="{63B3BB69-23CF-44E3-9099-C40C66FF867C}">
                  <a14:compatExt spid="_x0000_s24986650"/>
                </a:ext>
                <a:ext uri="{FF2B5EF4-FFF2-40B4-BE49-F238E27FC236}">
                  <a16:creationId xmlns:a16="http://schemas.microsoft.com/office/drawing/2014/main" id="{00000000-0008-0000-2F00-00001A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986651" name="Check Box 27" hidden="1">
              <a:extLst>
                <a:ext uri="{63B3BB69-23CF-44E3-9099-C40C66FF867C}">
                  <a14:compatExt spid="_x0000_s24986651"/>
                </a:ext>
                <a:ext uri="{FF2B5EF4-FFF2-40B4-BE49-F238E27FC236}">
                  <a16:creationId xmlns:a16="http://schemas.microsoft.com/office/drawing/2014/main" id="{00000000-0008-0000-2F00-00001B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986652" name="Button 28" hidden="1">
              <a:extLst>
                <a:ext uri="{63B3BB69-23CF-44E3-9099-C40C66FF867C}">
                  <a14:compatExt spid="_x0000_s24986652"/>
                </a:ext>
                <a:ext uri="{FF2B5EF4-FFF2-40B4-BE49-F238E27FC236}">
                  <a16:creationId xmlns:a16="http://schemas.microsoft.com/office/drawing/2014/main" id="{00000000-0008-0000-2F00-00001C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986653" name="Button 29" hidden="1">
              <a:extLst>
                <a:ext uri="{63B3BB69-23CF-44E3-9099-C40C66FF867C}">
                  <a14:compatExt spid="_x0000_s24986653"/>
                </a:ext>
                <a:ext uri="{FF2B5EF4-FFF2-40B4-BE49-F238E27FC236}">
                  <a16:creationId xmlns:a16="http://schemas.microsoft.com/office/drawing/2014/main" id="{00000000-0008-0000-2F00-00001D447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986654" name="Check Box 30" hidden="1">
              <a:extLst>
                <a:ext uri="{63B3BB69-23CF-44E3-9099-C40C66FF867C}">
                  <a14:compatExt spid="_x0000_s24986654"/>
                </a:ext>
                <a:ext uri="{FF2B5EF4-FFF2-40B4-BE49-F238E27FC236}">
                  <a16:creationId xmlns:a16="http://schemas.microsoft.com/office/drawing/2014/main" id="{00000000-0008-0000-2F00-00001E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986655" name="Check Box 31" hidden="1">
              <a:extLst>
                <a:ext uri="{63B3BB69-23CF-44E3-9099-C40C66FF867C}">
                  <a14:compatExt spid="_x0000_s24986655"/>
                </a:ext>
                <a:ext uri="{FF2B5EF4-FFF2-40B4-BE49-F238E27FC236}">
                  <a16:creationId xmlns:a16="http://schemas.microsoft.com/office/drawing/2014/main" id="{00000000-0008-0000-2F00-00001F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986656" name="Check Box 32" hidden="1">
              <a:extLst>
                <a:ext uri="{63B3BB69-23CF-44E3-9099-C40C66FF867C}">
                  <a14:compatExt spid="_x0000_s24986656"/>
                </a:ext>
                <a:ext uri="{FF2B5EF4-FFF2-40B4-BE49-F238E27FC236}">
                  <a16:creationId xmlns:a16="http://schemas.microsoft.com/office/drawing/2014/main" id="{00000000-0008-0000-2F00-000020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986657" name="Check Box 33" hidden="1">
              <a:extLst>
                <a:ext uri="{63B3BB69-23CF-44E3-9099-C40C66FF867C}">
                  <a14:compatExt spid="_x0000_s24986657"/>
                </a:ext>
                <a:ext uri="{FF2B5EF4-FFF2-40B4-BE49-F238E27FC236}">
                  <a16:creationId xmlns:a16="http://schemas.microsoft.com/office/drawing/2014/main" id="{00000000-0008-0000-2F00-000021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986658" name="Check Box 34" hidden="1">
              <a:extLst>
                <a:ext uri="{63B3BB69-23CF-44E3-9099-C40C66FF867C}">
                  <a14:compatExt spid="_x0000_s24986658"/>
                </a:ext>
                <a:ext uri="{FF2B5EF4-FFF2-40B4-BE49-F238E27FC236}">
                  <a16:creationId xmlns:a16="http://schemas.microsoft.com/office/drawing/2014/main" id="{00000000-0008-0000-2F00-000022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986659" name="Check Box 35" hidden="1">
              <a:extLst>
                <a:ext uri="{63B3BB69-23CF-44E3-9099-C40C66FF867C}">
                  <a14:compatExt spid="_x0000_s24986659"/>
                </a:ext>
                <a:ext uri="{FF2B5EF4-FFF2-40B4-BE49-F238E27FC236}">
                  <a16:creationId xmlns:a16="http://schemas.microsoft.com/office/drawing/2014/main" id="{00000000-0008-0000-2F00-000023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986660" name="Check Box 36" hidden="1">
              <a:extLst>
                <a:ext uri="{63B3BB69-23CF-44E3-9099-C40C66FF867C}">
                  <a14:compatExt spid="_x0000_s24986660"/>
                </a:ext>
                <a:ext uri="{FF2B5EF4-FFF2-40B4-BE49-F238E27FC236}">
                  <a16:creationId xmlns:a16="http://schemas.microsoft.com/office/drawing/2014/main" id="{00000000-0008-0000-2F00-000024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986661" name="Check Box 37" hidden="1">
              <a:extLst>
                <a:ext uri="{63B3BB69-23CF-44E3-9099-C40C66FF867C}">
                  <a14:compatExt spid="_x0000_s24986661"/>
                </a:ext>
                <a:ext uri="{FF2B5EF4-FFF2-40B4-BE49-F238E27FC236}">
                  <a16:creationId xmlns:a16="http://schemas.microsoft.com/office/drawing/2014/main" id="{00000000-0008-0000-2F00-000025447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B350CE6-BF87-413C-A635-1D2DE3419A3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F146E9B-2D59-4E7D-8DB0-E0FB4F034C7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550401" name="Check Box 1" hidden="1">
              <a:extLst>
                <a:ext uri="{63B3BB69-23CF-44E3-9099-C40C66FF867C}">
                  <a14:compatExt spid="_x0000_s24550401"/>
                </a:ext>
                <a:ext uri="{FF2B5EF4-FFF2-40B4-BE49-F238E27FC236}">
                  <a16:creationId xmlns:a16="http://schemas.microsoft.com/office/drawing/2014/main" id="{00000000-0008-0000-3000-000001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550402" name="Check Box 2" hidden="1">
              <a:extLst>
                <a:ext uri="{63B3BB69-23CF-44E3-9099-C40C66FF867C}">
                  <a14:compatExt spid="_x0000_s24550402"/>
                </a:ext>
                <a:ext uri="{FF2B5EF4-FFF2-40B4-BE49-F238E27FC236}">
                  <a16:creationId xmlns:a16="http://schemas.microsoft.com/office/drawing/2014/main" id="{00000000-0008-0000-3000-000002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550403" name="Check Box 3" hidden="1">
              <a:extLst>
                <a:ext uri="{63B3BB69-23CF-44E3-9099-C40C66FF867C}">
                  <a14:compatExt spid="_x0000_s24550403"/>
                </a:ext>
                <a:ext uri="{FF2B5EF4-FFF2-40B4-BE49-F238E27FC236}">
                  <a16:creationId xmlns:a16="http://schemas.microsoft.com/office/drawing/2014/main" id="{00000000-0008-0000-3000-000003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550404" name="Check Box 4" hidden="1">
              <a:extLst>
                <a:ext uri="{63B3BB69-23CF-44E3-9099-C40C66FF867C}">
                  <a14:compatExt spid="_x0000_s24550404"/>
                </a:ext>
                <a:ext uri="{FF2B5EF4-FFF2-40B4-BE49-F238E27FC236}">
                  <a16:creationId xmlns:a16="http://schemas.microsoft.com/office/drawing/2014/main" id="{00000000-0008-0000-3000-000004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550405" name="Check Box 5" hidden="1">
              <a:extLst>
                <a:ext uri="{63B3BB69-23CF-44E3-9099-C40C66FF867C}">
                  <a14:compatExt spid="_x0000_s24550405"/>
                </a:ext>
                <a:ext uri="{FF2B5EF4-FFF2-40B4-BE49-F238E27FC236}">
                  <a16:creationId xmlns:a16="http://schemas.microsoft.com/office/drawing/2014/main" id="{00000000-0008-0000-3000-000005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550406" name="Check Box 6" hidden="1">
              <a:extLst>
                <a:ext uri="{63B3BB69-23CF-44E3-9099-C40C66FF867C}">
                  <a14:compatExt spid="_x0000_s24550406"/>
                </a:ext>
                <a:ext uri="{FF2B5EF4-FFF2-40B4-BE49-F238E27FC236}">
                  <a16:creationId xmlns:a16="http://schemas.microsoft.com/office/drawing/2014/main" id="{00000000-0008-0000-3000-000006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550407" name="Check Box 7" hidden="1">
              <a:extLst>
                <a:ext uri="{63B3BB69-23CF-44E3-9099-C40C66FF867C}">
                  <a14:compatExt spid="_x0000_s24550407"/>
                </a:ext>
                <a:ext uri="{FF2B5EF4-FFF2-40B4-BE49-F238E27FC236}">
                  <a16:creationId xmlns:a16="http://schemas.microsoft.com/office/drawing/2014/main" id="{00000000-0008-0000-3000-000007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550408" name="Button 8" hidden="1">
              <a:extLst>
                <a:ext uri="{63B3BB69-23CF-44E3-9099-C40C66FF867C}">
                  <a14:compatExt spid="_x0000_s24550408"/>
                </a:ext>
                <a:ext uri="{FF2B5EF4-FFF2-40B4-BE49-F238E27FC236}">
                  <a16:creationId xmlns:a16="http://schemas.microsoft.com/office/drawing/2014/main" id="{00000000-0008-0000-3000-0000089C7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550409" name="Button 9" hidden="1">
              <a:extLst>
                <a:ext uri="{63B3BB69-23CF-44E3-9099-C40C66FF867C}">
                  <a14:compatExt spid="_x0000_s24550409"/>
                </a:ext>
                <a:ext uri="{FF2B5EF4-FFF2-40B4-BE49-F238E27FC236}">
                  <a16:creationId xmlns:a16="http://schemas.microsoft.com/office/drawing/2014/main" id="{00000000-0008-0000-3000-0000099C7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550410" name="Check Box 10" hidden="1">
              <a:extLst>
                <a:ext uri="{63B3BB69-23CF-44E3-9099-C40C66FF867C}">
                  <a14:compatExt spid="_x0000_s24550410"/>
                </a:ext>
                <a:ext uri="{FF2B5EF4-FFF2-40B4-BE49-F238E27FC236}">
                  <a16:creationId xmlns:a16="http://schemas.microsoft.com/office/drawing/2014/main" id="{00000000-0008-0000-3000-00000A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550411" name="Button 11" hidden="1">
              <a:extLst>
                <a:ext uri="{63B3BB69-23CF-44E3-9099-C40C66FF867C}">
                  <a14:compatExt spid="_x0000_s24550411"/>
                </a:ext>
                <a:ext uri="{FF2B5EF4-FFF2-40B4-BE49-F238E27FC236}">
                  <a16:creationId xmlns:a16="http://schemas.microsoft.com/office/drawing/2014/main" id="{00000000-0008-0000-3000-00000B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550412" name="Button 12" hidden="1">
              <a:extLst>
                <a:ext uri="{63B3BB69-23CF-44E3-9099-C40C66FF867C}">
                  <a14:compatExt spid="_x0000_s24550412"/>
                </a:ext>
                <a:ext uri="{FF2B5EF4-FFF2-40B4-BE49-F238E27FC236}">
                  <a16:creationId xmlns:a16="http://schemas.microsoft.com/office/drawing/2014/main" id="{00000000-0008-0000-3000-00000C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550413" name="Button 13" hidden="1">
              <a:extLst>
                <a:ext uri="{63B3BB69-23CF-44E3-9099-C40C66FF867C}">
                  <a14:compatExt spid="_x0000_s24550413"/>
                </a:ext>
                <a:ext uri="{FF2B5EF4-FFF2-40B4-BE49-F238E27FC236}">
                  <a16:creationId xmlns:a16="http://schemas.microsoft.com/office/drawing/2014/main" id="{00000000-0008-0000-3000-00000D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550414" name="Button 14" hidden="1">
              <a:extLst>
                <a:ext uri="{63B3BB69-23CF-44E3-9099-C40C66FF867C}">
                  <a14:compatExt spid="_x0000_s24550414"/>
                </a:ext>
                <a:ext uri="{FF2B5EF4-FFF2-40B4-BE49-F238E27FC236}">
                  <a16:creationId xmlns:a16="http://schemas.microsoft.com/office/drawing/2014/main" id="{00000000-0008-0000-3000-00000E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550415" name="Check Box 15" hidden="1">
              <a:extLst>
                <a:ext uri="{63B3BB69-23CF-44E3-9099-C40C66FF867C}">
                  <a14:compatExt spid="_x0000_s24550415"/>
                </a:ext>
                <a:ext uri="{FF2B5EF4-FFF2-40B4-BE49-F238E27FC236}">
                  <a16:creationId xmlns:a16="http://schemas.microsoft.com/office/drawing/2014/main" id="{00000000-0008-0000-3000-00000F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550416" name="Check Box 16" hidden="1">
              <a:extLst>
                <a:ext uri="{63B3BB69-23CF-44E3-9099-C40C66FF867C}">
                  <a14:compatExt spid="_x0000_s24550416"/>
                </a:ext>
                <a:ext uri="{FF2B5EF4-FFF2-40B4-BE49-F238E27FC236}">
                  <a16:creationId xmlns:a16="http://schemas.microsoft.com/office/drawing/2014/main" id="{00000000-0008-0000-3000-000010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550417" name="Check Box 17" hidden="1">
              <a:extLst>
                <a:ext uri="{63B3BB69-23CF-44E3-9099-C40C66FF867C}">
                  <a14:compatExt spid="_x0000_s24550417"/>
                </a:ext>
                <a:ext uri="{FF2B5EF4-FFF2-40B4-BE49-F238E27FC236}">
                  <a16:creationId xmlns:a16="http://schemas.microsoft.com/office/drawing/2014/main" id="{00000000-0008-0000-3000-000011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550418" name="Check Box 18" hidden="1">
              <a:extLst>
                <a:ext uri="{63B3BB69-23CF-44E3-9099-C40C66FF867C}">
                  <a14:compatExt spid="_x0000_s24550418"/>
                </a:ext>
                <a:ext uri="{FF2B5EF4-FFF2-40B4-BE49-F238E27FC236}">
                  <a16:creationId xmlns:a16="http://schemas.microsoft.com/office/drawing/2014/main" id="{00000000-0008-0000-3000-000012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550419" name="Check Box 19" hidden="1">
              <a:extLst>
                <a:ext uri="{63B3BB69-23CF-44E3-9099-C40C66FF867C}">
                  <a14:compatExt spid="_x0000_s24550419"/>
                </a:ext>
                <a:ext uri="{FF2B5EF4-FFF2-40B4-BE49-F238E27FC236}">
                  <a16:creationId xmlns:a16="http://schemas.microsoft.com/office/drawing/2014/main" id="{00000000-0008-0000-3000-000013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550420" name="Check Box 20" hidden="1">
              <a:extLst>
                <a:ext uri="{63B3BB69-23CF-44E3-9099-C40C66FF867C}">
                  <a14:compatExt spid="_x0000_s24550420"/>
                </a:ext>
                <a:ext uri="{FF2B5EF4-FFF2-40B4-BE49-F238E27FC236}">
                  <a16:creationId xmlns:a16="http://schemas.microsoft.com/office/drawing/2014/main" id="{00000000-0008-0000-3000-000014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550421" name="Check Box 21" hidden="1">
              <a:extLst>
                <a:ext uri="{63B3BB69-23CF-44E3-9099-C40C66FF867C}">
                  <a14:compatExt spid="_x0000_s24550421"/>
                </a:ext>
                <a:ext uri="{FF2B5EF4-FFF2-40B4-BE49-F238E27FC236}">
                  <a16:creationId xmlns:a16="http://schemas.microsoft.com/office/drawing/2014/main" id="{00000000-0008-0000-3000-000015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550422" name="Check Box 22" hidden="1">
              <a:extLst>
                <a:ext uri="{63B3BB69-23CF-44E3-9099-C40C66FF867C}">
                  <a14:compatExt spid="_x0000_s24550422"/>
                </a:ext>
                <a:ext uri="{FF2B5EF4-FFF2-40B4-BE49-F238E27FC236}">
                  <a16:creationId xmlns:a16="http://schemas.microsoft.com/office/drawing/2014/main" id="{00000000-0008-0000-3000-000016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550423" name="Check Box 23" hidden="1">
              <a:extLst>
                <a:ext uri="{63B3BB69-23CF-44E3-9099-C40C66FF867C}">
                  <a14:compatExt spid="_x0000_s24550423"/>
                </a:ext>
                <a:ext uri="{FF2B5EF4-FFF2-40B4-BE49-F238E27FC236}">
                  <a16:creationId xmlns:a16="http://schemas.microsoft.com/office/drawing/2014/main" id="{00000000-0008-0000-3000-000017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550424" name="Check Box 24" hidden="1">
              <a:extLst>
                <a:ext uri="{63B3BB69-23CF-44E3-9099-C40C66FF867C}">
                  <a14:compatExt spid="_x0000_s24550424"/>
                </a:ext>
                <a:ext uri="{FF2B5EF4-FFF2-40B4-BE49-F238E27FC236}">
                  <a16:creationId xmlns:a16="http://schemas.microsoft.com/office/drawing/2014/main" id="{00000000-0008-0000-3000-000018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550425" name="Check Box 25" hidden="1">
              <a:extLst>
                <a:ext uri="{63B3BB69-23CF-44E3-9099-C40C66FF867C}">
                  <a14:compatExt spid="_x0000_s24550425"/>
                </a:ext>
                <a:ext uri="{FF2B5EF4-FFF2-40B4-BE49-F238E27FC236}">
                  <a16:creationId xmlns:a16="http://schemas.microsoft.com/office/drawing/2014/main" id="{00000000-0008-0000-3000-000019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550426" name="Check Box 26" hidden="1">
              <a:extLst>
                <a:ext uri="{63B3BB69-23CF-44E3-9099-C40C66FF867C}">
                  <a14:compatExt spid="_x0000_s24550426"/>
                </a:ext>
                <a:ext uri="{FF2B5EF4-FFF2-40B4-BE49-F238E27FC236}">
                  <a16:creationId xmlns:a16="http://schemas.microsoft.com/office/drawing/2014/main" id="{00000000-0008-0000-3000-00001A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550427" name="Check Box 27" hidden="1">
              <a:extLst>
                <a:ext uri="{63B3BB69-23CF-44E3-9099-C40C66FF867C}">
                  <a14:compatExt spid="_x0000_s24550427"/>
                </a:ext>
                <a:ext uri="{FF2B5EF4-FFF2-40B4-BE49-F238E27FC236}">
                  <a16:creationId xmlns:a16="http://schemas.microsoft.com/office/drawing/2014/main" id="{00000000-0008-0000-3000-00001B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550428" name="Button 28" hidden="1">
              <a:extLst>
                <a:ext uri="{63B3BB69-23CF-44E3-9099-C40C66FF867C}">
                  <a14:compatExt spid="_x0000_s24550428"/>
                </a:ext>
                <a:ext uri="{FF2B5EF4-FFF2-40B4-BE49-F238E27FC236}">
                  <a16:creationId xmlns:a16="http://schemas.microsoft.com/office/drawing/2014/main" id="{00000000-0008-0000-3000-00001C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550429" name="Button 29" hidden="1">
              <a:extLst>
                <a:ext uri="{63B3BB69-23CF-44E3-9099-C40C66FF867C}">
                  <a14:compatExt spid="_x0000_s24550429"/>
                </a:ext>
                <a:ext uri="{FF2B5EF4-FFF2-40B4-BE49-F238E27FC236}">
                  <a16:creationId xmlns:a16="http://schemas.microsoft.com/office/drawing/2014/main" id="{00000000-0008-0000-3000-00001D9C7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550430" name="Check Box 30" hidden="1">
              <a:extLst>
                <a:ext uri="{63B3BB69-23CF-44E3-9099-C40C66FF867C}">
                  <a14:compatExt spid="_x0000_s24550430"/>
                </a:ext>
                <a:ext uri="{FF2B5EF4-FFF2-40B4-BE49-F238E27FC236}">
                  <a16:creationId xmlns:a16="http://schemas.microsoft.com/office/drawing/2014/main" id="{00000000-0008-0000-3000-00001E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550431" name="Check Box 31" hidden="1">
              <a:extLst>
                <a:ext uri="{63B3BB69-23CF-44E3-9099-C40C66FF867C}">
                  <a14:compatExt spid="_x0000_s24550431"/>
                </a:ext>
                <a:ext uri="{FF2B5EF4-FFF2-40B4-BE49-F238E27FC236}">
                  <a16:creationId xmlns:a16="http://schemas.microsoft.com/office/drawing/2014/main" id="{00000000-0008-0000-3000-00001F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550432" name="Check Box 32" hidden="1">
              <a:extLst>
                <a:ext uri="{63B3BB69-23CF-44E3-9099-C40C66FF867C}">
                  <a14:compatExt spid="_x0000_s24550432"/>
                </a:ext>
                <a:ext uri="{FF2B5EF4-FFF2-40B4-BE49-F238E27FC236}">
                  <a16:creationId xmlns:a16="http://schemas.microsoft.com/office/drawing/2014/main" id="{00000000-0008-0000-3000-000020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550433" name="Check Box 33" hidden="1">
              <a:extLst>
                <a:ext uri="{63B3BB69-23CF-44E3-9099-C40C66FF867C}">
                  <a14:compatExt spid="_x0000_s24550433"/>
                </a:ext>
                <a:ext uri="{FF2B5EF4-FFF2-40B4-BE49-F238E27FC236}">
                  <a16:creationId xmlns:a16="http://schemas.microsoft.com/office/drawing/2014/main" id="{00000000-0008-0000-3000-000021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550434" name="Check Box 34" hidden="1">
              <a:extLst>
                <a:ext uri="{63B3BB69-23CF-44E3-9099-C40C66FF867C}">
                  <a14:compatExt spid="_x0000_s24550434"/>
                </a:ext>
                <a:ext uri="{FF2B5EF4-FFF2-40B4-BE49-F238E27FC236}">
                  <a16:creationId xmlns:a16="http://schemas.microsoft.com/office/drawing/2014/main" id="{00000000-0008-0000-3000-000022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550435" name="Check Box 35" hidden="1">
              <a:extLst>
                <a:ext uri="{63B3BB69-23CF-44E3-9099-C40C66FF867C}">
                  <a14:compatExt spid="_x0000_s24550435"/>
                </a:ext>
                <a:ext uri="{FF2B5EF4-FFF2-40B4-BE49-F238E27FC236}">
                  <a16:creationId xmlns:a16="http://schemas.microsoft.com/office/drawing/2014/main" id="{00000000-0008-0000-3000-000023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550436" name="Check Box 36" hidden="1">
              <a:extLst>
                <a:ext uri="{63B3BB69-23CF-44E3-9099-C40C66FF867C}">
                  <a14:compatExt spid="_x0000_s24550436"/>
                </a:ext>
                <a:ext uri="{FF2B5EF4-FFF2-40B4-BE49-F238E27FC236}">
                  <a16:creationId xmlns:a16="http://schemas.microsoft.com/office/drawing/2014/main" id="{00000000-0008-0000-3000-000024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550437" name="Check Box 37" hidden="1">
              <a:extLst>
                <a:ext uri="{63B3BB69-23CF-44E3-9099-C40C66FF867C}">
                  <a14:compatExt spid="_x0000_s24550437"/>
                </a:ext>
                <a:ext uri="{FF2B5EF4-FFF2-40B4-BE49-F238E27FC236}">
                  <a16:creationId xmlns:a16="http://schemas.microsoft.com/office/drawing/2014/main" id="{00000000-0008-0000-3000-0000259C7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17B50F4B-58A7-463B-8671-C69FB9DEEEF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9AE4A16-F273-42BB-BCC1-1B4CABEA9151}"/>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130561" name="Check Box 1" hidden="1">
              <a:extLst>
                <a:ext uri="{63B3BB69-23CF-44E3-9099-C40C66FF867C}">
                  <a14:compatExt spid="_x0000_s24130561"/>
                </a:ext>
                <a:ext uri="{FF2B5EF4-FFF2-40B4-BE49-F238E27FC236}">
                  <a16:creationId xmlns:a16="http://schemas.microsoft.com/office/drawing/2014/main" id="{00000000-0008-0000-3100-000001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130562" name="Check Box 2" hidden="1">
              <a:extLst>
                <a:ext uri="{63B3BB69-23CF-44E3-9099-C40C66FF867C}">
                  <a14:compatExt spid="_x0000_s24130562"/>
                </a:ext>
                <a:ext uri="{FF2B5EF4-FFF2-40B4-BE49-F238E27FC236}">
                  <a16:creationId xmlns:a16="http://schemas.microsoft.com/office/drawing/2014/main" id="{00000000-0008-0000-3100-000002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130563" name="Check Box 3" hidden="1">
              <a:extLst>
                <a:ext uri="{63B3BB69-23CF-44E3-9099-C40C66FF867C}">
                  <a14:compatExt spid="_x0000_s24130563"/>
                </a:ext>
                <a:ext uri="{FF2B5EF4-FFF2-40B4-BE49-F238E27FC236}">
                  <a16:creationId xmlns:a16="http://schemas.microsoft.com/office/drawing/2014/main" id="{00000000-0008-0000-3100-000003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130564" name="Check Box 4" hidden="1">
              <a:extLst>
                <a:ext uri="{63B3BB69-23CF-44E3-9099-C40C66FF867C}">
                  <a14:compatExt spid="_x0000_s24130564"/>
                </a:ext>
                <a:ext uri="{FF2B5EF4-FFF2-40B4-BE49-F238E27FC236}">
                  <a16:creationId xmlns:a16="http://schemas.microsoft.com/office/drawing/2014/main" id="{00000000-0008-0000-3100-000004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130565" name="Check Box 5" hidden="1">
              <a:extLst>
                <a:ext uri="{63B3BB69-23CF-44E3-9099-C40C66FF867C}">
                  <a14:compatExt spid="_x0000_s24130565"/>
                </a:ext>
                <a:ext uri="{FF2B5EF4-FFF2-40B4-BE49-F238E27FC236}">
                  <a16:creationId xmlns:a16="http://schemas.microsoft.com/office/drawing/2014/main" id="{00000000-0008-0000-3100-000005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130566" name="Check Box 6" hidden="1">
              <a:extLst>
                <a:ext uri="{63B3BB69-23CF-44E3-9099-C40C66FF867C}">
                  <a14:compatExt spid="_x0000_s24130566"/>
                </a:ext>
                <a:ext uri="{FF2B5EF4-FFF2-40B4-BE49-F238E27FC236}">
                  <a16:creationId xmlns:a16="http://schemas.microsoft.com/office/drawing/2014/main" id="{00000000-0008-0000-3100-000006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130567" name="Check Box 7" hidden="1">
              <a:extLst>
                <a:ext uri="{63B3BB69-23CF-44E3-9099-C40C66FF867C}">
                  <a14:compatExt spid="_x0000_s24130567"/>
                </a:ext>
                <a:ext uri="{FF2B5EF4-FFF2-40B4-BE49-F238E27FC236}">
                  <a16:creationId xmlns:a16="http://schemas.microsoft.com/office/drawing/2014/main" id="{00000000-0008-0000-3100-000007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130568" name="Button 8" hidden="1">
              <a:extLst>
                <a:ext uri="{63B3BB69-23CF-44E3-9099-C40C66FF867C}">
                  <a14:compatExt spid="_x0000_s24130568"/>
                </a:ext>
                <a:ext uri="{FF2B5EF4-FFF2-40B4-BE49-F238E27FC236}">
                  <a16:creationId xmlns:a16="http://schemas.microsoft.com/office/drawing/2014/main" id="{00000000-0008-0000-3100-000008347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130569" name="Button 9" hidden="1">
              <a:extLst>
                <a:ext uri="{63B3BB69-23CF-44E3-9099-C40C66FF867C}">
                  <a14:compatExt spid="_x0000_s24130569"/>
                </a:ext>
                <a:ext uri="{FF2B5EF4-FFF2-40B4-BE49-F238E27FC236}">
                  <a16:creationId xmlns:a16="http://schemas.microsoft.com/office/drawing/2014/main" id="{00000000-0008-0000-3100-000009347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130570" name="Check Box 10" hidden="1">
              <a:extLst>
                <a:ext uri="{63B3BB69-23CF-44E3-9099-C40C66FF867C}">
                  <a14:compatExt spid="_x0000_s24130570"/>
                </a:ext>
                <a:ext uri="{FF2B5EF4-FFF2-40B4-BE49-F238E27FC236}">
                  <a16:creationId xmlns:a16="http://schemas.microsoft.com/office/drawing/2014/main" id="{00000000-0008-0000-3100-00000A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130571" name="Button 11" hidden="1">
              <a:extLst>
                <a:ext uri="{63B3BB69-23CF-44E3-9099-C40C66FF867C}">
                  <a14:compatExt spid="_x0000_s24130571"/>
                </a:ext>
                <a:ext uri="{FF2B5EF4-FFF2-40B4-BE49-F238E27FC236}">
                  <a16:creationId xmlns:a16="http://schemas.microsoft.com/office/drawing/2014/main" id="{00000000-0008-0000-3100-00000B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130572" name="Button 12" hidden="1">
              <a:extLst>
                <a:ext uri="{63B3BB69-23CF-44E3-9099-C40C66FF867C}">
                  <a14:compatExt spid="_x0000_s24130572"/>
                </a:ext>
                <a:ext uri="{FF2B5EF4-FFF2-40B4-BE49-F238E27FC236}">
                  <a16:creationId xmlns:a16="http://schemas.microsoft.com/office/drawing/2014/main" id="{00000000-0008-0000-3100-00000C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130573" name="Button 13" hidden="1">
              <a:extLst>
                <a:ext uri="{63B3BB69-23CF-44E3-9099-C40C66FF867C}">
                  <a14:compatExt spid="_x0000_s24130573"/>
                </a:ext>
                <a:ext uri="{FF2B5EF4-FFF2-40B4-BE49-F238E27FC236}">
                  <a16:creationId xmlns:a16="http://schemas.microsoft.com/office/drawing/2014/main" id="{00000000-0008-0000-3100-00000D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130574" name="Button 14" hidden="1">
              <a:extLst>
                <a:ext uri="{63B3BB69-23CF-44E3-9099-C40C66FF867C}">
                  <a14:compatExt spid="_x0000_s24130574"/>
                </a:ext>
                <a:ext uri="{FF2B5EF4-FFF2-40B4-BE49-F238E27FC236}">
                  <a16:creationId xmlns:a16="http://schemas.microsoft.com/office/drawing/2014/main" id="{00000000-0008-0000-3100-00000E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130575" name="Check Box 15" hidden="1">
              <a:extLst>
                <a:ext uri="{63B3BB69-23CF-44E3-9099-C40C66FF867C}">
                  <a14:compatExt spid="_x0000_s24130575"/>
                </a:ext>
                <a:ext uri="{FF2B5EF4-FFF2-40B4-BE49-F238E27FC236}">
                  <a16:creationId xmlns:a16="http://schemas.microsoft.com/office/drawing/2014/main" id="{00000000-0008-0000-3100-00000F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130576" name="Check Box 16" hidden="1">
              <a:extLst>
                <a:ext uri="{63B3BB69-23CF-44E3-9099-C40C66FF867C}">
                  <a14:compatExt spid="_x0000_s24130576"/>
                </a:ext>
                <a:ext uri="{FF2B5EF4-FFF2-40B4-BE49-F238E27FC236}">
                  <a16:creationId xmlns:a16="http://schemas.microsoft.com/office/drawing/2014/main" id="{00000000-0008-0000-3100-000010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130577" name="Check Box 17" hidden="1">
              <a:extLst>
                <a:ext uri="{63B3BB69-23CF-44E3-9099-C40C66FF867C}">
                  <a14:compatExt spid="_x0000_s24130577"/>
                </a:ext>
                <a:ext uri="{FF2B5EF4-FFF2-40B4-BE49-F238E27FC236}">
                  <a16:creationId xmlns:a16="http://schemas.microsoft.com/office/drawing/2014/main" id="{00000000-0008-0000-3100-000011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130578" name="Check Box 18" hidden="1">
              <a:extLst>
                <a:ext uri="{63B3BB69-23CF-44E3-9099-C40C66FF867C}">
                  <a14:compatExt spid="_x0000_s24130578"/>
                </a:ext>
                <a:ext uri="{FF2B5EF4-FFF2-40B4-BE49-F238E27FC236}">
                  <a16:creationId xmlns:a16="http://schemas.microsoft.com/office/drawing/2014/main" id="{00000000-0008-0000-3100-000012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130579" name="Check Box 19" hidden="1">
              <a:extLst>
                <a:ext uri="{63B3BB69-23CF-44E3-9099-C40C66FF867C}">
                  <a14:compatExt spid="_x0000_s24130579"/>
                </a:ext>
                <a:ext uri="{FF2B5EF4-FFF2-40B4-BE49-F238E27FC236}">
                  <a16:creationId xmlns:a16="http://schemas.microsoft.com/office/drawing/2014/main" id="{00000000-0008-0000-3100-000013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130580" name="Check Box 20" hidden="1">
              <a:extLst>
                <a:ext uri="{63B3BB69-23CF-44E3-9099-C40C66FF867C}">
                  <a14:compatExt spid="_x0000_s24130580"/>
                </a:ext>
                <a:ext uri="{FF2B5EF4-FFF2-40B4-BE49-F238E27FC236}">
                  <a16:creationId xmlns:a16="http://schemas.microsoft.com/office/drawing/2014/main" id="{00000000-0008-0000-3100-000014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130581" name="Check Box 21" hidden="1">
              <a:extLst>
                <a:ext uri="{63B3BB69-23CF-44E3-9099-C40C66FF867C}">
                  <a14:compatExt spid="_x0000_s24130581"/>
                </a:ext>
                <a:ext uri="{FF2B5EF4-FFF2-40B4-BE49-F238E27FC236}">
                  <a16:creationId xmlns:a16="http://schemas.microsoft.com/office/drawing/2014/main" id="{00000000-0008-0000-3100-000015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130582" name="Check Box 22" hidden="1">
              <a:extLst>
                <a:ext uri="{63B3BB69-23CF-44E3-9099-C40C66FF867C}">
                  <a14:compatExt spid="_x0000_s24130582"/>
                </a:ext>
                <a:ext uri="{FF2B5EF4-FFF2-40B4-BE49-F238E27FC236}">
                  <a16:creationId xmlns:a16="http://schemas.microsoft.com/office/drawing/2014/main" id="{00000000-0008-0000-3100-000016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130583" name="Check Box 23" hidden="1">
              <a:extLst>
                <a:ext uri="{63B3BB69-23CF-44E3-9099-C40C66FF867C}">
                  <a14:compatExt spid="_x0000_s24130583"/>
                </a:ext>
                <a:ext uri="{FF2B5EF4-FFF2-40B4-BE49-F238E27FC236}">
                  <a16:creationId xmlns:a16="http://schemas.microsoft.com/office/drawing/2014/main" id="{00000000-0008-0000-3100-000017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130584" name="Check Box 24" hidden="1">
              <a:extLst>
                <a:ext uri="{63B3BB69-23CF-44E3-9099-C40C66FF867C}">
                  <a14:compatExt spid="_x0000_s24130584"/>
                </a:ext>
                <a:ext uri="{FF2B5EF4-FFF2-40B4-BE49-F238E27FC236}">
                  <a16:creationId xmlns:a16="http://schemas.microsoft.com/office/drawing/2014/main" id="{00000000-0008-0000-3100-000018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130585" name="Check Box 25" hidden="1">
              <a:extLst>
                <a:ext uri="{63B3BB69-23CF-44E3-9099-C40C66FF867C}">
                  <a14:compatExt spid="_x0000_s24130585"/>
                </a:ext>
                <a:ext uri="{FF2B5EF4-FFF2-40B4-BE49-F238E27FC236}">
                  <a16:creationId xmlns:a16="http://schemas.microsoft.com/office/drawing/2014/main" id="{00000000-0008-0000-3100-000019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130586" name="Check Box 26" hidden="1">
              <a:extLst>
                <a:ext uri="{63B3BB69-23CF-44E3-9099-C40C66FF867C}">
                  <a14:compatExt spid="_x0000_s24130586"/>
                </a:ext>
                <a:ext uri="{FF2B5EF4-FFF2-40B4-BE49-F238E27FC236}">
                  <a16:creationId xmlns:a16="http://schemas.microsoft.com/office/drawing/2014/main" id="{00000000-0008-0000-3100-00001A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130587" name="Check Box 27" hidden="1">
              <a:extLst>
                <a:ext uri="{63B3BB69-23CF-44E3-9099-C40C66FF867C}">
                  <a14:compatExt spid="_x0000_s24130587"/>
                </a:ext>
                <a:ext uri="{FF2B5EF4-FFF2-40B4-BE49-F238E27FC236}">
                  <a16:creationId xmlns:a16="http://schemas.microsoft.com/office/drawing/2014/main" id="{00000000-0008-0000-3100-00001B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130588" name="Button 28" hidden="1">
              <a:extLst>
                <a:ext uri="{63B3BB69-23CF-44E3-9099-C40C66FF867C}">
                  <a14:compatExt spid="_x0000_s24130588"/>
                </a:ext>
                <a:ext uri="{FF2B5EF4-FFF2-40B4-BE49-F238E27FC236}">
                  <a16:creationId xmlns:a16="http://schemas.microsoft.com/office/drawing/2014/main" id="{00000000-0008-0000-3100-00001C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130589" name="Button 29" hidden="1">
              <a:extLst>
                <a:ext uri="{63B3BB69-23CF-44E3-9099-C40C66FF867C}">
                  <a14:compatExt spid="_x0000_s24130589"/>
                </a:ext>
                <a:ext uri="{FF2B5EF4-FFF2-40B4-BE49-F238E27FC236}">
                  <a16:creationId xmlns:a16="http://schemas.microsoft.com/office/drawing/2014/main" id="{00000000-0008-0000-3100-00001D347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130590" name="Check Box 30" hidden="1">
              <a:extLst>
                <a:ext uri="{63B3BB69-23CF-44E3-9099-C40C66FF867C}">
                  <a14:compatExt spid="_x0000_s24130590"/>
                </a:ext>
                <a:ext uri="{FF2B5EF4-FFF2-40B4-BE49-F238E27FC236}">
                  <a16:creationId xmlns:a16="http://schemas.microsoft.com/office/drawing/2014/main" id="{00000000-0008-0000-3100-00001E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130591" name="Check Box 31" hidden="1">
              <a:extLst>
                <a:ext uri="{63B3BB69-23CF-44E3-9099-C40C66FF867C}">
                  <a14:compatExt spid="_x0000_s24130591"/>
                </a:ext>
                <a:ext uri="{FF2B5EF4-FFF2-40B4-BE49-F238E27FC236}">
                  <a16:creationId xmlns:a16="http://schemas.microsoft.com/office/drawing/2014/main" id="{00000000-0008-0000-3100-00001F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130592" name="Check Box 32" hidden="1">
              <a:extLst>
                <a:ext uri="{63B3BB69-23CF-44E3-9099-C40C66FF867C}">
                  <a14:compatExt spid="_x0000_s24130592"/>
                </a:ext>
                <a:ext uri="{FF2B5EF4-FFF2-40B4-BE49-F238E27FC236}">
                  <a16:creationId xmlns:a16="http://schemas.microsoft.com/office/drawing/2014/main" id="{00000000-0008-0000-3100-000020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130593" name="Check Box 33" hidden="1">
              <a:extLst>
                <a:ext uri="{63B3BB69-23CF-44E3-9099-C40C66FF867C}">
                  <a14:compatExt spid="_x0000_s24130593"/>
                </a:ext>
                <a:ext uri="{FF2B5EF4-FFF2-40B4-BE49-F238E27FC236}">
                  <a16:creationId xmlns:a16="http://schemas.microsoft.com/office/drawing/2014/main" id="{00000000-0008-0000-3100-000021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130594" name="Check Box 34" hidden="1">
              <a:extLst>
                <a:ext uri="{63B3BB69-23CF-44E3-9099-C40C66FF867C}">
                  <a14:compatExt spid="_x0000_s24130594"/>
                </a:ext>
                <a:ext uri="{FF2B5EF4-FFF2-40B4-BE49-F238E27FC236}">
                  <a16:creationId xmlns:a16="http://schemas.microsoft.com/office/drawing/2014/main" id="{00000000-0008-0000-3100-000022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130595" name="Check Box 35" hidden="1">
              <a:extLst>
                <a:ext uri="{63B3BB69-23CF-44E3-9099-C40C66FF867C}">
                  <a14:compatExt spid="_x0000_s24130595"/>
                </a:ext>
                <a:ext uri="{FF2B5EF4-FFF2-40B4-BE49-F238E27FC236}">
                  <a16:creationId xmlns:a16="http://schemas.microsoft.com/office/drawing/2014/main" id="{00000000-0008-0000-3100-000023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130596" name="Check Box 36" hidden="1">
              <a:extLst>
                <a:ext uri="{63B3BB69-23CF-44E3-9099-C40C66FF867C}">
                  <a14:compatExt spid="_x0000_s24130596"/>
                </a:ext>
                <a:ext uri="{FF2B5EF4-FFF2-40B4-BE49-F238E27FC236}">
                  <a16:creationId xmlns:a16="http://schemas.microsoft.com/office/drawing/2014/main" id="{00000000-0008-0000-3100-000024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130597" name="Check Box 37" hidden="1">
              <a:extLst>
                <a:ext uri="{63B3BB69-23CF-44E3-9099-C40C66FF867C}">
                  <a14:compatExt spid="_x0000_s24130597"/>
                </a:ext>
                <a:ext uri="{FF2B5EF4-FFF2-40B4-BE49-F238E27FC236}">
                  <a16:creationId xmlns:a16="http://schemas.microsoft.com/office/drawing/2014/main" id="{00000000-0008-0000-3100-000025347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6A0792DF-2A8A-4F73-8B85-2AF41A907A6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56B7D82-587C-498C-81A0-92A496F2A86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025089" name="Check Box 1" hidden="1">
              <a:extLst>
                <a:ext uri="{63B3BB69-23CF-44E3-9099-C40C66FF867C}">
                  <a14:compatExt spid="_x0000_s24025089"/>
                </a:ext>
                <a:ext uri="{FF2B5EF4-FFF2-40B4-BE49-F238E27FC236}">
                  <a16:creationId xmlns:a16="http://schemas.microsoft.com/office/drawing/2014/main" id="{00000000-0008-0000-3200-000001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025090" name="Check Box 2" hidden="1">
              <a:extLst>
                <a:ext uri="{63B3BB69-23CF-44E3-9099-C40C66FF867C}">
                  <a14:compatExt spid="_x0000_s24025090"/>
                </a:ext>
                <a:ext uri="{FF2B5EF4-FFF2-40B4-BE49-F238E27FC236}">
                  <a16:creationId xmlns:a16="http://schemas.microsoft.com/office/drawing/2014/main" id="{00000000-0008-0000-3200-000002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025091" name="Check Box 3" hidden="1">
              <a:extLst>
                <a:ext uri="{63B3BB69-23CF-44E3-9099-C40C66FF867C}">
                  <a14:compatExt spid="_x0000_s24025091"/>
                </a:ext>
                <a:ext uri="{FF2B5EF4-FFF2-40B4-BE49-F238E27FC236}">
                  <a16:creationId xmlns:a16="http://schemas.microsoft.com/office/drawing/2014/main" id="{00000000-0008-0000-3200-000003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025092" name="Check Box 4" hidden="1">
              <a:extLst>
                <a:ext uri="{63B3BB69-23CF-44E3-9099-C40C66FF867C}">
                  <a14:compatExt spid="_x0000_s24025092"/>
                </a:ext>
                <a:ext uri="{FF2B5EF4-FFF2-40B4-BE49-F238E27FC236}">
                  <a16:creationId xmlns:a16="http://schemas.microsoft.com/office/drawing/2014/main" id="{00000000-0008-0000-3200-000004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025093" name="Check Box 5" hidden="1">
              <a:extLst>
                <a:ext uri="{63B3BB69-23CF-44E3-9099-C40C66FF867C}">
                  <a14:compatExt spid="_x0000_s24025093"/>
                </a:ext>
                <a:ext uri="{FF2B5EF4-FFF2-40B4-BE49-F238E27FC236}">
                  <a16:creationId xmlns:a16="http://schemas.microsoft.com/office/drawing/2014/main" id="{00000000-0008-0000-3200-000005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025094" name="Check Box 6" hidden="1">
              <a:extLst>
                <a:ext uri="{63B3BB69-23CF-44E3-9099-C40C66FF867C}">
                  <a14:compatExt spid="_x0000_s24025094"/>
                </a:ext>
                <a:ext uri="{FF2B5EF4-FFF2-40B4-BE49-F238E27FC236}">
                  <a16:creationId xmlns:a16="http://schemas.microsoft.com/office/drawing/2014/main" id="{00000000-0008-0000-3200-000006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025095" name="Check Box 7" hidden="1">
              <a:extLst>
                <a:ext uri="{63B3BB69-23CF-44E3-9099-C40C66FF867C}">
                  <a14:compatExt spid="_x0000_s24025095"/>
                </a:ext>
                <a:ext uri="{FF2B5EF4-FFF2-40B4-BE49-F238E27FC236}">
                  <a16:creationId xmlns:a16="http://schemas.microsoft.com/office/drawing/2014/main" id="{00000000-0008-0000-3200-000007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025096" name="Button 8" hidden="1">
              <a:extLst>
                <a:ext uri="{63B3BB69-23CF-44E3-9099-C40C66FF867C}">
                  <a14:compatExt spid="_x0000_s24025096"/>
                </a:ext>
                <a:ext uri="{FF2B5EF4-FFF2-40B4-BE49-F238E27FC236}">
                  <a16:creationId xmlns:a16="http://schemas.microsoft.com/office/drawing/2014/main" id="{00000000-0008-0000-3200-0000089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025097" name="Button 9" hidden="1">
              <a:extLst>
                <a:ext uri="{63B3BB69-23CF-44E3-9099-C40C66FF867C}">
                  <a14:compatExt spid="_x0000_s24025097"/>
                </a:ext>
                <a:ext uri="{FF2B5EF4-FFF2-40B4-BE49-F238E27FC236}">
                  <a16:creationId xmlns:a16="http://schemas.microsoft.com/office/drawing/2014/main" id="{00000000-0008-0000-3200-0000099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025098" name="Check Box 10" hidden="1">
              <a:extLst>
                <a:ext uri="{63B3BB69-23CF-44E3-9099-C40C66FF867C}">
                  <a14:compatExt spid="_x0000_s24025098"/>
                </a:ext>
                <a:ext uri="{FF2B5EF4-FFF2-40B4-BE49-F238E27FC236}">
                  <a16:creationId xmlns:a16="http://schemas.microsoft.com/office/drawing/2014/main" id="{00000000-0008-0000-3200-00000A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025099" name="Button 11" hidden="1">
              <a:extLst>
                <a:ext uri="{63B3BB69-23CF-44E3-9099-C40C66FF867C}">
                  <a14:compatExt spid="_x0000_s24025099"/>
                </a:ext>
                <a:ext uri="{FF2B5EF4-FFF2-40B4-BE49-F238E27FC236}">
                  <a16:creationId xmlns:a16="http://schemas.microsoft.com/office/drawing/2014/main" id="{00000000-0008-0000-3200-00000B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025100" name="Button 12" hidden="1">
              <a:extLst>
                <a:ext uri="{63B3BB69-23CF-44E3-9099-C40C66FF867C}">
                  <a14:compatExt spid="_x0000_s24025100"/>
                </a:ext>
                <a:ext uri="{FF2B5EF4-FFF2-40B4-BE49-F238E27FC236}">
                  <a16:creationId xmlns:a16="http://schemas.microsoft.com/office/drawing/2014/main" id="{00000000-0008-0000-3200-00000C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025101" name="Button 13" hidden="1">
              <a:extLst>
                <a:ext uri="{63B3BB69-23CF-44E3-9099-C40C66FF867C}">
                  <a14:compatExt spid="_x0000_s24025101"/>
                </a:ext>
                <a:ext uri="{FF2B5EF4-FFF2-40B4-BE49-F238E27FC236}">
                  <a16:creationId xmlns:a16="http://schemas.microsoft.com/office/drawing/2014/main" id="{00000000-0008-0000-3200-00000D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025102" name="Button 14" hidden="1">
              <a:extLst>
                <a:ext uri="{63B3BB69-23CF-44E3-9099-C40C66FF867C}">
                  <a14:compatExt spid="_x0000_s24025102"/>
                </a:ext>
                <a:ext uri="{FF2B5EF4-FFF2-40B4-BE49-F238E27FC236}">
                  <a16:creationId xmlns:a16="http://schemas.microsoft.com/office/drawing/2014/main" id="{00000000-0008-0000-3200-00000E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025103" name="Check Box 15" hidden="1">
              <a:extLst>
                <a:ext uri="{63B3BB69-23CF-44E3-9099-C40C66FF867C}">
                  <a14:compatExt spid="_x0000_s24025103"/>
                </a:ext>
                <a:ext uri="{FF2B5EF4-FFF2-40B4-BE49-F238E27FC236}">
                  <a16:creationId xmlns:a16="http://schemas.microsoft.com/office/drawing/2014/main" id="{00000000-0008-0000-3200-00000F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025104" name="Check Box 16" hidden="1">
              <a:extLst>
                <a:ext uri="{63B3BB69-23CF-44E3-9099-C40C66FF867C}">
                  <a14:compatExt spid="_x0000_s24025104"/>
                </a:ext>
                <a:ext uri="{FF2B5EF4-FFF2-40B4-BE49-F238E27FC236}">
                  <a16:creationId xmlns:a16="http://schemas.microsoft.com/office/drawing/2014/main" id="{00000000-0008-0000-3200-000010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025105" name="Check Box 17" hidden="1">
              <a:extLst>
                <a:ext uri="{63B3BB69-23CF-44E3-9099-C40C66FF867C}">
                  <a14:compatExt spid="_x0000_s24025105"/>
                </a:ext>
                <a:ext uri="{FF2B5EF4-FFF2-40B4-BE49-F238E27FC236}">
                  <a16:creationId xmlns:a16="http://schemas.microsoft.com/office/drawing/2014/main" id="{00000000-0008-0000-3200-000011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025106" name="Check Box 18" hidden="1">
              <a:extLst>
                <a:ext uri="{63B3BB69-23CF-44E3-9099-C40C66FF867C}">
                  <a14:compatExt spid="_x0000_s24025106"/>
                </a:ext>
                <a:ext uri="{FF2B5EF4-FFF2-40B4-BE49-F238E27FC236}">
                  <a16:creationId xmlns:a16="http://schemas.microsoft.com/office/drawing/2014/main" id="{00000000-0008-0000-3200-000012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025107" name="Check Box 19" hidden="1">
              <a:extLst>
                <a:ext uri="{63B3BB69-23CF-44E3-9099-C40C66FF867C}">
                  <a14:compatExt spid="_x0000_s24025107"/>
                </a:ext>
                <a:ext uri="{FF2B5EF4-FFF2-40B4-BE49-F238E27FC236}">
                  <a16:creationId xmlns:a16="http://schemas.microsoft.com/office/drawing/2014/main" id="{00000000-0008-0000-3200-000013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025108" name="Check Box 20" hidden="1">
              <a:extLst>
                <a:ext uri="{63B3BB69-23CF-44E3-9099-C40C66FF867C}">
                  <a14:compatExt spid="_x0000_s24025108"/>
                </a:ext>
                <a:ext uri="{FF2B5EF4-FFF2-40B4-BE49-F238E27FC236}">
                  <a16:creationId xmlns:a16="http://schemas.microsoft.com/office/drawing/2014/main" id="{00000000-0008-0000-3200-000014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025109" name="Check Box 21" hidden="1">
              <a:extLst>
                <a:ext uri="{63B3BB69-23CF-44E3-9099-C40C66FF867C}">
                  <a14:compatExt spid="_x0000_s24025109"/>
                </a:ext>
                <a:ext uri="{FF2B5EF4-FFF2-40B4-BE49-F238E27FC236}">
                  <a16:creationId xmlns:a16="http://schemas.microsoft.com/office/drawing/2014/main" id="{00000000-0008-0000-3200-000015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025110" name="Check Box 22" hidden="1">
              <a:extLst>
                <a:ext uri="{63B3BB69-23CF-44E3-9099-C40C66FF867C}">
                  <a14:compatExt spid="_x0000_s24025110"/>
                </a:ext>
                <a:ext uri="{FF2B5EF4-FFF2-40B4-BE49-F238E27FC236}">
                  <a16:creationId xmlns:a16="http://schemas.microsoft.com/office/drawing/2014/main" id="{00000000-0008-0000-3200-000016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025111" name="Check Box 23" hidden="1">
              <a:extLst>
                <a:ext uri="{63B3BB69-23CF-44E3-9099-C40C66FF867C}">
                  <a14:compatExt spid="_x0000_s24025111"/>
                </a:ext>
                <a:ext uri="{FF2B5EF4-FFF2-40B4-BE49-F238E27FC236}">
                  <a16:creationId xmlns:a16="http://schemas.microsoft.com/office/drawing/2014/main" id="{00000000-0008-0000-3200-000017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025112" name="Check Box 24" hidden="1">
              <a:extLst>
                <a:ext uri="{63B3BB69-23CF-44E3-9099-C40C66FF867C}">
                  <a14:compatExt spid="_x0000_s24025112"/>
                </a:ext>
                <a:ext uri="{FF2B5EF4-FFF2-40B4-BE49-F238E27FC236}">
                  <a16:creationId xmlns:a16="http://schemas.microsoft.com/office/drawing/2014/main" id="{00000000-0008-0000-3200-000018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025113" name="Check Box 25" hidden="1">
              <a:extLst>
                <a:ext uri="{63B3BB69-23CF-44E3-9099-C40C66FF867C}">
                  <a14:compatExt spid="_x0000_s24025113"/>
                </a:ext>
                <a:ext uri="{FF2B5EF4-FFF2-40B4-BE49-F238E27FC236}">
                  <a16:creationId xmlns:a16="http://schemas.microsoft.com/office/drawing/2014/main" id="{00000000-0008-0000-3200-000019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025114" name="Check Box 26" hidden="1">
              <a:extLst>
                <a:ext uri="{63B3BB69-23CF-44E3-9099-C40C66FF867C}">
                  <a14:compatExt spid="_x0000_s24025114"/>
                </a:ext>
                <a:ext uri="{FF2B5EF4-FFF2-40B4-BE49-F238E27FC236}">
                  <a16:creationId xmlns:a16="http://schemas.microsoft.com/office/drawing/2014/main" id="{00000000-0008-0000-3200-00001A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025115" name="Check Box 27" hidden="1">
              <a:extLst>
                <a:ext uri="{63B3BB69-23CF-44E3-9099-C40C66FF867C}">
                  <a14:compatExt spid="_x0000_s24025115"/>
                </a:ext>
                <a:ext uri="{FF2B5EF4-FFF2-40B4-BE49-F238E27FC236}">
                  <a16:creationId xmlns:a16="http://schemas.microsoft.com/office/drawing/2014/main" id="{00000000-0008-0000-3200-00001B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025116" name="Button 28" hidden="1">
              <a:extLst>
                <a:ext uri="{63B3BB69-23CF-44E3-9099-C40C66FF867C}">
                  <a14:compatExt spid="_x0000_s24025116"/>
                </a:ext>
                <a:ext uri="{FF2B5EF4-FFF2-40B4-BE49-F238E27FC236}">
                  <a16:creationId xmlns:a16="http://schemas.microsoft.com/office/drawing/2014/main" id="{00000000-0008-0000-3200-00001C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025117" name="Button 29" hidden="1">
              <a:extLst>
                <a:ext uri="{63B3BB69-23CF-44E3-9099-C40C66FF867C}">
                  <a14:compatExt spid="_x0000_s24025117"/>
                </a:ext>
                <a:ext uri="{FF2B5EF4-FFF2-40B4-BE49-F238E27FC236}">
                  <a16:creationId xmlns:a16="http://schemas.microsoft.com/office/drawing/2014/main" id="{00000000-0008-0000-3200-00001D9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025118" name="Check Box 30" hidden="1">
              <a:extLst>
                <a:ext uri="{63B3BB69-23CF-44E3-9099-C40C66FF867C}">
                  <a14:compatExt spid="_x0000_s24025118"/>
                </a:ext>
                <a:ext uri="{FF2B5EF4-FFF2-40B4-BE49-F238E27FC236}">
                  <a16:creationId xmlns:a16="http://schemas.microsoft.com/office/drawing/2014/main" id="{00000000-0008-0000-3200-00001E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025119" name="Check Box 31" hidden="1">
              <a:extLst>
                <a:ext uri="{63B3BB69-23CF-44E3-9099-C40C66FF867C}">
                  <a14:compatExt spid="_x0000_s24025119"/>
                </a:ext>
                <a:ext uri="{FF2B5EF4-FFF2-40B4-BE49-F238E27FC236}">
                  <a16:creationId xmlns:a16="http://schemas.microsoft.com/office/drawing/2014/main" id="{00000000-0008-0000-3200-00001F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025120" name="Check Box 32" hidden="1">
              <a:extLst>
                <a:ext uri="{63B3BB69-23CF-44E3-9099-C40C66FF867C}">
                  <a14:compatExt spid="_x0000_s24025120"/>
                </a:ext>
                <a:ext uri="{FF2B5EF4-FFF2-40B4-BE49-F238E27FC236}">
                  <a16:creationId xmlns:a16="http://schemas.microsoft.com/office/drawing/2014/main" id="{00000000-0008-0000-3200-000020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025121" name="Check Box 33" hidden="1">
              <a:extLst>
                <a:ext uri="{63B3BB69-23CF-44E3-9099-C40C66FF867C}">
                  <a14:compatExt spid="_x0000_s24025121"/>
                </a:ext>
                <a:ext uri="{FF2B5EF4-FFF2-40B4-BE49-F238E27FC236}">
                  <a16:creationId xmlns:a16="http://schemas.microsoft.com/office/drawing/2014/main" id="{00000000-0008-0000-3200-000021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025122" name="Check Box 34" hidden="1">
              <a:extLst>
                <a:ext uri="{63B3BB69-23CF-44E3-9099-C40C66FF867C}">
                  <a14:compatExt spid="_x0000_s24025122"/>
                </a:ext>
                <a:ext uri="{FF2B5EF4-FFF2-40B4-BE49-F238E27FC236}">
                  <a16:creationId xmlns:a16="http://schemas.microsoft.com/office/drawing/2014/main" id="{00000000-0008-0000-3200-000022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025123" name="Check Box 35" hidden="1">
              <a:extLst>
                <a:ext uri="{63B3BB69-23CF-44E3-9099-C40C66FF867C}">
                  <a14:compatExt spid="_x0000_s24025123"/>
                </a:ext>
                <a:ext uri="{FF2B5EF4-FFF2-40B4-BE49-F238E27FC236}">
                  <a16:creationId xmlns:a16="http://schemas.microsoft.com/office/drawing/2014/main" id="{00000000-0008-0000-3200-000023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025124" name="Check Box 36" hidden="1">
              <a:extLst>
                <a:ext uri="{63B3BB69-23CF-44E3-9099-C40C66FF867C}">
                  <a14:compatExt spid="_x0000_s24025124"/>
                </a:ext>
                <a:ext uri="{FF2B5EF4-FFF2-40B4-BE49-F238E27FC236}">
                  <a16:creationId xmlns:a16="http://schemas.microsoft.com/office/drawing/2014/main" id="{00000000-0008-0000-3200-000024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025125" name="Check Box 37" hidden="1">
              <a:extLst>
                <a:ext uri="{63B3BB69-23CF-44E3-9099-C40C66FF867C}">
                  <a14:compatExt spid="_x0000_s24025125"/>
                </a:ext>
                <a:ext uri="{FF2B5EF4-FFF2-40B4-BE49-F238E27FC236}">
                  <a16:creationId xmlns:a16="http://schemas.microsoft.com/office/drawing/2014/main" id="{00000000-0008-0000-3200-0000259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8B8C4310-B768-417C-8EF0-1C73027934E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02E2D5F-ADAB-4895-BB96-7E6A05701CC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024065" name="Check Box 1" hidden="1">
              <a:extLst>
                <a:ext uri="{63B3BB69-23CF-44E3-9099-C40C66FF867C}">
                  <a14:compatExt spid="_x0000_s24024065"/>
                </a:ext>
                <a:ext uri="{FF2B5EF4-FFF2-40B4-BE49-F238E27FC236}">
                  <a16:creationId xmlns:a16="http://schemas.microsoft.com/office/drawing/2014/main" id="{00000000-0008-0000-3300-000001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024066" name="Check Box 2" hidden="1">
              <a:extLst>
                <a:ext uri="{63B3BB69-23CF-44E3-9099-C40C66FF867C}">
                  <a14:compatExt spid="_x0000_s24024066"/>
                </a:ext>
                <a:ext uri="{FF2B5EF4-FFF2-40B4-BE49-F238E27FC236}">
                  <a16:creationId xmlns:a16="http://schemas.microsoft.com/office/drawing/2014/main" id="{00000000-0008-0000-3300-000002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024067" name="Check Box 3" hidden="1">
              <a:extLst>
                <a:ext uri="{63B3BB69-23CF-44E3-9099-C40C66FF867C}">
                  <a14:compatExt spid="_x0000_s24024067"/>
                </a:ext>
                <a:ext uri="{FF2B5EF4-FFF2-40B4-BE49-F238E27FC236}">
                  <a16:creationId xmlns:a16="http://schemas.microsoft.com/office/drawing/2014/main" id="{00000000-0008-0000-3300-000003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024068" name="Check Box 4" hidden="1">
              <a:extLst>
                <a:ext uri="{63B3BB69-23CF-44E3-9099-C40C66FF867C}">
                  <a14:compatExt spid="_x0000_s24024068"/>
                </a:ext>
                <a:ext uri="{FF2B5EF4-FFF2-40B4-BE49-F238E27FC236}">
                  <a16:creationId xmlns:a16="http://schemas.microsoft.com/office/drawing/2014/main" id="{00000000-0008-0000-3300-000004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024069" name="Check Box 5" hidden="1">
              <a:extLst>
                <a:ext uri="{63B3BB69-23CF-44E3-9099-C40C66FF867C}">
                  <a14:compatExt spid="_x0000_s24024069"/>
                </a:ext>
                <a:ext uri="{FF2B5EF4-FFF2-40B4-BE49-F238E27FC236}">
                  <a16:creationId xmlns:a16="http://schemas.microsoft.com/office/drawing/2014/main" id="{00000000-0008-0000-3300-000005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024070" name="Check Box 6" hidden="1">
              <a:extLst>
                <a:ext uri="{63B3BB69-23CF-44E3-9099-C40C66FF867C}">
                  <a14:compatExt spid="_x0000_s24024070"/>
                </a:ext>
                <a:ext uri="{FF2B5EF4-FFF2-40B4-BE49-F238E27FC236}">
                  <a16:creationId xmlns:a16="http://schemas.microsoft.com/office/drawing/2014/main" id="{00000000-0008-0000-3300-000006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024071" name="Check Box 7" hidden="1">
              <a:extLst>
                <a:ext uri="{63B3BB69-23CF-44E3-9099-C40C66FF867C}">
                  <a14:compatExt spid="_x0000_s24024071"/>
                </a:ext>
                <a:ext uri="{FF2B5EF4-FFF2-40B4-BE49-F238E27FC236}">
                  <a16:creationId xmlns:a16="http://schemas.microsoft.com/office/drawing/2014/main" id="{00000000-0008-0000-3300-000007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024072" name="Button 8" hidden="1">
              <a:extLst>
                <a:ext uri="{63B3BB69-23CF-44E3-9099-C40C66FF867C}">
                  <a14:compatExt spid="_x0000_s24024072"/>
                </a:ext>
                <a:ext uri="{FF2B5EF4-FFF2-40B4-BE49-F238E27FC236}">
                  <a16:creationId xmlns:a16="http://schemas.microsoft.com/office/drawing/2014/main" id="{00000000-0008-0000-3300-00000894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024073" name="Button 9" hidden="1">
              <a:extLst>
                <a:ext uri="{63B3BB69-23CF-44E3-9099-C40C66FF867C}">
                  <a14:compatExt spid="_x0000_s24024073"/>
                </a:ext>
                <a:ext uri="{FF2B5EF4-FFF2-40B4-BE49-F238E27FC236}">
                  <a16:creationId xmlns:a16="http://schemas.microsoft.com/office/drawing/2014/main" id="{00000000-0008-0000-3300-00000994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024074" name="Check Box 10" hidden="1">
              <a:extLst>
                <a:ext uri="{63B3BB69-23CF-44E3-9099-C40C66FF867C}">
                  <a14:compatExt spid="_x0000_s24024074"/>
                </a:ext>
                <a:ext uri="{FF2B5EF4-FFF2-40B4-BE49-F238E27FC236}">
                  <a16:creationId xmlns:a16="http://schemas.microsoft.com/office/drawing/2014/main" id="{00000000-0008-0000-3300-00000A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024075" name="Button 11" hidden="1">
              <a:extLst>
                <a:ext uri="{63B3BB69-23CF-44E3-9099-C40C66FF867C}">
                  <a14:compatExt spid="_x0000_s24024075"/>
                </a:ext>
                <a:ext uri="{FF2B5EF4-FFF2-40B4-BE49-F238E27FC236}">
                  <a16:creationId xmlns:a16="http://schemas.microsoft.com/office/drawing/2014/main" id="{00000000-0008-0000-3300-00000B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024076" name="Button 12" hidden="1">
              <a:extLst>
                <a:ext uri="{63B3BB69-23CF-44E3-9099-C40C66FF867C}">
                  <a14:compatExt spid="_x0000_s24024076"/>
                </a:ext>
                <a:ext uri="{FF2B5EF4-FFF2-40B4-BE49-F238E27FC236}">
                  <a16:creationId xmlns:a16="http://schemas.microsoft.com/office/drawing/2014/main" id="{00000000-0008-0000-3300-00000C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024077" name="Button 13" hidden="1">
              <a:extLst>
                <a:ext uri="{63B3BB69-23CF-44E3-9099-C40C66FF867C}">
                  <a14:compatExt spid="_x0000_s24024077"/>
                </a:ext>
                <a:ext uri="{FF2B5EF4-FFF2-40B4-BE49-F238E27FC236}">
                  <a16:creationId xmlns:a16="http://schemas.microsoft.com/office/drawing/2014/main" id="{00000000-0008-0000-3300-00000D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024078" name="Button 14" hidden="1">
              <a:extLst>
                <a:ext uri="{63B3BB69-23CF-44E3-9099-C40C66FF867C}">
                  <a14:compatExt spid="_x0000_s24024078"/>
                </a:ext>
                <a:ext uri="{FF2B5EF4-FFF2-40B4-BE49-F238E27FC236}">
                  <a16:creationId xmlns:a16="http://schemas.microsoft.com/office/drawing/2014/main" id="{00000000-0008-0000-3300-00000E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024079" name="Check Box 15" hidden="1">
              <a:extLst>
                <a:ext uri="{63B3BB69-23CF-44E3-9099-C40C66FF867C}">
                  <a14:compatExt spid="_x0000_s24024079"/>
                </a:ext>
                <a:ext uri="{FF2B5EF4-FFF2-40B4-BE49-F238E27FC236}">
                  <a16:creationId xmlns:a16="http://schemas.microsoft.com/office/drawing/2014/main" id="{00000000-0008-0000-3300-00000F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024080" name="Check Box 16" hidden="1">
              <a:extLst>
                <a:ext uri="{63B3BB69-23CF-44E3-9099-C40C66FF867C}">
                  <a14:compatExt spid="_x0000_s24024080"/>
                </a:ext>
                <a:ext uri="{FF2B5EF4-FFF2-40B4-BE49-F238E27FC236}">
                  <a16:creationId xmlns:a16="http://schemas.microsoft.com/office/drawing/2014/main" id="{00000000-0008-0000-3300-000010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024081" name="Check Box 17" hidden="1">
              <a:extLst>
                <a:ext uri="{63B3BB69-23CF-44E3-9099-C40C66FF867C}">
                  <a14:compatExt spid="_x0000_s24024081"/>
                </a:ext>
                <a:ext uri="{FF2B5EF4-FFF2-40B4-BE49-F238E27FC236}">
                  <a16:creationId xmlns:a16="http://schemas.microsoft.com/office/drawing/2014/main" id="{00000000-0008-0000-3300-000011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024082" name="Check Box 18" hidden="1">
              <a:extLst>
                <a:ext uri="{63B3BB69-23CF-44E3-9099-C40C66FF867C}">
                  <a14:compatExt spid="_x0000_s24024082"/>
                </a:ext>
                <a:ext uri="{FF2B5EF4-FFF2-40B4-BE49-F238E27FC236}">
                  <a16:creationId xmlns:a16="http://schemas.microsoft.com/office/drawing/2014/main" id="{00000000-0008-0000-3300-000012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024083" name="Check Box 19" hidden="1">
              <a:extLst>
                <a:ext uri="{63B3BB69-23CF-44E3-9099-C40C66FF867C}">
                  <a14:compatExt spid="_x0000_s24024083"/>
                </a:ext>
                <a:ext uri="{FF2B5EF4-FFF2-40B4-BE49-F238E27FC236}">
                  <a16:creationId xmlns:a16="http://schemas.microsoft.com/office/drawing/2014/main" id="{00000000-0008-0000-3300-000013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024084" name="Check Box 20" hidden="1">
              <a:extLst>
                <a:ext uri="{63B3BB69-23CF-44E3-9099-C40C66FF867C}">
                  <a14:compatExt spid="_x0000_s24024084"/>
                </a:ext>
                <a:ext uri="{FF2B5EF4-FFF2-40B4-BE49-F238E27FC236}">
                  <a16:creationId xmlns:a16="http://schemas.microsoft.com/office/drawing/2014/main" id="{00000000-0008-0000-3300-000014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024085" name="Check Box 21" hidden="1">
              <a:extLst>
                <a:ext uri="{63B3BB69-23CF-44E3-9099-C40C66FF867C}">
                  <a14:compatExt spid="_x0000_s24024085"/>
                </a:ext>
                <a:ext uri="{FF2B5EF4-FFF2-40B4-BE49-F238E27FC236}">
                  <a16:creationId xmlns:a16="http://schemas.microsoft.com/office/drawing/2014/main" id="{00000000-0008-0000-3300-000015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024086" name="Check Box 22" hidden="1">
              <a:extLst>
                <a:ext uri="{63B3BB69-23CF-44E3-9099-C40C66FF867C}">
                  <a14:compatExt spid="_x0000_s24024086"/>
                </a:ext>
                <a:ext uri="{FF2B5EF4-FFF2-40B4-BE49-F238E27FC236}">
                  <a16:creationId xmlns:a16="http://schemas.microsoft.com/office/drawing/2014/main" id="{00000000-0008-0000-3300-000016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024087" name="Check Box 23" hidden="1">
              <a:extLst>
                <a:ext uri="{63B3BB69-23CF-44E3-9099-C40C66FF867C}">
                  <a14:compatExt spid="_x0000_s24024087"/>
                </a:ext>
                <a:ext uri="{FF2B5EF4-FFF2-40B4-BE49-F238E27FC236}">
                  <a16:creationId xmlns:a16="http://schemas.microsoft.com/office/drawing/2014/main" id="{00000000-0008-0000-3300-000017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024088" name="Check Box 24" hidden="1">
              <a:extLst>
                <a:ext uri="{63B3BB69-23CF-44E3-9099-C40C66FF867C}">
                  <a14:compatExt spid="_x0000_s24024088"/>
                </a:ext>
                <a:ext uri="{FF2B5EF4-FFF2-40B4-BE49-F238E27FC236}">
                  <a16:creationId xmlns:a16="http://schemas.microsoft.com/office/drawing/2014/main" id="{00000000-0008-0000-3300-000018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024089" name="Check Box 25" hidden="1">
              <a:extLst>
                <a:ext uri="{63B3BB69-23CF-44E3-9099-C40C66FF867C}">
                  <a14:compatExt spid="_x0000_s24024089"/>
                </a:ext>
                <a:ext uri="{FF2B5EF4-FFF2-40B4-BE49-F238E27FC236}">
                  <a16:creationId xmlns:a16="http://schemas.microsoft.com/office/drawing/2014/main" id="{00000000-0008-0000-3300-000019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024090" name="Check Box 26" hidden="1">
              <a:extLst>
                <a:ext uri="{63B3BB69-23CF-44E3-9099-C40C66FF867C}">
                  <a14:compatExt spid="_x0000_s24024090"/>
                </a:ext>
                <a:ext uri="{FF2B5EF4-FFF2-40B4-BE49-F238E27FC236}">
                  <a16:creationId xmlns:a16="http://schemas.microsoft.com/office/drawing/2014/main" id="{00000000-0008-0000-3300-00001A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024091" name="Check Box 27" hidden="1">
              <a:extLst>
                <a:ext uri="{63B3BB69-23CF-44E3-9099-C40C66FF867C}">
                  <a14:compatExt spid="_x0000_s24024091"/>
                </a:ext>
                <a:ext uri="{FF2B5EF4-FFF2-40B4-BE49-F238E27FC236}">
                  <a16:creationId xmlns:a16="http://schemas.microsoft.com/office/drawing/2014/main" id="{00000000-0008-0000-3300-00001B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024092" name="Button 28" hidden="1">
              <a:extLst>
                <a:ext uri="{63B3BB69-23CF-44E3-9099-C40C66FF867C}">
                  <a14:compatExt spid="_x0000_s24024092"/>
                </a:ext>
                <a:ext uri="{FF2B5EF4-FFF2-40B4-BE49-F238E27FC236}">
                  <a16:creationId xmlns:a16="http://schemas.microsoft.com/office/drawing/2014/main" id="{00000000-0008-0000-3300-00001C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024093" name="Button 29" hidden="1">
              <a:extLst>
                <a:ext uri="{63B3BB69-23CF-44E3-9099-C40C66FF867C}">
                  <a14:compatExt spid="_x0000_s24024093"/>
                </a:ext>
                <a:ext uri="{FF2B5EF4-FFF2-40B4-BE49-F238E27FC236}">
                  <a16:creationId xmlns:a16="http://schemas.microsoft.com/office/drawing/2014/main" id="{00000000-0008-0000-3300-00001D94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024094" name="Check Box 30" hidden="1">
              <a:extLst>
                <a:ext uri="{63B3BB69-23CF-44E3-9099-C40C66FF867C}">
                  <a14:compatExt spid="_x0000_s24024094"/>
                </a:ext>
                <a:ext uri="{FF2B5EF4-FFF2-40B4-BE49-F238E27FC236}">
                  <a16:creationId xmlns:a16="http://schemas.microsoft.com/office/drawing/2014/main" id="{00000000-0008-0000-3300-00001E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024095" name="Check Box 31" hidden="1">
              <a:extLst>
                <a:ext uri="{63B3BB69-23CF-44E3-9099-C40C66FF867C}">
                  <a14:compatExt spid="_x0000_s24024095"/>
                </a:ext>
                <a:ext uri="{FF2B5EF4-FFF2-40B4-BE49-F238E27FC236}">
                  <a16:creationId xmlns:a16="http://schemas.microsoft.com/office/drawing/2014/main" id="{00000000-0008-0000-3300-00001F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024096" name="Check Box 32" hidden="1">
              <a:extLst>
                <a:ext uri="{63B3BB69-23CF-44E3-9099-C40C66FF867C}">
                  <a14:compatExt spid="_x0000_s24024096"/>
                </a:ext>
                <a:ext uri="{FF2B5EF4-FFF2-40B4-BE49-F238E27FC236}">
                  <a16:creationId xmlns:a16="http://schemas.microsoft.com/office/drawing/2014/main" id="{00000000-0008-0000-3300-000020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024097" name="Check Box 33" hidden="1">
              <a:extLst>
                <a:ext uri="{63B3BB69-23CF-44E3-9099-C40C66FF867C}">
                  <a14:compatExt spid="_x0000_s24024097"/>
                </a:ext>
                <a:ext uri="{FF2B5EF4-FFF2-40B4-BE49-F238E27FC236}">
                  <a16:creationId xmlns:a16="http://schemas.microsoft.com/office/drawing/2014/main" id="{00000000-0008-0000-3300-000021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024098" name="Check Box 34" hidden="1">
              <a:extLst>
                <a:ext uri="{63B3BB69-23CF-44E3-9099-C40C66FF867C}">
                  <a14:compatExt spid="_x0000_s24024098"/>
                </a:ext>
                <a:ext uri="{FF2B5EF4-FFF2-40B4-BE49-F238E27FC236}">
                  <a16:creationId xmlns:a16="http://schemas.microsoft.com/office/drawing/2014/main" id="{00000000-0008-0000-3300-000022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024099" name="Check Box 35" hidden="1">
              <a:extLst>
                <a:ext uri="{63B3BB69-23CF-44E3-9099-C40C66FF867C}">
                  <a14:compatExt spid="_x0000_s24024099"/>
                </a:ext>
                <a:ext uri="{FF2B5EF4-FFF2-40B4-BE49-F238E27FC236}">
                  <a16:creationId xmlns:a16="http://schemas.microsoft.com/office/drawing/2014/main" id="{00000000-0008-0000-3300-000023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024100" name="Check Box 36" hidden="1">
              <a:extLst>
                <a:ext uri="{63B3BB69-23CF-44E3-9099-C40C66FF867C}">
                  <a14:compatExt spid="_x0000_s24024100"/>
                </a:ext>
                <a:ext uri="{FF2B5EF4-FFF2-40B4-BE49-F238E27FC236}">
                  <a16:creationId xmlns:a16="http://schemas.microsoft.com/office/drawing/2014/main" id="{00000000-0008-0000-3300-000024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024101" name="Check Box 37" hidden="1">
              <a:extLst>
                <a:ext uri="{63B3BB69-23CF-44E3-9099-C40C66FF867C}">
                  <a14:compatExt spid="_x0000_s24024101"/>
                </a:ext>
                <a:ext uri="{FF2B5EF4-FFF2-40B4-BE49-F238E27FC236}">
                  <a16:creationId xmlns:a16="http://schemas.microsoft.com/office/drawing/2014/main" id="{00000000-0008-0000-3300-00002594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0C546E7-EA01-4B6D-A10A-077B4CCD81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16FA0C5-EAC4-4469-B9AB-FE5E58ED317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020993" name="Check Box 1" hidden="1">
              <a:extLst>
                <a:ext uri="{63B3BB69-23CF-44E3-9099-C40C66FF867C}">
                  <a14:compatExt spid="_x0000_s24020993"/>
                </a:ext>
                <a:ext uri="{FF2B5EF4-FFF2-40B4-BE49-F238E27FC236}">
                  <a16:creationId xmlns:a16="http://schemas.microsoft.com/office/drawing/2014/main" id="{00000000-0008-0000-3400-000001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020994" name="Check Box 2" hidden="1">
              <a:extLst>
                <a:ext uri="{63B3BB69-23CF-44E3-9099-C40C66FF867C}">
                  <a14:compatExt spid="_x0000_s24020994"/>
                </a:ext>
                <a:ext uri="{FF2B5EF4-FFF2-40B4-BE49-F238E27FC236}">
                  <a16:creationId xmlns:a16="http://schemas.microsoft.com/office/drawing/2014/main" id="{00000000-0008-0000-3400-000002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020995" name="Check Box 3" hidden="1">
              <a:extLst>
                <a:ext uri="{63B3BB69-23CF-44E3-9099-C40C66FF867C}">
                  <a14:compatExt spid="_x0000_s24020995"/>
                </a:ext>
                <a:ext uri="{FF2B5EF4-FFF2-40B4-BE49-F238E27FC236}">
                  <a16:creationId xmlns:a16="http://schemas.microsoft.com/office/drawing/2014/main" id="{00000000-0008-0000-3400-000003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020996" name="Check Box 4" hidden="1">
              <a:extLst>
                <a:ext uri="{63B3BB69-23CF-44E3-9099-C40C66FF867C}">
                  <a14:compatExt spid="_x0000_s24020996"/>
                </a:ext>
                <a:ext uri="{FF2B5EF4-FFF2-40B4-BE49-F238E27FC236}">
                  <a16:creationId xmlns:a16="http://schemas.microsoft.com/office/drawing/2014/main" id="{00000000-0008-0000-3400-000004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020997" name="Check Box 5" hidden="1">
              <a:extLst>
                <a:ext uri="{63B3BB69-23CF-44E3-9099-C40C66FF867C}">
                  <a14:compatExt spid="_x0000_s24020997"/>
                </a:ext>
                <a:ext uri="{FF2B5EF4-FFF2-40B4-BE49-F238E27FC236}">
                  <a16:creationId xmlns:a16="http://schemas.microsoft.com/office/drawing/2014/main" id="{00000000-0008-0000-3400-000005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020998" name="Check Box 6" hidden="1">
              <a:extLst>
                <a:ext uri="{63B3BB69-23CF-44E3-9099-C40C66FF867C}">
                  <a14:compatExt spid="_x0000_s24020998"/>
                </a:ext>
                <a:ext uri="{FF2B5EF4-FFF2-40B4-BE49-F238E27FC236}">
                  <a16:creationId xmlns:a16="http://schemas.microsoft.com/office/drawing/2014/main" id="{00000000-0008-0000-3400-000006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020999" name="Check Box 7" hidden="1">
              <a:extLst>
                <a:ext uri="{63B3BB69-23CF-44E3-9099-C40C66FF867C}">
                  <a14:compatExt spid="_x0000_s24020999"/>
                </a:ext>
                <a:ext uri="{FF2B5EF4-FFF2-40B4-BE49-F238E27FC236}">
                  <a16:creationId xmlns:a16="http://schemas.microsoft.com/office/drawing/2014/main" id="{00000000-0008-0000-3400-000007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4021000" name="Button 8" hidden="1">
              <a:extLst>
                <a:ext uri="{63B3BB69-23CF-44E3-9099-C40C66FF867C}">
                  <a14:compatExt spid="_x0000_s24021000"/>
                </a:ext>
                <a:ext uri="{FF2B5EF4-FFF2-40B4-BE49-F238E27FC236}">
                  <a16:creationId xmlns:a16="http://schemas.microsoft.com/office/drawing/2014/main" id="{00000000-0008-0000-3400-0000088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021001" name="Button 9" hidden="1">
              <a:extLst>
                <a:ext uri="{63B3BB69-23CF-44E3-9099-C40C66FF867C}">
                  <a14:compatExt spid="_x0000_s24021001"/>
                </a:ext>
                <a:ext uri="{FF2B5EF4-FFF2-40B4-BE49-F238E27FC236}">
                  <a16:creationId xmlns:a16="http://schemas.microsoft.com/office/drawing/2014/main" id="{00000000-0008-0000-3400-000009886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021002" name="Check Box 10" hidden="1">
              <a:extLst>
                <a:ext uri="{63B3BB69-23CF-44E3-9099-C40C66FF867C}">
                  <a14:compatExt spid="_x0000_s24021002"/>
                </a:ext>
                <a:ext uri="{FF2B5EF4-FFF2-40B4-BE49-F238E27FC236}">
                  <a16:creationId xmlns:a16="http://schemas.microsoft.com/office/drawing/2014/main" id="{00000000-0008-0000-3400-00000A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021003" name="Button 11" hidden="1">
              <a:extLst>
                <a:ext uri="{63B3BB69-23CF-44E3-9099-C40C66FF867C}">
                  <a14:compatExt spid="_x0000_s24021003"/>
                </a:ext>
                <a:ext uri="{FF2B5EF4-FFF2-40B4-BE49-F238E27FC236}">
                  <a16:creationId xmlns:a16="http://schemas.microsoft.com/office/drawing/2014/main" id="{00000000-0008-0000-3400-00000B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021004" name="Button 12" hidden="1">
              <a:extLst>
                <a:ext uri="{63B3BB69-23CF-44E3-9099-C40C66FF867C}">
                  <a14:compatExt spid="_x0000_s24021004"/>
                </a:ext>
                <a:ext uri="{FF2B5EF4-FFF2-40B4-BE49-F238E27FC236}">
                  <a16:creationId xmlns:a16="http://schemas.microsoft.com/office/drawing/2014/main" id="{00000000-0008-0000-3400-00000C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021005" name="Button 13" hidden="1">
              <a:extLst>
                <a:ext uri="{63B3BB69-23CF-44E3-9099-C40C66FF867C}">
                  <a14:compatExt spid="_x0000_s24021005"/>
                </a:ext>
                <a:ext uri="{FF2B5EF4-FFF2-40B4-BE49-F238E27FC236}">
                  <a16:creationId xmlns:a16="http://schemas.microsoft.com/office/drawing/2014/main" id="{00000000-0008-0000-3400-00000D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021006" name="Button 14" hidden="1">
              <a:extLst>
                <a:ext uri="{63B3BB69-23CF-44E3-9099-C40C66FF867C}">
                  <a14:compatExt spid="_x0000_s24021006"/>
                </a:ext>
                <a:ext uri="{FF2B5EF4-FFF2-40B4-BE49-F238E27FC236}">
                  <a16:creationId xmlns:a16="http://schemas.microsoft.com/office/drawing/2014/main" id="{00000000-0008-0000-3400-00000E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021007" name="Check Box 15" hidden="1">
              <a:extLst>
                <a:ext uri="{63B3BB69-23CF-44E3-9099-C40C66FF867C}">
                  <a14:compatExt spid="_x0000_s24021007"/>
                </a:ext>
                <a:ext uri="{FF2B5EF4-FFF2-40B4-BE49-F238E27FC236}">
                  <a16:creationId xmlns:a16="http://schemas.microsoft.com/office/drawing/2014/main" id="{00000000-0008-0000-3400-00000F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021008" name="Check Box 16" hidden="1">
              <a:extLst>
                <a:ext uri="{63B3BB69-23CF-44E3-9099-C40C66FF867C}">
                  <a14:compatExt spid="_x0000_s24021008"/>
                </a:ext>
                <a:ext uri="{FF2B5EF4-FFF2-40B4-BE49-F238E27FC236}">
                  <a16:creationId xmlns:a16="http://schemas.microsoft.com/office/drawing/2014/main" id="{00000000-0008-0000-3400-000010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021009" name="Check Box 17" hidden="1">
              <a:extLst>
                <a:ext uri="{63B3BB69-23CF-44E3-9099-C40C66FF867C}">
                  <a14:compatExt spid="_x0000_s24021009"/>
                </a:ext>
                <a:ext uri="{FF2B5EF4-FFF2-40B4-BE49-F238E27FC236}">
                  <a16:creationId xmlns:a16="http://schemas.microsoft.com/office/drawing/2014/main" id="{00000000-0008-0000-3400-000011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021010" name="Check Box 18" hidden="1">
              <a:extLst>
                <a:ext uri="{63B3BB69-23CF-44E3-9099-C40C66FF867C}">
                  <a14:compatExt spid="_x0000_s24021010"/>
                </a:ext>
                <a:ext uri="{FF2B5EF4-FFF2-40B4-BE49-F238E27FC236}">
                  <a16:creationId xmlns:a16="http://schemas.microsoft.com/office/drawing/2014/main" id="{00000000-0008-0000-3400-000012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021011" name="Check Box 19" hidden="1">
              <a:extLst>
                <a:ext uri="{63B3BB69-23CF-44E3-9099-C40C66FF867C}">
                  <a14:compatExt spid="_x0000_s24021011"/>
                </a:ext>
                <a:ext uri="{FF2B5EF4-FFF2-40B4-BE49-F238E27FC236}">
                  <a16:creationId xmlns:a16="http://schemas.microsoft.com/office/drawing/2014/main" id="{00000000-0008-0000-3400-000013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021012" name="Check Box 20" hidden="1">
              <a:extLst>
                <a:ext uri="{63B3BB69-23CF-44E3-9099-C40C66FF867C}">
                  <a14:compatExt spid="_x0000_s24021012"/>
                </a:ext>
                <a:ext uri="{FF2B5EF4-FFF2-40B4-BE49-F238E27FC236}">
                  <a16:creationId xmlns:a16="http://schemas.microsoft.com/office/drawing/2014/main" id="{00000000-0008-0000-3400-000014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021013" name="Check Box 21" hidden="1">
              <a:extLst>
                <a:ext uri="{63B3BB69-23CF-44E3-9099-C40C66FF867C}">
                  <a14:compatExt spid="_x0000_s24021013"/>
                </a:ext>
                <a:ext uri="{FF2B5EF4-FFF2-40B4-BE49-F238E27FC236}">
                  <a16:creationId xmlns:a16="http://schemas.microsoft.com/office/drawing/2014/main" id="{00000000-0008-0000-3400-000015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021014" name="Check Box 22" hidden="1">
              <a:extLst>
                <a:ext uri="{63B3BB69-23CF-44E3-9099-C40C66FF867C}">
                  <a14:compatExt spid="_x0000_s24021014"/>
                </a:ext>
                <a:ext uri="{FF2B5EF4-FFF2-40B4-BE49-F238E27FC236}">
                  <a16:creationId xmlns:a16="http://schemas.microsoft.com/office/drawing/2014/main" id="{00000000-0008-0000-3400-000016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021015" name="Check Box 23" hidden="1">
              <a:extLst>
                <a:ext uri="{63B3BB69-23CF-44E3-9099-C40C66FF867C}">
                  <a14:compatExt spid="_x0000_s24021015"/>
                </a:ext>
                <a:ext uri="{FF2B5EF4-FFF2-40B4-BE49-F238E27FC236}">
                  <a16:creationId xmlns:a16="http://schemas.microsoft.com/office/drawing/2014/main" id="{00000000-0008-0000-3400-000017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021016" name="Check Box 24" hidden="1">
              <a:extLst>
                <a:ext uri="{63B3BB69-23CF-44E3-9099-C40C66FF867C}">
                  <a14:compatExt spid="_x0000_s24021016"/>
                </a:ext>
                <a:ext uri="{FF2B5EF4-FFF2-40B4-BE49-F238E27FC236}">
                  <a16:creationId xmlns:a16="http://schemas.microsoft.com/office/drawing/2014/main" id="{00000000-0008-0000-3400-000018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021017" name="Check Box 25" hidden="1">
              <a:extLst>
                <a:ext uri="{63B3BB69-23CF-44E3-9099-C40C66FF867C}">
                  <a14:compatExt spid="_x0000_s24021017"/>
                </a:ext>
                <a:ext uri="{FF2B5EF4-FFF2-40B4-BE49-F238E27FC236}">
                  <a16:creationId xmlns:a16="http://schemas.microsoft.com/office/drawing/2014/main" id="{00000000-0008-0000-3400-000019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021018" name="Check Box 26" hidden="1">
              <a:extLst>
                <a:ext uri="{63B3BB69-23CF-44E3-9099-C40C66FF867C}">
                  <a14:compatExt spid="_x0000_s24021018"/>
                </a:ext>
                <a:ext uri="{FF2B5EF4-FFF2-40B4-BE49-F238E27FC236}">
                  <a16:creationId xmlns:a16="http://schemas.microsoft.com/office/drawing/2014/main" id="{00000000-0008-0000-3400-00001A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021019" name="Check Box 27" hidden="1">
              <a:extLst>
                <a:ext uri="{63B3BB69-23CF-44E3-9099-C40C66FF867C}">
                  <a14:compatExt spid="_x0000_s24021019"/>
                </a:ext>
                <a:ext uri="{FF2B5EF4-FFF2-40B4-BE49-F238E27FC236}">
                  <a16:creationId xmlns:a16="http://schemas.microsoft.com/office/drawing/2014/main" id="{00000000-0008-0000-3400-00001B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021020" name="Button 28" hidden="1">
              <a:extLst>
                <a:ext uri="{63B3BB69-23CF-44E3-9099-C40C66FF867C}">
                  <a14:compatExt spid="_x0000_s24021020"/>
                </a:ext>
                <a:ext uri="{FF2B5EF4-FFF2-40B4-BE49-F238E27FC236}">
                  <a16:creationId xmlns:a16="http://schemas.microsoft.com/office/drawing/2014/main" id="{00000000-0008-0000-3400-00001C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021021" name="Button 29" hidden="1">
              <a:extLst>
                <a:ext uri="{63B3BB69-23CF-44E3-9099-C40C66FF867C}">
                  <a14:compatExt spid="_x0000_s24021021"/>
                </a:ext>
                <a:ext uri="{FF2B5EF4-FFF2-40B4-BE49-F238E27FC236}">
                  <a16:creationId xmlns:a16="http://schemas.microsoft.com/office/drawing/2014/main" id="{00000000-0008-0000-3400-00001D886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4021022" name="Check Box 30" hidden="1">
              <a:extLst>
                <a:ext uri="{63B3BB69-23CF-44E3-9099-C40C66FF867C}">
                  <a14:compatExt spid="_x0000_s24021022"/>
                </a:ext>
                <a:ext uri="{FF2B5EF4-FFF2-40B4-BE49-F238E27FC236}">
                  <a16:creationId xmlns:a16="http://schemas.microsoft.com/office/drawing/2014/main" id="{00000000-0008-0000-3400-00001E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4021023" name="Check Box 31" hidden="1">
              <a:extLst>
                <a:ext uri="{63B3BB69-23CF-44E3-9099-C40C66FF867C}">
                  <a14:compatExt spid="_x0000_s24021023"/>
                </a:ext>
                <a:ext uri="{FF2B5EF4-FFF2-40B4-BE49-F238E27FC236}">
                  <a16:creationId xmlns:a16="http://schemas.microsoft.com/office/drawing/2014/main" id="{00000000-0008-0000-3400-00001F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4021024" name="Check Box 32" hidden="1">
              <a:extLst>
                <a:ext uri="{63B3BB69-23CF-44E3-9099-C40C66FF867C}">
                  <a14:compatExt spid="_x0000_s24021024"/>
                </a:ext>
                <a:ext uri="{FF2B5EF4-FFF2-40B4-BE49-F238E27FC236}">
                  <a16:creationId xmlns:a16="http://schemas.microsoft.com/office/drawing/2014/main" id="{00000000-0008-0000-3400-000020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4021025" name="Check Box 33" hidden="1">
              <a:extLst>
                <a:ext uri="{63B3BB69-23CF-44E3-9099-C40C66FF867C}">
                  <a14:compatExt spid="_x0000_s24021025"/>
                </a:ext>
                <a:ext uri="{FF2B5EF4-FFF2-40B4-BE49-F238E27FC236}">
                  <a16:creationId xmlns:a16="http://schemas.microsoft.com/office/drawing/2014/main" id="{00000000-0008-0000-3400-000021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4021026" name="Check Box 34" hidden="1">
              <a:extLst>
                <a:ext uri="{63B3BB69-23CF-44E3-9099-C40C66FF867C}">
                  <a14:compatExt spid="_x0000_s24021026"/>
                </a:ext>
                <a:ext uri="{FF2B5EF4-FFF2-40B4-BE49-F238E27FC236}">
                  <a16:creationId xmlns:a16="http://schemas.microsoft.com/office/drawing/2014/main" id="{00000000-0008-0000-3400-000022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4021027" name="Check Box 35" hidden="1">
              <a:extLst>
                <a:ext uri="{63B3BB69-23CF-44E3-9099-C40C66FF867C}">
                  <a14:compatExt spid="_x0000_s24021027"/>
                </a:ext>
                <a:ext uri="{FF2B5EF4-FFF2-40B4-BE49-F238E27FC236}">
                  <a16:creationId xmlns:a16="http://schemas.microsoft.com/office/drawing/2014/main" id="{00000000-0008-0000-3400-000023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4021028" name="Check Box 36" hidden="1">
              <a:extLst>
                <a:ext uri="{63B3BB69-23CF-44E3-9099-C40C66FF867C}">
                  <a14:compatExt spid="_x0000_s24021028"/>
                </a:ext>
                <a:ext uri="{FF2B5EF4-FFF2-40B4-BE49-F238E27FC236}">
                  <a16:creationId xmlns:a16="http://schemas.microsoft.com/office/drawing/2014/main" id="{00000000-0008-0000-3400-000024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4021029" name="Check Box 37" hidden="1">
              <a:extLst>
                <a:ext uri="{63B3BB69-23CF-44E3-9099-C40C66FF867C}">
                  <a14:compatExt spid="_x0000_s24021029"/>
                </a:ext>
                <a:ext uri="{FF2B5EF4-FFF2-40B4-BE49-F238E27FC236}">
                  <a16:creationId xmlns:a16="http://schemas.microsoft.com/office/drawing/2014/main" id="{00000000-0008-0000-3400-000025886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FD7F2780-3EDB-46FC-B4D4-F744670656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0F22BB3-E3C7-4C69-8144-1F488ABDF32C}"/>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818241" name="Check Box 1" hidden="1">
              <a:extLst>
                <a:ext uri="{63B3BB69-23CF-44E3-9099-C40C66FF867C}">
                  <a14:compatExt spid="_x0000_s23818241"/>
                </a:ext>
                <a:ext uri="{FF2B5EF4-FFF2-40B4-BE49-F238E27FC236}">
                  <a16:creationId xmlns:a16="http://schemas.microsoft.com/office/drawing/2014/main" id="{00000000-0008-0000-3500-000001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818242" name="Check Box 2" hidden="1">
              <a:extLst>
                <a:ext uri="{63B3BB69-23CF-44E3-9099-C40C66FF867C}">
                  <a14:compatExt spid="_x0000_s23818242"/>
                </a:ext>
                <a:ext uri="{FF2B5EF4-FFF2-40B4-BE49-F238E27FC236}">
                  <a16:creationId xmlns:a16="http://schemas.microsoft.com/office/drawing/2014/main" id="{00000000-0008-0000-3500-000002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818243" name="Check Box 3" hidden="1">
              <a:extLst>
                <a:ext uri="{63B3BB69-23CF-44E3-9099-C40C66FF867C}">
                  <a14:compatExt spid="_x0000_s23818243"/>
                </a:ext>
                <a:ext uri="{FF2B5EF4-FFF2-40B4-BE49-F238E27FC236}">
                  <a16:creationId xmlns:a16="http://schemas.microsoft.com/office/drawing/2014/main" id="{00000000-0008-0000-3500-000003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818244" name="Check Box 4" hidden="1">
              <a:extLst>
                <a:ext uri="{63B3BB69-23CF-44E3-9099-C40C66FF867C}">
                  <a14:compatExt spid="_x0000_s23818244"/>
                </a:ext>
                <a:ext uri="{FF2B5EF4-FFF2-40B4-BE49-F238E27FC236}">
                  <a16:creationId xmlns:a16="http://schemas.microsoft.com/office/drawing/2014/main" id="{00000000-0008-0000-3500-000004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818245" name="Check Box 5" hidden="1">
              <a:extLst>
                <a:ext uri="{63B3BB69-23CF-44E3-9099-C40C66FF867C}">
                  <a14:compatExt spid="_x0000_s23818245"/>
                </a:ext>
                <a:ext uri="{FF2B5EF4-FFF2-40B4-BE49-F238E27FC236}">
                  <a16:creationId xmlns:a16="http://schemas.microsoft.com/office/drawing/2014/main" id="{00000000-0008-0000-3500-000005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818246" name="Check Box 6" hidden="1">
              <a:extLst>
                <a:ext uri="{63B3BB69-23CF-44E3-9099-C40C66FF867C}">
                  <a14:compatExt spid="_x0000_s23818246"/>
                </a:ext>
                <a:ext uri="{FF2B5EF4-FFF2-40B4-BE49-F238E27FC236}">
                  <a16:creationId xmlns:a16="http://schemas.microsoft.com/office/drawing/2014/main" id="{00000000-0008-0000-3500-000006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818247" name="Check Box 7" hidden="1">
              <a:extLst>
                <a:ext uri="{63B3BB69-23CF-44E3-9099-C40C66FF867C}">
                  <a14:compatExt spid="_x0000_s23818247"/>
                </a:ext>
                <a:ext uri="{FF2B5EF4-FFF2-40B4-BE49-F238E27FC236}">
                  <a16:creationId xmlns:a16="http://schemas.microsoft.com/office/drawing/2014/main" id="{00000000-0008-0000-3500-000007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818248" name="Button 8" hidden="1">
              <a:extLst>
                <a:ext uri="{63B3BB69-23CF-44E3-9099-C40C66FF867C}">
                  <a14:compatExt spid="_x0000_s23818248"/>
                </a:ext>
                <a:ext uri="{FF2B5EF4-FFF2-40B4-BE49-F238E27FC236}">
                  <a16:creationId xmlns:a16="http://schemas.microsoft.com/office/drawing/2014/main" id="{00000000-0008-0000-3500-000008706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818249" name="Button 9" hidden="1">
              <a:extLst>
                <a:ext uri="{63B3BB69-23CF-44E3-9099-C40C66FF867C}">
                  <a14:compatExt spid="_x0000_s23818249"/>
                </a:ext>
                <a:ext uri="{FF2B5EF4-FFF2-40B4-BE49-F238E27FC236}">
                  <a16:creationId xmlns:a16="http://schemas.microsoft.com/office/drawing/2014/main" id="{00000000-0008-0000-3500-000009706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818250" name="Check Box 10" hidden="1">
              <a:extLst>
                <a:ext uri="{63B3BB69-23CF-44E3-9099-C40C66FF867C}">
                  <a14:compatExt spid="_x0000_s23818250"/>
                </a:ext>
                <a:ext uri="{FF2B5EF4-FFF2-40B4-BE49-F238E27FC236}">
                  <a16:creationId xmlns:a16="http://schemas.microsoft.com/office/drawing/2014/main" id="{00000000-0008-0000-3500-00000A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818251" name="Button 11" hidden="1">
              <a:extLst>
                <a:ext uri="{63B3BB69-23CF-44E3-9099-C40C66FF867C}">
                  <a14:compatExt spid="_x0000_s23818251"/>
                </a:ext>
                <a:ext uri="{FF2B5EF4-FFF2-40B4-BE49-F238E27FC236}">
                  <a16:creationId xmlns:a16="http://schemas.microsoft.com/office/drawing/2014/main" id="{00000000-0008-0000-3500-00000B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818252" name="Button 12" hidden="1">
              <a:extLst>
                <a:ext uri="{63B3BB69-23CF-44E3-9099-C40C66FF867C}">
                  <a14:compatExt spid="_x0000_s23818252"/>
                </a:ext>
                <a:ext uri="{FF2B5EF4-FFF2-40B4-BE49-F238E27FC236}">
                  <a16:creationId xmlns:a16="http://schemas.microsoft.com/office/drawing/2014/main" id="{00000000-0008-0000-3500-00000C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818253" name="Button 13" hidden="1">
              <a:extLst>
                <a:ext uri="{63B3BB69-23CF-44E3-9099-C40C66FF867C}">
                  <a14:compatExt spid="_x0000_s23818253"/>
                </a:ext>
                <a:ext uri="{FF2B5EF4-FFF2-40B4-BE49-F238E27FC236}">
                  <a16:creationId xmlns:a16="http://schemas.microsoft.com/office/drawing/2014/main" id="{00000000-0008-0000-3500-00000D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818254" name="Button 14" hidden="1">
              <a:extLst>
                <a:ext uri="{63B3BB69-23CF-44E3-9099-C40C66FF867C}">
                  <a14:compatExt spid="_x0000_s23818254"/>
                </a:ext>
                <a:ext uri="{FF2B5EF4-FFF2-40B4-BE49-F238E27FC236}">
                  <a16:creationId xmlns:a16="http://schemas.microsoft.com/office/drawing/2014/main" id="{00000000-0008-0000-3500-00000E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818255" name="Check Box 15" hidden="1">
              <a:extLst>
                <a:ext uri="{63B3BB69-23CF-44E3-9099-C40C66FF867C}">
                  <a14:compatExt spid="_x0000_s23818255"/>
                </a:ext>
                <a:ext uri="{FF2B5EF4-FFF2-40B4-BE49-F238E27FC236}">
                  <a16:creationId xmlns:a16="http://schemas.microsoft.com/office/drawing/2014/main" id="{00000000-0008-0000-3500-00000F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818256" name="Check Box 16" hidden="1">
              <a:extLst>
                <a:ext uri="{63B3BB69-23CF-44E3-9099-C40C66FF867C}">
                  <a14:compatExt spid="_x0000_s23818256"/>
                </a:ext>
                <a:ext uri="{FF2B5EF4-FFF2-40B4-BE49-F238E27FC236}">
                  <a16:creationId xmlns:a16="http://schemas.microsoft.com/office/drawing/2014/main" id="{00000000-0008-0000-3500-000010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818257" name="Check Box 17" hidden="1">
              <a:extLst>
                <a:ext uri="{63B3BB69-23CF-44E3-9099-C40C66FF867C}">
                  <a14:compatExt spid="_x0000_s23818257"/>
                </a:ext>
                <a:ext uri="{FF2B5EF4-FFF2-40B4-BE49-F238E27FC236}">
                  <a16:creationId xmlns:a16="http://schemas.microsoft.com/office/drawing/2014/main" id="{00000000-0008-0000-3500-000011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818258" name="Check Box 18" hidden="1">
              <a:extLst>
                <a:ext uri="{63B3BB69-23CF-44E3-9099-C40C66FF867C}">
                  <a14:compatExt spid="_x0000_s23818258"/>
                </a:ext>
                <a:ext uri="{FF2B5EF4-FFF2-40B4-BE49-F238E27FC236}">
                  <a16:creationId xmlns:a16="http://schemas.microsoft.com/office/drawing/2014/main" id="{00000000-0008-0000-3500-000012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818259" name="Check Box 19" hidden="1">
              <a:extLst>
                <a:ext uri="{63B3BB69-23CF-44E3-9099-C40C66FF867C}">
                  <a14:compatExt spid="_x0000_s23818259"/>
                </a:ext>
                <a:ext uri="{FF2B5EF4-FFF2-40B4-BE49-F238E27FC236}">
                  <a16:creationId xmlns:a16="http://schemas.microsoft.com/office/drawing/2014/main" id="{00000000-0008-0000-3500-000013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818260" name="Check Box 20" hidden="1">
              <a:extLst>
                <a:ext uri="{63B3BB69-23CF-44E3-9099-C40C66FF867C}">
                  <a14:compatExt spid="_x0000_s23818260"/>
                </a:ext>
                <a:ext uri="{FF2B5EF4-FFF2-40B4-BE49-F238E27FC236}">
                  <a16:creationId xmlns:a16="http://schemas.microsoft.com/office/drawing/2014/main" id="{00000000-0008-0000-3500-000014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818261" name="Check Box 21" hidden="1">
              <a:extLst>
                <a:ext uri="{63B3BB69-23CF-44E3-9099-C40C66FF867C}">
                  <a14:compatExt spid="_x0000_s23818261"/>
                </a:ext>
                <a:ext uri="{FF2B5EF4-FFF2-40B4-BE49-F238E27FC236}">
                  <a16:creationId xmlns:a16="http://schemas.microsoft.com/office/drawing/2014/main" id="{00000000-0008-0000-3500-000015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818262" name="Check Box 22" hidden="1">
              <a:extLst>
                <a:ext uri="{63B3BB69-23CF-44E3-9099-C40C66FF867C}">
                  <a14:compatExt spid="_x0000_s23818262"/>
                </a:ext>
                <a:ext uri="{FF2B5EF4-FFF2-40B4-BE49-F238E27FC236}">
                  <a16:creationId xmlns:a16="http://schemas.microsoft.com/office/drawing/2014/main" id="{00000000-0008-0000-3500-000016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818263" name="Check Box 23" hidden="1">
              <a:extLst>
                <a:ext uri="{63B3BB69-23CF-44E3-9099-C40C66FF867C}">
                  <a14:compatExt spid="_x0000_s23818263"/>
                </a:ext>
                <a:ext uri="{FF2B5EF4-FFF2-40B4-BE49-F238E27FC236}">
                  <a16:creationId xmlns:a16="http://schemas.microsoft.com/office/drawing/2014/main" id="{00000000-0008-0000-3500-000017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818264" name="Check Box 24" hidden="1">
              <a:extLst>
                <a:ext uri="{63B3BB69-23CF-44E3-9099-C40C66FF867C}">
                  <a14:compatExt spid="_x0000_s23818264"/>
                </a:ext>
                <a:ext uri="{FF2B5EF4-FFF2-40B4-BE49-F238E27FC236}">
                  <a16:creationId xmlns:a16="http://schemas.microsoft.com/office/drawing/2014/main" id="{00000000-0008-0000-3500-000018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818265" name="Check Box 25" hidden="1">
              <a:extLst>
                <a:ext uri="{63B3BB69-23CF-44E3-9099-C40C66FF867C}">
                  <a14:compatExt spid="_x0000_s23818265"/>
                </a:ext>
                <a:ext uri="{FF2B5EF4-FFF2-40B4-BE49-F238E27FC236}">
                  <a16:creationId xmlns:a16="http://schemas.microsoft.com/office/drawing/2014/main" id="{00000000-0008-0000-3500-000019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818266" name="Check Box 26" hidden="1">
              <a:extLst>
                <a:ext uri="{63B3BB69-23CF-44E3-9099-C40C66FF867C}">
                  <a14:compatExt spid="_x0000_s23818266"/>
                </a:ext>
                <a:ext uri="{FF2B5EF4-FFF2-40B4-BE49-F238E27FC236}">
                  <a16:creationId xmlns:a16="http://schemas.microsoft.com/office/drawing/2014/main" id="{00000000-0008-0000-3500-00001A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818267" name="Check Box 27" hidden="1">
              <a:extLst>
                <a:ext uri="{63B3BB69-23CF-44E3-9099-C40C66FF867C}">
                  <a14:compatExt spid="_x0000_s23818267"/>
                </a:ext>
                <a:ext uri="{FF2B5EF4-FFF2-40B4-BE49-F238E27FC236}">
                  <a16:creationId xmlns:a16="http://schemas.microsoft.com/office/drawing/2014/main" id="{00000000-0008-0000-3500-00001B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818268" name="Button 28" hidden="1">
              <a:extLst>
                <a:ext uri="{63B3BB69-23CF-44E3-9099-C40C66FF867C}">
                  <a14:compatExt spid="_x0000_s23818268"/>
                </a:ext>
                <a:ext uri="{FF2B5EF4-FFF2-40B4-BE49-F238E27FC236}">
                  <a16:creationId xmlns:a16="http://schemas.microsoft.com/office/drawing/2014/main" id="{00000000-0008-0000-3500-00001C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818269" name="Button 29" hidden="1">
              <a:extLst>
                <a:ext uri="{63B3BB69-23CF-44E3-9099-C40C66FF867C}">
                  <a14:compatExt spid="_x0000_s23818269"/>
                </a:ext>
                <a:ext uri="{FF2B5EF4-FFF2-40B4-BE49-F238E27FC236}">
                  <a16:creationId xmlns:a16="http://schemas.microsoft.com/office/drawing/2014/main" id="{00000000-0008-0000-3500-00001D706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818270" name="Check Box 30" hidden="1">
              <a:extLst>
                <a:ext uri="{63B3BB69-23CF-44E3-9099-C40C66FF867C}">
                  <a14:compatExt spid="_x0000_s23818270"/>
                </a:ext>
                <a:ext uri="{FF2B5EF4-FFF2-40B4-BE49-F238E27FC236}">
                  <a16:creationId xmlns:a16="http://schemas.microsoft.com/office/drawing/2014/main" id="{00000000-0008-0000-3500-00001E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818271" name="Check Box 31" hidden="1">
              <a:extLst>
                <a:ext uri="{63B3BB69-23CF-44E3-9099-C40C66FF867C}">
                  <a14:compatExt spid="_x0000_s23818271"/>
                </a:ext>
                <a:ext uri="{FF2B5EF4-FFF2-40B4-BE49-F238E27FC236}">
                  <a16:creationId xmlns:a16="http://schemas.microsoft.com/office/drawing/2014/main" id="{00000000-0008-0000-3500-00001F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818272" name="Check Box 32" hidden="1">
              <a:extLst>
                <a:ext uri="{63B3BB69-23CF-44E3-9099-C40C66FF867C}">
                  <a14:compatExt spid="_x0000_s23818272"/>
                </a:ext>
                <a:ext uri="{FF2B5EF4-FFF2-40B4-BE49-F238E27FC236}">
                  <a16:creationId xmlns:a16="http://schemas.microsoft.com/office/drawing/2014/main" id="{00000000-0008-0000-3500-000020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818273" name="Check Box 33" hidden="1">
              <a:extLst>
                <a:ext uri="{63B3BB69-23CF-44E3-9099-C40C66FF867C}">
                  <a14:compatExt spid="_x0000_s23818273"/>
                </a:ext>
                <a:ext uri="{FF2B5EF4-FFF2-40B4-BE49-F238E27FC236}">
                  <a16:creationId xmlns:a16="http://schemas.microsoft.com/office/drawing/2014/main" id="{00000000-0008-0000-3500-000021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818274" name="Check Box 34" hidden="1">
              <a:extLst>
                <a:ext uri="{63B3BB69-23CF-44E3-9099-C40C66FF867C}">
                  <a14:compatExt spid="_x0000_s23818274"/>
                </a:ext>
                <a:ext uri="{FF2B5EF4-FFF2-40B4-BE49-F238E27FC236}">
                  <a16:creationId xmlns:a16="http://schemas.microsoft.com/office/drawing/2014/main" id="{00000000-0008-0000-3500-000022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818275" name="Check Box 35" hidden="1">
              <a:extLst>
                <a:ext uri="{63B3BB69-23CF-44E3-9099-C40C66FF867C}">
                  <a14:compatExt spid="_x0000_s23818275"/>
                </a:ext>
                <a:ext uri="{FF2B5EF4-FFF2-40B4-BE49-F238E27FC236}">
                  <a16:creationId xmlns:a16="http://schemas.microsoft.com/office/drawing/2014/main" id="{00000000-0008-0000-3500-000023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818276" name="Check Box 36" hidden="1">
              <a:extLst>
                <a:ext uri="{63B3BB69-23CF-44E3-9099-C40C66FF867C}">
                  <a14:compatExt spid="_x0000_s23818276"/>
                </a:ext>
                <a:ext uri="{FF2B5EF4-FFF2-40B4-BE49-F238E27FC236}">
                  <a16:creationId xmlns:a16="http://schemas.microsoft.com/office/drawing/2014/main" id="{00000000-0008-0000-3500-000024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818277" name="Check Box 37" hidden="1">
              <a:extLst>
                <a:ext uri="{63B3BB69-23CF-44E3-9099-C40C66FF867C}">
                  <a14:compatExt spid="_x0000_s23818277"/>
                </a:ext>
                <a:ext uri="{FF2B5EF4-FFF2-40B4-BE49-F238E27FC236}">
                  <a16:creationId xmlns:a16="http://schemas.microsoft.com/office/drawing/2014/main" id="{00000000-0008-0000-3500-000025706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7</xdr:col>
      <xdr:colOff>91111</xdr:colOff>
      <xdr:row>0</xdr:row>
      <xdr:rowOff>99391</xdr:rowOff>
    </xdr:from>
    <xdr:to>
      <xdr:col>8</xdr:col>
      <xdr:colOff>844828</xdr:colOff>
      <xdr:row>4</xdr:row>
      <xdr:rowOff>146887</xdr:rowOff>
    </xdr:to>
    <xdr:pic>
      <xdr:nvPicPr>
        <xdr:cNvPr id="3" name="Picture 2">
          <a:extLst>
            <a:ext uri="{FF2B5EF4-FFF2-40B4-BE49-F238E27FC236}">
              <a16:creationId xmlns:a16="http://schemas.microsoft.com/office/drawing/2014/main" id="{B2363D70-EE5E-46B8-A578-EB9A49C2781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358311" y="99391"/>
          <a:ext cx="1363317" cy="847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F7EC088-2E92-4748-985A-39D0F38883F4}"/>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D4A11CBF-BF51-4FC4-ACA8-5868C4DEFCCD}"/>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716865" name="Check Box 1" hidden="1">
              <a:extLst>
                <a:ext uri="{63B3BB69-23CF-44E3-9099-C40C66FF867C}">
                  <a14:compatExt spid="_x0000_s23716865"/>
                </a:ext>
                <a:ext uri="{FF2B5EF4-FFF2-40B4-BE49-F238E27FC236}">
                  <a16:creationId xmlns:a16="http://schemas.microsoft.com/office/drawing/2014/main" id="{00000000-0008-0000-3600-000001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716866" name="Check Box 2" hidden="1">
              <a:extLst>
                <a:ext uri="{63B3BB69-23CF-44E3-9099-C40C66FF867C}">
                  <a14:compatExt spid="_x0000_s23716866"/>
                </a:ext>
                <a:ext uri="{FF2B5EF4-FFF2-40B4-BE49-F238E27FC236}">
                  <a16:creationId xmlns:a16="http://schemas.microsoft.com/office/drawing/2014/main" id="{00000000-0008-0000-3600-000002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716867" name="Check Box 3" hidden="1">
              <a:extLst>
                <a:ext uri="{63B3BB69-23CF-44E3-9099-C40C66FF867C}">
                  <a14:compatExt spid="_x0000_s23716867"/>
                </a:ext>
                <a:ext uri="{FF2B5EF4-FFF2-40B4-BE49-F238E27FC236}">
                  <a16:creationId xmlns:a16="http://schemas.microsoft.com/office/drawing/2014/main" id="{00000000-0008-0000-3600-000003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716868" name="Check Box 4" hidden="1">
              <a:extLst>
                <a:ext uri="{63B3BB69-23CF-44E3-9099-C40C66FF867C}">
                  <a14:compatExt spid="_x0000_s23716868"/>
                </a:ext>
                <a:ext uri="{FF2B5EF4-FFF2-40B4-BE49-F238E27FC236}">
                  <a16:creationId xmlns:a16="http://schemas.microsoft.com/office/drawing/2014/main" id="{00000000-0008-0000-3600-000004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716869" name="Check Box 5" hidden="1">
              <a:extLst>
                <a:ext uri="{63B3BB69-23CF-44E3-9099-C40C66FF867C}">
                  <a14:compatExt spid="_x0000_s23716869"/>
                </a:ext>
                <a:ext uri="{FF2B5EF4-FFF2-40B4-BE49-F238E27FC236}">
                  <a16:creationId xmlns:a16="http://schemas.microsoft.com/office/drawing/2014/main" id="{00000000-0008-0000-3600-000005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716870" name="Check Box 6" hidden="1">
              <a:extLst>
                <a:ext uri="{63B3BB69-23CF-44E3-9099-C40C66FF867C}">
                  <a14:compatExt spid="_x0000_s23716870"/>
                </a:ext>
                <a:ext uri="{FF2B5EF4-FFF2-40B4-BE49-F238E27FC236}">
                  <a16:creationId xmlns:a16="http://schemas.microsoft.com/office/drawing/2014/main" id="{00000000-0008-0000-3600-000006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716871" name="Check Box 7" hidden="1">
              <a:extLst>
                <a:ext uri="{63B3BB69-23CF-44E3-9099-C40C66FF867C}">
                  <a14:compatExt spid="_x0000_s23716871"/>
                </a:ext>
                <a:ext uri="{FF2B5EF4-FFF2-40B4-BE49-F238E27FC236}">
                  <a16:creationId xmlns:a16="http://schemas.microsoft.com/office/drawing/2014/main" id="{00000000-0008-0000-3600-000007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716872" name="Button 8" hidden="1">
              <a:extLst>
                <a:ext uri="{63B3BB69-23CF-44E3-9099-C40C66FF867C}">
                  <a14:compatExt spid="_x0000_s23716872"/>
                </a:ext>
                <a:ext uri="{FF2B5EF4-FFF2-40B4-BE49-F238E27FC236}">
                  <a16:creationId xmlns:a16="http://schemas.microsoft.com/office/drawing/2014/main" id="{00000000-0008-0000-3600-000008E46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716873" name="Button 9" hidden="1">
              <a:extLst>
                <a:ext uri="{63B3BB69-23CF-44E3-9099-C40C66FF867C}">
                  <a14:compatExt spid="_x0000_s23716873"/>
                </a:ext>
                <a:ext uri="{FF2B5EF4-FFF2-40B4-BE49-F238E27FC236}">
                  <a16:creationId xmlns:a16="http://schemas.microsoft.com/office/drawing/2014/main" id="{00000000-0008-0000-3600-000009E469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716874" name="Check Box 10" hidden="1">
              <a:extLst>
                <a:ext uri="{63B3BB69-23CF-44E3-9099-C40C66FF867C}">
                  <a14:compatExt spid="_x0000_s23716874"/>
                </a:ext>
                <a:ext uri="{FF2B5EF4-FFF2-40B4-BE49-F238E27FC236}">
                  <a16:creationId xmlns:a16="http://schemas.microsoft.com/office/drawing/2014/main" id="{00000000-0008-0000-3600-00000A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716875" name="Button 11" hidden="1">
              <a:extLst>
                <a:ext uri="{63B3BB69-23CF-44E3-9099-C40C66FF867C}">
                  <a14:compatExt spid="_x0000_s23716875"/>
                </a:ext>
                <a:ext uri="{FF2B5EF4-FFF2-40B4-BE49-F238E27FC236}">
                  <a16:creationId xmlns:a16="http://schemas.microsoft.com/office/drawing/2014/main" id="{00000000-0008-0000-3600-00000B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716876" name="Button 12" hidden="1">
              <a:extLst>
                <a:ext uri="{63B3BB69-23CF-44E3-9099-C40C66FF867C}">
                  <a14:compatExt spid="_x0000_s23716876"/>
                </a:ext>
                <a:ext uri="{FF2B5EF4-FFF2-40B4-BE49-F238E27FC236}">
                  <a16:creationId xmlns:a16="http://schemas.microsoft.com/office/drawing/2014/main" id="{00000000-0008-0000-3600-00000C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716877" name="Button 13" hidden="1">
              <a:extLst>
                <a:ext uri="{63B3BB69-23CF-44E3-9099-C40C66FF867C}">
                  <a14:compatExt spid="_x0000_s23716877"/>
                </a:ext>
                <a:ext uri="{FF2B5EF4-FFF2-40B4-BE49-F238E27FC236}">
                  <a16:creationId xmlns:a16="http://schemas.microsoft.com/office/drawing/2014/main" id="{00000000-0008-0000-3600-00000D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716878" name="Button 14" hidden="1">
              <a:extLst>
                <a:ext uri="{63B3BB69-23CF-44E3-9099-C40C66FF867C}">
                  <a14:compatExt spid="_x0000_s23716878"/>
                </a:ext>
                <a:ext uri="{FF2B5EF4-FFF2-40B4-BE49-F238E27FC236}">
                  <a16:creationId xmlns:a16="http://schemas.microsoft.com/office/drawing/2014/main" id="{00000000-0008-0000-3600-00000E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716879" name="Check Box 15" hidden="1">
              <a:extLst>
                <a:ext uri="{63B3BB69-23CF-44E3-9099-C40C66FF867C}">
                  <a14:compatExt spid="_x0000_s23716879"/>
                </a:ext>
                <a:ext uri="{FF2B5EF4-FFF2-40B4-BE49-F238E27FC236}">
                  <a16:creationId xmlns:a16="http://schemas.microsoft.com/office/drawing/2014/main" id="{00000000-0008-0000-3600-00000F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716880" name="Check Box 16" hidden="1">
              <a:extLst>
                <a:ext uri="{63B3BB69-23CF-44E3-9099-C40C66FF867C}">
                  <a14:compatExt spid="_x0000_s23716880"/>
                </a:ext>
                <a:ext uri="{FF2B5EF4-FFF2-40B4-BE49-F238E27FC236}">
                  <a16:creationId xmlns:a16="http://schemas.microsoft.com/office/drawing/2014/main" id="{00000000-0008-0000-3600-000010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716881" name="Check Box 17" hidden="1">
              <a:extLst>
                <a:ext uri="{63B3BB69-23CF-44E3-9099-C40C66FF867C}">
                  <a14:compatExt spid="_x0000_s23716881"/>
                </a:ext>
                <a:ext uri="{FF2B5EF4-FFF2-40B4-BE49-F238E27FC236}">
                  <a16:creationId xmlns:a16="http://schemas.microsoft.com/office/drawing/2014/main" id="{00000000-0008-0000-3600-000011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716882" name="Check Box 18" hidden="1">
              <a:extLst>
                <a:ext uri="{63B3BB69-23CF-44E3-9099-C40C66FF867C}">
                  <a14:compatExt spid="_x0000_s23716882"/>
                </a:ext>
                <a:ext uri="{FF2B5EF4-FFF2-40B4-BE49-F238E27FC236}">
                  <a16:creationId xmlns:a16="http://schemas.microsoft.com/office/drawing/2014/main" id="{00000000-0008-0000-3600-000012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716883" name="Check Box 19" hidden="1">
              <a:extLst>
                <a:ext uri="{63B3BB69-23CF-44E3-9099-C40C66FF867C}">
                  <a14:compatExt spid="_x0000_s23716883"/>
                </a:ext>
                <a:ext uri="{FF2B5EF4-FFF2-40B4-BE49-F238E27FC236}">
                  <a16:creationId xmlns:a16="http://schemas.microsoft.com/office/drawing/2014/main" id="{00000000-0008-0000-3600-000013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716884" name="Check Box 20" hidden="1">
              <a:extLst>
                <a:ext uri="{63B3BB69-23CF-44E3-9099-C40C66FF867C}">
                  <a14:compatExt spid="_x0000_s23716884"/>
                </a:ext>
                <a:ext uri="{FF2B5EF4-FFF2-40B4-BE49-F238E27FC236}">
                  <a16:creationId xmlns:a16="http://schemas.microsoft.com/office/drawing/2014/main" id="{00000000-0008-0000-3600-000014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716885" name="Check Box 21" hidden="1">
              <a:extLst>
                <a:ext uri="{63B3BB69-23CF-44E3-9099-C40C66FF867C}">
                  <a14:compatExt spid="_x0000_s23716885"/>
                </a:ext>
                <a:ext uri="{FF2B5EF4-FFF2-40B4-BE49-F238E27FC236}">
                  <a16:creationId xmlns:a16="http://schemas.microsoft.com/office/drawing/2014/main" id="{00000000-0008-0000-3600-000015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716886" name="Check Box 22" hidden="1">
              <a:extLst>
                <a:ext uri="{63B3BB69-23CF-44E3-9099-C40C66FF867C}">
                  <a14:compatExt spid="_x0000_s23716886"/>
                </a:ext>
                <a:ext uri="{FF2B5EF4-FFF2-40B4-BE49-F238E27FC236}">
                  <a16:creationId xmlns:a16="http://schemas.microsoft.com/office/drawing/2014/main" id="{00000000-0008-0000-3600-000016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716887" name="Check Box 23" hidden="1">
              <a:extLst>
                <a:ext uri="{63B3BB69-23CF-44E3-9099-C40C66FF867C}">
                  <a14:compatExt spid="_x0000_s23716887"/>
                </a:ext>
                <a:ext uri="{FF2B5EF4-FFF2-40B4-BE49-F238E27FC236}">
                  <a16:creationId xmlns:a16="http://schemas.microsoft.com/office/drawing/2014/main" id="{00000000-0008-0000-3600-000017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716888" name="Check Box 24" hidden="1">
              <a:extLst>
                <a:ext uri="{63B3BB69-23CF-44E3-9099-C40C66FF867C}">
                  <a14:compatExt spid="_x0000_s23716888"/>
                </a:ext>
                <a:ext uri="{FF2B5EF4-FFF2-40B4-BE49-F238E27FC236}">
                  <a16:creationId xmlns:a16="http://schemas.microsoft.com/office/drawing/2014/main" id="{00000000-0008-0000-3600-000018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716889" name="Check Box 25" hidden="1">
              <a:extLst>
                <a:ext uri="{63B3BB69-23CF-44E3-9099-C40C66FF867C}">
                  <a14:compatExt spid="_x0000_s23716889"/>
                </a:ext>
                <a:ext uri="{FF2B5EF4-FFF2-40B4-BE49-F238E27FC236}">
                  <a16:creationId xmlns:a16="http://schemas.microsoft.com/office/drawing/2014/main" id="{00000000-0008-0000-3600-000019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716890" name="Check Box 26" hidden="1">
              <a:extLst>
                <a:ext uri="{63B3BB69-23CF-44E3-9099-C40C66FF867C}">
                  <a14:compatExt spid="_x0000_s23716890"/>
                </a:ext>
                <a:ext uri="{FF2B5EF4-FFF2-40B4-BE49-F238E27FC236}">
                  <a16:creationId xmlns:a16="http://schemas.microsoft.com/office/drawing/2014/main" id="{00000000-0008-0000-3600-00001A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716891" name="Check Box 27" hidden="1">
              <a:extLst>
                <a:ext uri="{63B3BB69-23CF-44E3-9099-C40C66FF867C}">
                  <a14:compatExt spid="_x0000_s23716891"/>
                </a:ext>
                <a:ext uri="{FF2B5EF4-FFF2-40B4-BE49-F238E27FC236}">
                  <a16:creationId xmlns:a16="http://schemas.microsoft.com/office/drawing/2014/main" id="{00000000-0008-0000-3600-00001B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716892" name="Button 28" hidden="1">
              <a:extLst>
                <a:ext uri="{63B3BB69-23CF-44E3-9099-C40C66FF867C}">
                  <a14:compatExt spid="_x0000_s23716892"/>
                </a:ext>
                <a:ext uri="{FF2B5EF4-FFF2-40B4-BE49-F238E27FC236}">
                  <a16:creationId xmlns:a16="http://schemas.microsoft.com/office/drawing/2014/main" id="{00000000-0008-0000-3600-00001C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716893" name="Button 29" hidden="1">
              <a:extLst>
                <a:ext uri="{63B3BB69-23CF-44E3-9099-C40C66FF867C}">
                  <a14:compatExt spid="_x0000_s23716893"/>
                </a:ext>
                <a:ext uri="{FF2B5EF4-FFF2-40B4-BE49-F238E27FC236}">
                  <a16:creationId xmlns:a16="http://schemas.microsoft.com/office/drawing/2014/main" id="{00000000-0008-0000-3600-00001DE469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716894" name="Check Box 30" hidden="1">
              <a:extLst>
                <a:ext uri="{63B3BB69-23CF-44E3-9099-C40C66FF867C}">
                  <a14:compatExt spid="_x0000_s23716894"/>
                </a:ext>
                <a:ext uri="{FF2B5EF4-FFF2-40B4-BE49-F238E27FC236}">
                  <a16:creationId xmlns:a16="http://schemas.microsoft.com/office/drawing/2014/main" id="{00000000-0008-0000-3600-00001E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716895" name="Check Box 31" hidden="1">
              <a:extLst>
                <a:ext uri="{63B3BB69-23CF-44E3-9099-C40C66FF867C}">
                  <a14:compatExt spid="_x0000_s23716895"/>
                </a:ext>
                <a:ext uri="{FF2B5EF4-FFF2-40B4-BE49-F238E27FC236}">
                  <a16:creationId xmlns:a16="http://schemas.microsoft.com/office/drawing/2014/main" id="{00000000-0008-0000-3600-00001F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716896" name="Check Box 32" hidden="1">
              <a:extLst>
                <a:ext uri="{63B3BB69-23CF-44E3-9099-C40C66FF867C}">
                  <a14:compatExt spid="_x0000_s23716896"/>
                </a:ext>
                <a:ext uri="{FF2B5EF4-FFF2-40B4-BE49-F238E27FC236}">
                  <a16:creationId xmlns:a16="http://schemas.microsoft.com/office/drawing/2014/main" id="{00000000-0008-0000-3600-000020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716897" name="Check Box 33" hidden="1">
              <a:extLst>
                <a:ext uri="{63B3BB69-23CF-44E3-9099-C40C66FF867C}">
                  <a14:compatExt spid="_x0000_s23716897"/>
                </a:ext>
                <a:ext uri="{FF2B5EF4-FFF2-40B4-BE49-F238E27FC236}">
                  <a16:creationId xmlns:a16="http://schemas.microsoft.com/office/drawing/2014/main" id="{00000000-0008-0000-3600-000021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716898" name="Check Box 34" hidden="1">
              <a:extLst>
                <a:ext uri="{63B3BB69-23CF-44E3-9099-C40C66FF867C}">
                  <a14:compatExt spid="_x0000_s23716898"/>
                </a:ext>
                <a:ext uri="{FF2B5EF4-FFF2-40B4-BE49-F238E27FC236}">
                  <a16:creationId xmlns:a16="http://schemas.microsoft.com/office/drawing/2014/main" id="{00000000-0008-0000-3600-000022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716899" name="Check Box 35" hidden="1">
              <a:extLst>
                <a:ext uri="{63B3BB69-23CF-44E3-9099-C40C66FF867C}">
                  <a14:compatExt spid="_x0000_s23716899"/>
                </a:ext>
                <a:ext uri="{FF2B5EF4-FFF2-40B4-BE49-F238E27FC236}">
                  <a16:creationId xmlns:a16="http://schemas.microsoft.com/office/drawing/2014/main" id="{00000000-0008-0000-3600-000023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716900" name="Check Box 36" hidden="1">
              <a:extLst>
                <a:ext uri="{63B3BB69-23CF-44E3-9099-C40C66FF867C}">
                  <a14:compatExt spid="_x0000_s23716900"/>
                </a:ext>
                <a:ext uri="{FF2B5EF4-FFF2-40B4-BE49-F238E27FC236}">
                  <a16:creationId xmlns:a16="http://schemas.microsoft.com/office/drawing/2014/main" id="{00000000-0008-0000-3600-000024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716901" name="Check Box 37" hidden="1">
              <a:extLst>
                <a:ext uri="{63B3BB69-23CF-44E3-9099-C40C66FF867C}">
                  <a14:compatExt spid="_x0000_s23716901"/>
                </a:ext>
                <a:ext uri="{FF2B5EF4-FFF2-40B4-BE49-F238E27FC236}">
                  <a16:creationId xmlns:a16="http://schemas.microsoft.com/office/drawing/2014/main" id="{00000000-0008-0000-3600-000025E469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B1C98C3-7DEA-4657-A294-921953A784D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6C53D1C-FB81-45F9-93D8-D277FAF34403}"/>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614465" name="Check Box 1" hidden="1">
              <a:extLst>
                <a:ext uri="{63B3BB69-23CF-44E3-9099-C40C66FF867C}">
                  <a14:compatExt spid="_x0000_s23614465"/>
                </a:ext>
                <a:ext uri="{FF2B5EF4-FFF2-40B4-BE49-F238E27FC236}">
                  <a16:creationId xmlns:a16="http://schemas.microsoft.com/office/drawing/2014/main" id="{00000000-0008-0000-3700-000001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614466" name="Check Box 2" hidden="1">
              <a:extLst>
                <a:ext uri="{63B3BB69-23CF-44E3-9099-C40C66FF867C}">
                  <a14:compatExt spid="_x0000_s23614466"/>
                </a:ext>
                <a:ext uri="{FF2B5EF4-FFF2-40B4-BE49-F238E27FC236}">
                  <a16:creationId xmlns:a16="http://schemas.microsoft.com/office/drawing/2014/main" id="{00000000-0008-0000-3700-000002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614467" name="Check Box 3" hidden="1">
              <a:extLst>
                <a:ext uri="{63B3BB69-23CF-44E3-9099-C40C66FF867C}">
                  <a14:compatExt spid="_x0000_s23614467"/>
                </a:ext>
                <a:ext uri="{FF2B5EF4-FFF2-40B4-BE49-F238E27FC236}">
                  <a16:creationId xmlns:a16="http://schemas.microsoft.com/office/drawing/2014/main" id="{00000000-0008-0000-3700-000003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614468" name="Check Box 4" hidden="1">
              <a:extLst>
                <a:ext uri="{63B3BB69-23CF-44E3-9099-C40C66FF867C}">
                  <a14:compatExt spid="_x0000_s23614468"/>
                </a:ext>
                <a:ext uri="{FF2B5EF4-FFF2-40B4-BE49-F238E27FC236}">
                  <a16:creationId xmlns:a16="http://schemas.microsoft.com/office/drawing/2014/main" id="{00000000-0008-0000-3700-000004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614469" name="Check Box 5" hidden="1">
              <a:extLst>
                <a:ext uri="{63B3BB69-23CF-44E3-9099-C40C66FF867C}">
                  <a14:compatExt spid="_x0000_s23614469"/>
                </a:ext>
                <a:ext uri="{FF2B5EF4-FFF2-40B4-BE49-F238E27FC236}">
                  <a16:creationId xmlns:a16="http://schemas.microsoft.com/office/drawing/2014/main" id="{00000000-0008-0000-3700-000005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614470" name="Check Box 6" hidden="1">
              <a:extLst>
                <a:ext uri="{63B3BB69-23CF-44E3-9099-C40C66FF867C}">
                  <a14:compatExt spid="_x0000_s23614470"/>
                </a:ext>
                <a:ext uri="{FF2B5EF4-FFF2-40B4-BE49-F238E27FC236}">
                  <a16:creationId xmlns:a16="http://schemas.microsoft.com/office/drawing/2014/main" id="{00000000-0008-0000-3700-000006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614471" name="Check Box 7" hidden="1">
              <a:extLst>
                <a:ext uri="{63B3BB69-23CF-44E3-9099-C40C66FF867C}">
                  <a14:compatExt spid="_x0000_s23614471"/>
                </a:ext>
                <a:ext uri="{FF2B5EF4-FFF2-40B4-BE49-F238E27FC236}">
                  <a16:creationId xmlns:a16="http://schemas.microsoft.com/office/drawing/2014/main" id="{00000000-0008-0000-3700-000007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614472" name="Button 8" hidden="1">
              <a:extLst>
                <a:ext uri="{63B3BB69-23CF-44E3-9099-C40C66FF867C}">
                  <a14:compatExt spid="_x0000_s23614472"/>
                </a:ext>
                <a:ext uri="{FF2B5EF4-FFF2-40B4-BE49-F238E27FC236}">
                  <a16:creationId xmlns:a16="http://schemas.microsoft.com/office/drawing/2014/main" id="{00000000-0008-0000-3700-00000854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614473" name="Button 9" hidden="1">
              <a:extLst>
                <a:ext uri="{63B3BB69-23CF-44E3-9099-C40C66FF867C}">
                  <a14:compatExt spid="_x0000_s23614473"/>
                </a:ext>
                <a:ext uri="{FF2B5EF4-FFF2-40B4-BE49-F238E27FC236}">
                  <a16:creationId xmlns:a16="http://schemas.microsoft.com/office/drawing/2014/main" id="{00000000-0008-0000-3700-00000954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614474" name="Check Box 10" hidden="1">
              <a:extLst>
                <a:ext uri="{63B3BB69-23CF-44E3-9099-C40C66FF867C}">
                  <a14:compatExt spid="_x0000_s23614474"/>
                </a:ext>
                <a:ext uri="{FF2B5EF4-FFF2-40B4-BE49-F238E27FC236}">
                  <a16:creationId xmlns:a16="http://schemas.microsoft.com/office/drawing/2014/main" id="{00000000-0008-0000-3700-00000A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614475" name="Button 11" hidden="1">
              <a:extLst>
                <a:ext uri="{63B3BB69-23CF-44E3-9099-C40C66FF867C}">
                  <a14:compatExt spid="_x0000_s23614475"/>
                </a:ext>
                <a:ext uri="{FF2B5EF4-FFF2-40B4-BE49-F238E27FC236}">
                  <a16:creationId xmlns:a16="http://schemas.microsoft.com/office/drawing/2014/main" id="{00000000-0008-0000-3700-00000B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614476" name="Button 12" hidden="1">
              <a:extLst>
                <a:ext uri="{63B3BB69-23CF-44E3-9099-C40C66FF867C}">
                  <a14:compatExt spid="_x0000_s23614476"/>
                </a:ext>
                <a:ext uri="{FF2B5EF4-FFF2-40B4-BE49-F238E27FC236}">
                  <a16:creationId xmlns:a16="http://schemas.microsoft.com/office/drawing/2014/main" id="{00000000-0008-0000-3700-00000C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614477" name="Button 13" hidden="1">
              <a:extLst>
                <a:ext uri="{63B3BB69-23CF-44E3-9099-C40C66FF867C}">
                  <a14:compatExt spid="_x0000_s23614477"/>
                </a:ext>
                <a:ext uri="{FF2B5EF4-FFF2-40B4-BE49-F238E27FC236}">
                  <a16:creationId xmlns:a16="http://schemas.microsoft.com/office/drawing/2014/main" id="{00000000-0008-0000-3700-00000D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614478" name="Button 14" hidden="1">
              <a:extLst>
                <a:ext uri="{63B3BB69-23CF-44E3-9099-C40C66FF867C}">
                  <a14:compatExt spid="_x0000_s23614478"/>
                </a:ext>
                <a:ext uri="{FF2B5EF4-FFF2-40B4-BE49-F238E27FC236}">
                  <a16:creationId xmlns:a16="http://schemas.microsoft.com/office/drawing/2014/main" id="{00000000-0008-0000-3700-00000E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614479" name="Check Box 15" hidden="1">
              <a:extLst>
                <a:ext uri="{63B3BB69-23CF-44E3-9099-C40C66FF867C}">
                  <a14:compatExt spid="_x0000_s23614479"/>
                </a:ext>
                <a:ext uri="{FF2B5EF4-FFF2-40B4-BE49-F238E27FC236}">
                  <a16:creationId xmlns:a16="http://schemas.microsoft.com/office/drawing/2014/main" id="{00000000-0008-0000-3700-00000F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614480" name="Check Box 16" hidden="1">
              <a:extLst>
                <a:ext uri="{63B3BB69-23CF-44E3-9099-C40C66FF867C}">
                  <a14:compatExt spid="_x0000_s23614480"/>
                </a:ext>
                <a:ext uri="{FF2B5EF4-FFF2-40B4-BE49-F238E27FC236}">
                  <a16:creationId xmlns:a16="http://schemas.microsoft.com/office/drawing/2014/main" id="{00000000-0008-0000-3700-000010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614481" name="Check Box 17" hidden="1">
              <a:extLst>
                <a:ext uri="{63B3BB69-23CF-44E3-9099-C40C66FF867C}">
                  <a14:compatExt spid="_x0000_s23614481"/>
                </a:ext>
                <a:ext uri="{FF2B5EF4-FFF2-40B4-BE49-F238E27FC236}">
                  <a16:creationId xmlns:a16="http://schemas.microsoft.com/office/drawing/2014/main" id="{00000000-0008-0000-3700-000011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614482" name="Check Box 18" hidden="1">
              <a:extLst>
                <a:ext uri="{63B3BB69-23CF-44E3-9099-C40C66FF867C}">
                  <a14:compatExt spid="_x0000_s23614482"/>
                </a:ext>
                <a:ext uri="{FF2B5EF4-FFF2-40B4-BE49-F238E27FC236}">
                  <a16:creationId xmlns:a16="http://schemas.microsoft.com/office/drawing/2014/main" id="{00000000-0008-0000-3700-000012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614483" name="Check Box 19" hidden="1">
              <a:extLst>
                <a:ext uri="{63B3BB69-23CF-44E3-9099-C40C66FF867C}">
                  <a14:compatExt spid="_x0000_s23614483"/>
                </a:ext>
                <a:ext uri="{FF2B5EF4-FFF2-40B4-BE49-F238E27FC236}">
                  <a16:creationId xmlns:a16="http://schemas.microsoft.com/office/drawing/2014/main" id="{00000000-0008-0000-3700-000013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614484" name="Check Box 20" hidden="1">
              <a:extLst>
                <a:ext uri="{63B3BB69-23CF-44E3-9099-C40C66FF867C}">
                  <a14:compatExt spid="_x0000_s23614484"/>
                </a:ext>
                <a:ext uri="{FF2B5EF4-FFF2-40B4-BE49-F238E27FC236}">
                  <a16:creationId xmlns:a16="http://schemas.microsoft.com/office/drawing/2014/main" id="{00000000-0008-0000-3700-000014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614485" name="Check Box 21" hidden="1">
              <a:extLst>
                <a:ext uri="{63B3BB69-23CF-44E3-9099-C40C66FF867C}">
                  <a14:compatExt spid="_x0000_s23614485"/>
                </a:ext>
                <a:ext uri="{FF2B5EF4-FFF2-40B4-BE49-F238E27FC236}">
                  <a16:creationId xmlns:a16="http://schemas.microsoft.com/office/drawing/2014/main" id="{00000000-0008-0000-3700-000015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614486" name="Check Box 22" hidden="1">
              <a:extLst>
                <a:ext uri="{63B3BB69-23CF-44E3-9099-C40C66FF867C}">
                  <a14:compatExt spid="_x0000_s23614486"/>
                </a:ext>
                <a:ext uri="{FF2B5EF4-FFF2-40B4-BE49-F238E27FC236}">
                  <a16:creationId xmlns:a16="http://schemas.microsoft.com/office/drawing/2014/main" id="{00000000-0008-0000-3700-000016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614487" name="Check Box 23" hidden="1">
              <a:extLst>
                <a:ext uri="{63B3BB69-23CF-44E3-9099-C40C66FF867C}">
                  <a14:compatExt spid="_x0000_s23614487"/>
                </a:ext>
                <a:ext uri="{FF2B5EF4-FFF2-40B4-BE49-F238E27FC236}">
                  <a16:creationId xmlns:a16="http://schemas.microsoft.com/office/drawing/2014/main" id="{00000000-0008-0000-3700-000017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614488" name="Check Box 24" hidden="1">
              <a:extLst>
                <a:ext uri="{63B3BB69-23CF-44E3-9099-C40C66FF867C}">
                  <a14:compatExt spid="_x0000_s23614488"/>
                </a:ext>
                <a:ext uri="{FF2B5EF4-FFF2-40B4-BE49-F238E27FC236}">
                  <a16:creationId xmlns:a16="http://schemas.microsoft.com/office/drawing/2014/main" id="{00000000-0008-0000-3700-000018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614489" name="Check Box 25" hidden="1">
              <a:extLst>
                <a:ext uri="{63B3BB69-23CF-44E3-9099-C40C66FF867C}">
                  <a14:compatExt spid="_x0000_s23614489"/>
                </a:ext>
                <a:ext uri="{FF2B5EF4-FFF2-40B4-BE49-F238E27FC236}">
                  <a16:creationId xmlns:a16="http://schemas.microsoft.com/office/drawing/2014/main" id="{00000000-0008-0000-3700-000019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614490" name="Check Box 26" hidden="1">
              <a:extLst>
                <a:ext uri="{63B3BB69-23CF-44E3-9099-C40C66FF867C}">
                  <a14:compatExt spid="_x0000_s23614490"/>
                </a:ext>
                <a:ext uri="{FF2B5EF4-FFF2-40B4-BE49-F238E27FC236}">
                  <a16:creationId xmlns:a16="http://schemas.microsoft.com/office/drawing/2014/main" id="{00000000-0008-0000-3700-00001A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614491" name="Check Box 27" hidden="1">
              <a:extLst>
                <a:ext uri="{63B3BB69-23CF-44E3-9099-C40C66FF867C}">
                  <a14:compatExt spid="_x0000_s23614491"/>
                </a:ext>
                <a:ext uri="{FF2B5EF4-FFF2-40B4-BE49-F238E27FC236}">
                  <a16:creationId xmlns:a16="http://schemas.microsoft.com/office/drawing/2014/main" id="{00000000-0008-0000-3700-00001B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614492" name="Button 28" hidden="1">
              <a:extLst>
                <a:ext uri="{63B3BB69-23CF-44E3-9099-C40C66FF867C}">
                  <a14:compatExt spid="_x0000_s23614492"/>
                </a:ext>
                <a:ext uri="{FF2B5EF4-FFF2-40B4-BE49-F238E27FC236}">
                  <a16:creationId xmlns:a16="http://schemas.microsoft.com/office/drawing/2014/main" id="{00000000-0008-0000-3700-00001C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614493" name="Button 29" hidden="1">
              <a:extLst>
                <a:ext uri="{63B3BB69-23CF-44E3-9099-C40C66FF867C}">
                  <a14:compatExt spid="_x0000_s23614493"/>
                </a:ext>
                <a:ext uri="{FF2B5EF4-FFF2-40B4-BE49-F238E27FC236}">
                  <a16:creationId xmlns:a16="http://schemas.microsoft.com/office/drawing/2014/main" id="{00000000-0008-0000-3700-00001D54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614494" name="Check Box 30" hidden="1">
              <a:extLst>
                <a:ext uri="{63B3BB69-23CF-44E3-9099-C40C66FF867C}">
                  <a14:compatExt spid="_x0000_s23614494"/>
                </a:ext>
                <a:ext uri="{FF2B5EF4-FFF2-40B4-BE49-F238E27FC236}">
                  <a16:creationId xmlns:a16="http://schemas.microsoft.com/office/drawing/2014/main" id="{00000000-0008-0000-3700-00001E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614495" name="Check Box 31" hidden="1">
              <a:extLst>
                <a:ext uri="{63B3BB69-23CF-44E3-9099-C40C66FF867C}">
                  <a14:compatExt spid="_x0000_s23614495"/>
                </a:ext>
                <a:ext uri="{FF2B5EF4-FFF2-40B4-BE49-F238E27FC236}">
                  <a16:creationId xmlns:a16="http://schemas.microsoft.com/office/drawing/2014/main" id="{00000000-0008-0000-3700-00001F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614496" name="Check Box 32" hidden="1">
              <a:extLst>
                <a:ext uri="{63B3BB69-23CF-44E3-9099-C40C66FF867C}">
                  <a14:compatExt spid="_x0000_s23614496"/>
                </a:ext>
                <a:ext uri="{FF2B5EF4-FFF2-40B4-BE49-F238E27FC236}">
                  <a16:creationId xmlns:a16="http://schemas.microsoft.com/office/drawing/2014/main" id="{00000000-0008-0000-3700-000020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614497" name="Check Box 33" hidden="1">
              <a:extLst>
                <a:ext uri="{63B3BB69-23CF-44E3-9099-C40C66FF867C}">
                  <a14:compatExt spid="_x0000_s23614497"/>
                </a:ext>
                <a:ext uri="{FF2B5EF4-FFF2-40B4-BE49-F238E27FC236}">
                  <a16:creationId xmlns:a16="http://schemas.microsoft.com/office/drawing/2014/main" id="{00000000-0008-0000-3700-000021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614498" name="Check Box 34" hidden="1">
              <a:extLst>
                <a:ext uri="{63B3BB69-23CF-44E3-9099-C40C66FF867C}">
                  <a14:compatExt spid="_x0000_s23614498"/>
                </a:ext>
                <a:ext uri="{FF2B5EF4-FFF2-40B4-BE49-F238E27FC236}">
                  <a16:creationId xmlns:a16="http://schemas.microsoft.com/office/drawing/2014/main" id="{00000000-0008-0000-3700-000022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614499" name="Check Box 35" hidden="1">
              <a:extLst>
                <a:ext uri="{63B3BB69-23CF-44E3-9099-C40C66FF867C}">
                  <a14:compatExt spid="_x0000_s23614499"/>
                </a:ext>
                <a:ext uri="{FF2B5EF4-FFF2-40B4-BE49-F238E27FC236}">
                  <a16:creationId xmlns:a16="http://schemas.microsoft.com/office/drawing/2014/main" id="{00000000-0008-0000-3700-000023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614500" name="Check Box 36" hidden="1">
              <a:extLst>
                <a:ext uri="{63B3BB69-23CF-44E3-9099-C40C66FF867C}">
                  <a14:compatExt spid="_x0000_s23614500"/>
                </a:ext>
                <a:ext uri="{FF2B5EF4-FFF2-40B4-BE49-F238E27FC236}">
                  <a16:creationId xmlns:a16="http://schemas.microsoft.com/office/drawing/2014/main" id="{00000000-0008-0000-3700-000024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614501" name="Check Box 37" hidden="1">
              <a:extLst>
                <a:ext uri="{63B3BB69-23CF-44E3-9099-C40C66FF867C}">
                  <a14:compatExt spid="_x0000_s23614501"/>
                </a:ext>
                <a:ext uri="{FF2B5EF4-FFF2-40B4-BE49-F238E27FC236}">
                  <a16:creationId xmlns:a16="http://schemas.microsoft.com/office/drawing/2014/main" id="{00000000-0008-0000-3700-00002554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559DABA-7987-4083-A16B-CF279DE769F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A1F20AA-849E-4073-9C8B-850E910E45EC}"/>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613441" name="Check Box 1" hidden="1">
              <a:extLst>
                <a:ext uri="{63B3BB69-23CF-44E3-9099-C40C66FF867C}">
                  <a14:compatExt spid="_x0000_s23613441"/>
                </a:ext>
                <a:ext uri="{FF2B5EF4-FFF2-40B4-BE49-F238E27FC236}">
                  <a16:creationId xmlns:a16="http://schemas.microsoft.com/office/drawing/2014/main" id="{00000000-0008-0000-3800-000001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613442" name="Check Box 2" hidden="1">
              <a:extLst>
                <a:ext uri="{63B3BB69-23CF-44E3-9099-C40C66FF867C}">
                  <a14:compatExt spid="_x0000_s23613442"/>
                </a:ext>
                <a:ext uri="{FF2B5EF4-FFF2-40B4-BE49-F238E27FC236}">
                  <a16:creationId xmlns:a16="http://schemas.microsoft.com/office/drawing/2014/main" id="{00000000-0008-0000-3800-000002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613443" name="Check Box 3" hidden="1">
              <a:extLst>
                <a:ext uri="{63B3BB69-23CF-44E3-9099-C40C66FF867C}">
                  <a14:compatExt spid="_x0000_s23613443"/>
                </a:ext>
                <a:ext uri="{FF2B5EF4-FFF2-40B4-BE49-F238E27FC236}">
                  <a16:creationId xmlns:a16="http://schemas.microsoft.com/office/drawing/2014/main" id="{00000000-0008-0000-3800-000003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613444" name="Check Box 4" hidden="1">
              <a:extLst>
                <a:ext uri="{63B3BB69-23CF-44E3-9099-C40C66FF867C}">
                  <a14:compatExt spid="_x0000_s23613444"/>
                </a:ext>
                <a:ext uri="{FF2B5EF4-FFF2-40B4-BE49-F238E27FC236}">
                  <a16:creationId xmlns:a16="http://schemas.microsoft.com/office/drawing/2014/main" id="{00000000-0008-0000-3800-000004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613445" name="Check Box 5" hidden="1">
              <a:extLst>
                <a:ext uri="{63B3BB69-23CF-44E3-9099-C40C66FF867C}">
                  <a14:compatExt spid="_x0000_s23613445"/>
                </a:ext>
                <a:ext uri="{FF2B5EF4-FFF2-40B4-BE49-F238E27FC236}">
                  <a16:creationId xmlns:a16="http://schemas.microsoft.com/office/drawing/2014/main" id="{00000000-0008-0000-3800-000005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613446" name="Check Box 6" hidden="1">
              <a:extLst>
                <a:ext uri="{63B3BB69-23CF-44E3-9099-C40C66FF867C}">
                  <a14:compatExt spid="_x0000_s23613446"/>
                </a:ext>
                <a:ext uri="{FF2B5EF4-FFF2-40B4-BE49-F238E27FC236}">
                  <a16:creationId xmlns:a16="http://schemas.microsoft.com/office/drawing/2014/main" id="{00000000-0008-0000-3800-000006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613447" name="Check Box 7" hidden="1">
              <a:extLst>
                <a:ext uri="{63B3BB69-23CF-44E3-9099-C40C66FF867C}">
                  <a14:compatExt spid="_x0000_s23613447"/>
                </a:ext>
                <a:ext uri="{FF2B5EF4-FFF2-40B4-BE49-F238E27FC236}">
                  <a16:creationId xmlns:a16="http://schemas.microsoft.com/office/drawing/2014/main" id="{00000000-0008-0000-3800-000007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613448" name="Button 8" hidden="1">
              <a:extLst>
                <a:ext uri="{63B3BB69-23CF-44E3-9099-C40C66FF867C}">
                  <a14:compatExt spid="_x0000_s23613448"/>
                </a:ext>
                <a:ext uri="{FF2B5EF4-FFF2-40B4-BE49-F238E27FC236}">
                  <a16:creationId xmlns:a16="http://schemas.microsoft.com/office/drawing/2014/main" id="{00000000-0008-0000-3800-00000850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613449" name="Button 9" hidden="1">
              <a:extLst>
                <a:ext uri="{63B3BB69-23CF-44E3-9099-C40C66FF867C}">
                  <a14:compatExt spid="_x0000_s23613449"/>
                </a:ext>
                <a:ext uri="{FF2B5EF4-FFF2-40B4-BE49-F238E27FC236}">
                  <a16:creationId xmlns:a16="http://schemas.microsoft.com/office/drawing/2014/main" id="{00000000-0008-0000-3800-0000095068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613450" name="Check Box 10" hidden="1">
              <a:extLst>
                <a:ext uri="{63B3BB69-23CF-44E3-9099-C40C66FF867C}">
                  <a14:compatExt spid="_x0000_s23613450"/>
                </a:ext>
                <a:ext uri="{FF2B5EF4-FFF2-40B4-BE49-F238E27FC236}">
                  <a16:creationId xmlns:a16="http://schemas.microsoft.com/office/drawing/2014/main" id="{00000000-0008-0000-3800-00000A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613451" name="Button 11" hidden="1">
              <a:extLst>
                <a:ext uri="{63B3BB69-23CF-44E3-9099-C40C66FF867C}">
                  <a14:compatExt spid="_x0000_s23613451"/>
                </a:ext>
                <a:ext uri="{FF2B5EF4-FFF2-40B4-BE49-F238E27FC236}">
                  <a16:creationId xmlns:a16="http://schemas.microsoft.com/office/drawing/2014/main" id="{00000000-0008-0000-3800-00000B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613452" name="Button 12" hidden="1">
              <a:extLst>
                <a:ext uri="{63B3BB69-23CF-44E3-9099-C40C66FF867C}">
                  <a14:compatExt spid="_x0000_s23613452"/>
                </a:ext>
                <a:ext uri="{FF2B5EF4-FFF2-40B4-BE49-F238E27FC236}">
                  <a16:creationId xmlns:a16="http://schemas.microsoft.com/office/drawing/2014/main" id="{00000000-0008-0000-3800-00000C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613453" name="Button 13" hidden="1">
              <a:extLst>
                <a:ext uri="{63B3BB69-23CF-44E3-9099-C40C66FF867C}">
                  <a14:compatExt spid="_x0000_s23613453"/>
                </a:ext>
                <a:ext uri="{FF2B5EF4-FFF2-40B4-BE49-F238E27FC236}">
                  <a16:creationId xmlns:a16="http://schemas.microsoft.com/office/drawing/2014/main" id="{00000000-0008-0000-3800-00000D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613454" name="Button 14" hidden="1">
              <a:extLst>
                <a:ext uri="{63B3BB69-23CF-44E3-9099-C40C66FF867C}">
                  <a14:compatExt spid="_x0000_s23613454"/>
                </a:ext>
                <a:ext uri="{FF2B5EF4-FFF2-40B4-BE49-F238E27FC236}">
                  <a16:creationId xmlns:a16="http://schemas.microsoft.com/office/drawing/2014/main" id="{00000000-0008-0000-3800-00000E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613455" name="Check Box 15" hidden="1">
              <a:extLst>
                <a:ext uri="{63B3BB69-23CF-44E3-9099-C40C66FF867C}">
                  <a14:compatExt spid="_x0000_s23613455"/>
                </a:ext>
                <a:ext uri="{FF2B5EF4-FFF2-40B4-BE49-F238E27FC236}">
                  <a16:creationId xmlns:a16="http://schemas.microsoft.com/office/drawing/2014/main" id="{00000000-0008-0000-3800-00000F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613456" name="Check Box 16" hidden="1">
              <a:extLst>
                <a:ext uri="{63B3BB69-23CF-44E3-9099-C40C66FF867C}">
                  <a14:compatExt spid="_x0000_s23613456"/>
                </a:ext>
                <a:ext uri="{FF2B5EF4-FFF2-40B4-BE49-F238E27FC236}">
                  <a16:creationId xmlns:a16="http://schemas.microsoft.com/office/drawing/2014/main" id="{00000000-0008-0000-3800-000010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613457" name="Check Box 17" hidden="1">
              <a:extLst>
                <a:ext uri="{63B3BB69-23CF-44E3-9099-C40C66FF867C}">
                  <a14:compatExt spid="_x0000_s23613457"/>
                </a:ext>
                <a:ext uri="{FF2B5EF4-FFF2-40B4-BE49-F238E27FC236}">
                  <a16:creationId xmlns:a16="http://schemas.microsoft.com/office/drawing/2014/main" id="{00000000-0008-0000-3800-000011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613458" name="Check Box 18" hidden="1">
              <a:extLst>
                <a:ext uri="{63B3BB69-23CF-44E3-9099-C40C66FF867C}">
                  <a14:compatExt spid="_x0000_s23613458"/>
                </a:ext>
                <a:ext uri="{FF2B5EF4-FFF2-40B4-BE49-F238E27FC236}">
                  <a16:creationId xmlns:a16="http://schemas.microsoft.com/office/drawing/2014/main" id="{00000000-0008-0000-3800-000012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613459" name="Check Box 19" hidden="1">
              <a:extLst>
                <a:ext uri="{63B3BB69-23CF-44E3-9099-C40C66FF867C}">
                  <a14:compatExt spid="_x0000_s23613459"/>
                </a:ext>
                <a:ext uri="{FF2B5EF4-FFF2-40B4-BE49-F238E27FC236}">
                  <a16:creationId xmlns:a16="http://schemas.microsoft.com/office/drawing/2014/main" id="{00000000-0008-0000-3800-000013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613460" name="Check Box 20" hidden="1">
              <a:extLst>
                <a:ext uri="{63B3BB69-23CF-44E3-9099-C40C66FF867C}">
                  <a14:compatExt spid="_x0000_s23613460"/>
                </a:ext>
                <a:ext uri="{FF2B5EF4-FFF2-40B4-BE49-F238E27FC236}">
                  <a16:creationId xmlns:a16="http://schemas.microsoft.com/office/drawing/2014/main" id="{00000000-0008-0000-3800-000014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613461" name="Check Box 21" hidden="1">
              <a:extLst>
                <a:ext uri="{63B3BB69-23CF-44E3-9099-C40C66FF867C}">
                  <a14:compatExt spid="_x0000_s23613461"/>
                </a:ext>
                <a:ext uri="{FF2B5EF4-FFF2-40B4-BE49-F238E27FC236}">
                  <a16:creationId xmlns:a16="http://schemas.microsoft.com/office/drawing/2014/main" id="{00000000-0008-0000-3800-000015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613462" name="Check Box 22" hidden="1">
              <a:extLst>
                <a:ext uri="{63B3BB69-23CF-44E3-9099-C40C66FF867C}">
                  <a14:compatExt spid="_x0000_s23613462"/>
                </a:ext>
                <a:ext uri="{FF2B5EF4-FFF2-40B4-BE49-F238E27FC236}">
                  <a16:creationId xmlns:a16="http://schemas.microsoft.com/office/drawing/2014/main" id="{00000000-0008-0000-3800-000016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613463" name="Check Box 23" hidden="1">
              <a:extLst>
                <a:ext uri="{63B3BB69-23CF-44E3-9099-C40C66FF867C}">
                  <a14:compatExt spid="_x0000_s23613463"/>
                </a:ext>
                <a:ext uri="{FF2B5EF4-FFF2-40B4-BE49-F238E27FC236}">
                  <a16:creationId xmlns:a16="http://schemas.microsoft.com/office/drawing/2014/main" id="{00000000-0008-0000-3800-000017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613464" name="Check Box 24" hidden="1">
              <a:extLst>
                <a:ext uri="{63B3BB69-23CF-44E3-9099-C40C66FF867C}">
                  <a14:compatExt spid="_x0000_s23613464"/>
                </a:ext>
                <a:ext uri="{FF2B5EF4-FFF2-40B4-BE49-F238E27FC236}">
                  <a16:creationId xmlns:a16="http://schemas.microsoft.com/office/drawing/2014/main" id="{00000000-0008-0000-3800-000018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613465" name="Check Box 25" hidden="1">
              <a:extLst>
                <a:ext uri="{63B3BB69-23CF-44E3-9099-C40C66FF867C}">
                  <a14:compatExt spid="_x0000_s23613465"/>
                </a:ext>
                <a:ext uri="{FF2B5EF4-FFF2-40B4-BE49-F238E27FC236}">
                  <a16:creationId xmlns:a16="http://schemas.microsoft.com/office/drawing/2014/main" id="{00000000-0008-0000-3800-000019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613466" name="Check Box 26" hidden="1">
              <a:extLst>
                <a:ext uri="{63B3BB69-23CF-44E3-9099-C40C66FF867C}">
                  <a14:compatExt spid="_x0000_s23613466"/>
                </a:ext>
                <a:ext uri="{FF2B5EF4-FFF2-40B4-BE49-F238E27FC236}">
                  <a16:creationId xmlns:a16="http://schemas.microsoft.com/office/drawing/2014/main" id="{00000000-0008-0000-3800-00001A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613467" name="Check Box 27" hidden="1">
              <a:extLst>
                <a:ext uri="{63B3BB69-23CF-44E3-9099-C40C66FF867C}">
                  <a14:compatExt spid="_x0000_s23613467"/>
                </a:ext>
                <a:ext uri="{FF2B5EF4-FFF2-40B4-BE49-F238E27FC236}">
                  <a16:creationId xmlns:a16="http://schemas.microsoft.com/office/drawing/2014/main" id="{00000000-0008-0000-3800-00001B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613468" name="Button 28" hidden="1">
              <a:extLst>
                <a:ext uri="{63B3BB69-23CF-44E3-9099-C40C66FF867C}">
                  <a14:compatExt spid="_x0000_s23613468"/>
                </a:ext>
                <a:ext uri="{FF2B5EF4-FFF2-40B4-BE49-F238E27FC236}">
                  <a16:creationId xmlns:a16="http://schemas.microsoft.com/office/drawing/2014/main" id="{00000000-0008-0000-3800-00001C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613469" name="Button 29" hidden="1">
              <a:extLst>
                <a:ext uri="{63B3BB69-23CF-44E3-9099-C40C66FF867C}">
                  <a14:compatExt spid="_x0000_s23613469"/>
                </a:ext>
                <a:ext uri="{FF2B5EF4-FFF2-40B4-BE49-F238E27FC236}">
                  <a16:creationId xmlns:a16="http://schemas.microsoft.com/office/drawing/2014/main" id="{00000000-0008-0000-3800-00001D5068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613470" name="Check Box 30" hidden="1">
              <a:extLst>
                <a:ext uri="{63B3BB69-23CF-44E3-9099-C40C66FF867C}">
                  <a14:compatExt spid="_x0000_s23613470"/>
                </a:ext>
                <a:ext uri="{FF2B5EF4-FFF2-40B4-BE49-F238E27FC236}">
                  <a16:creationId xmlns:a16="http://schemas.microsoft.com/office/drawing/2014/main" id="{00000000-0008-0000-3800-00001E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613471" name="Check Box 31" hidden="1">
              <a:extLst>
                <a:ext uri="{63B3BB69-23CF-44E3-9099-C40C66FF867C}">
                  <a14:compatExt spid="_x0000_s23613471"/>
                </a:ext>
                <a:ext uri="{FF2B5EF4-FFF2-40B4-BE49-F238E27FC236}">
                  <a16:creationId xmlns:a16="http://schemas.microsoft.com/office/drawing/2014/main" id="{00000000-0008-0000-3800-00001F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613472" name="Check Box 32" hidden="1">
              <a:extLst>
                <a:ext uri="{63B3BB69-23CF-44E3-9099-C40C66FF867C}">
                  <a14:compatExt spid="_x0000_s23613472"/>
                </a:ext>
                <a:ext uri="{FF2B5EF4-FFF2-40B4-BE49-F238E27FC236}">
                  <a16:creationId xmlns:a16="http://schemas.microsoft.com/office/drawing/2014/main" id="{00000000-0008-0000-3800-000020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613473" name="Check Box 33" hidden="1">
              <a:extLst>
                <a:ext uri="{63B3BB69-23CF-44E3-9099-C40C66FF867C}">
                  <a14:compatExt spid="_x0000_s23613473"/>
                </a:ext>
                <a:ext uri="{FF2B5EF4-FFF2-40B4-BE49-F238E27FC236}">
                  <a16:creationId xmlns:a16="http://schemas.microsoft.com/office/drawing/2014/main" id="{00000000-0008-0000-3800-000021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613474" name="Check Box 34" hidden="1">
              <a:extLst>
                <a:ext uri="{63B3BB69-23CF-44E3-9099-C40C66FF867C}">
                  <a14:compatExt spid="_x0000_s23613474"/>
                </a:ext>
                <a:ext uri="{FF2B5EF4-FFF2-40B4-BE49-F238E27FC236}">
                  <a16:creationId xmlns:a16="http://schemas.microsoft.com/office/drawing/2014/main" id="{00000000-0008-0000-3800-000022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613475" name="Check Box 35" hidden="1">
              <a:extLst>
                <a:ext uri="{63B3BB69-23CF-44E3-9099-C40C66FF867C}">
                  <a14:compatExt spid="_x0000_s23613475"/>
                </a:ext>
                <a:ext uri="{FF2B5EF4-FFF2-40B4-BE49-F238E27FC236}">
                  <a16:creationId xmlns:a16="http://schemas.microsoft.com/office/drawing/2014/main" id="{00000000-0008-0000-3800-000023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613476" name="Check Box 36" hidden="1">
              <a:extLst>
                <a:ext uri="{63B3BB69-23CF-44E3-9099-C40C66FF867C}">
                  <a14:compatExt spid="_x0000_s23613476"/>
                </a:ext>
                <a:ext uri="{FF2B5EF4-FFF2-40B4-BE49-F238E27FC236}">
                  <a16:creationId xmlns:a16="http://schemas.microsoft.com/office/drawing/2014/main" id="{00000000-0008-0000-3800-000024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613477" name="Check Box 37" hidden="1">
              <a:extLst>
                <a:ext uri="{63B3BB69-23CF-44E3-9099-C40C66FF867C}">
                  <a14:compatExt spid="_x0000_s23613477"/>
                </a:ext>
                <a:ext uri="{FF2B5EF4-FFF2-40B4-BE49-F238E27FC236}">
                  <a16:creationId xmlns:a16="http://schemas.microsoft.com/office/drawing/2014/main" id="{00000000-0008-0000-3800-000025506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73FF132-79CD-43F9-BCE4-E856C2E050C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F6C6105-DD10-4695-8EBD-5F0BCCA38BAF}"/>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275521" name="Check Box 1" hidden="1">
              <a:extLst>
                <a:ext uri="{63B3BB69-23CF-44E3-9099-C40C66FF867C}">
                  <a14:compatExt spid="_x0000_s23275521"/>
                </a:ext>
                <a:ext uri="{FF2B5EF4-FFF2-40B4-BE49-F238E27FC236}">
                  <a16:creationId xmlns:a16="http://schemas.microsoft.com/office/drawing/2014/main" id="{00000000-0008-0000-3900-000001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275522" name="Check Box 2" hidden="1">
              <a:extLst>
                <a:ext uri="{63B3BB69-23CF-44E3-9099-C40C66FF867C}">
                  <a14:compatExt spid="_x0000_s23275522"/>
                </a:ext>
                <a:ext uri="{FF2B5EF4-FFF2-40B4-BE49-F238E27FC236}">
                  <a16:creationId xmlns:a16="http://schemas.microsoft.com/office/drawing/2014/main" id="{00000000-0008-0000-3900-000002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275523" name="Check Box 3" hidden="1">
              <a:extLst>
                <a:ext uri="{63B3BB69-23CF-44E3-9099-C40C66FF867C}">
                  <a14:compatExt spid="_x0000_s23275523"/>
                </a:ext>
                <a:ext uri="{FF2B5EF4-FFF2-40B4-BE49-F238E27FC236}">
                  <a16:creationId xmlns:a16="http://schemas.microsoft.com/office/drawing/2014/main" id="{00000000-0008-0000-3900-000003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275524" name="Check Box 4" hidden="1">
              <a:extLst>
                <a:ext uri="{63B3BB69-23CF-44E3-9099-C40C66FF867C}">
                  <a14:compatExt spid="_x0000_s23275524"/>
                </a:ext>
                <a:ext uri="{FF2B5EF4-FFF2-40B4-BE49-F238E27FC236}">
                  <a16:creationId xmlns:a16="http://schemas.microsoft.com/office/drawing/2014/main" id="{00000000-0008-0000-3900-000004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275525" name="Check Box 5" hidden="1">
              <a:extLst>
                <a:ext uri="{63B3BB69-23CF-44E3-9099-C40C66FF867C}">
                  <a14:compatExt spid="_x0000_s23275525"/>
                </a:ext>
                <a:ext uri="{FF2B5EF4-FFF2-40B4-BE49-F238E27FC236}">
                  <a16:creationId xmlns:a16="http://schemas.microsoft.com/office/drawing/2014/main" id="{00000000-0008-0000-3900-000005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275526" name="Check Box 6" hidden="1">
              <a:extLst>
                <a:ext uri="{63B3BB69-23CF-44E3-9099-C40C66FF867C}">
                  <a14:compatExt spid="_x0000_s23275526"/>
                </a:ext>
                <a:ext uri="{FF2B5EF4-FFF2-40B4-BE49-F238E27FC236}">
                  <a16:creationId xmlns:a16="http://schemas.microsoft.com/office/drawing/2014/main" id="{00000000-0008-0000-3900-000006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275527" name="Check Box 7" hidden="1">
              <a:extLst>
                <a:ext uri="{63B3BB69-23CF-44E3-9099-C40C66FF867C}">
                  <a14:compatExt spid="_x0000_s23275527"/>
                </a:ext>
                <a:ext uri="{FF2B5EF4-FFF2-40B4-BE49-F238E27FC236}">
                  <a16:creationId xmlns:a16="http://schemas.microsoft.com/office/drawing/2014/main" id="{00000000-0008-0000-3900-000007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275528" name="Button 8" hidden="1">
              <a:extLst>
                <a:ext uri="{63B3BB69-23CF-44E3-9099-C40C66FF867C}">
                  <a14:compatExt spid="_x0000_s23275528"/>
                </a:ext>
                <a:ext uri="{FF2B5EF4-FFF2-40B4-BE49-F238E27FC236}">
                  <a16:creationId xmlns:a16="http://schemas.microsoft.com/office/drawing/2014/main" id="{00000000-0008-0000-3900-000008286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275529" name="Button 9" hidden="1">
              <a:extLst>
                <a:ext uri="{63B3BB69-23CF-44E3-9099-C40C66FF867C}">
                  <a14:compatExt spid="_x0000_s23275529"/>
                </a:ext>
                <a:ext uri="{FF2B5EF4-FFF2-40B4-BE49-F238E27FC236}">
                  <a16:creationId xmlns:a16="http://schemas.microsoft.com/office/drawing/2014/main" id="{00000000-0008-0000-3900-000009286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275530" name="Check Box 10" hidden="1">
              <a:extLst>
                <a:ext uri="{63B3BB69-23CF-44E3-9099-C40C66FF867C}">
                  <a14:compatExt spid="_x0000_s23275530"/>
                </a:ext>
                <a:ext uri="{FF2B5EF4-FFF2-40B4-BE49-F238E27FC236}">
                  <a16:creationId xmlns:a16="http://schemas.microsoft.com/office/drawing/2014/main" id="{00000000-0008-0000-3900-00000A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275531" name="Button 11" hidden="1">
              <a:extLst>
                <a:ext uri="{63B3BB69-23CF-44E3-9099-C40C66FF867C}">
                  <a14:compatExt spid="_x0000_s23275531"/>
                </a:ext>
                <a:ext uri="{FF2B5EF4-FFF2-40B4-BE49-F238E27FC236}">
                  <a16:creationId xmlns:a16="http://schemas.microsoft.com/office/drawing/2014/main" id="{00000000-0008-0000-3900-00000B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275532" name="Button 12" hidden="1">
              <a:extLst>
                <a:ext uri="{63B3BB69-23CF-44E3-9099-C40C66FF867C}">
                  <a14:compatExt spid="_x0000_s23275532"/>
                </a:ext>
                <a:ext uri="{FF2B5EF4-FFF2-40B4-BE49-F238E27FC236}">
                  <a16:creationId xmlns:a16="http://schemas.microsoft.com/office/drawing/2014/main" id="{00000000-0008-0000-3900-00000C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275533" name="Button 13" hidden="1">
              <a:extLst>
                <a:ext uri="{63B3BB69-23CF-44E3-9099-C40C66FF867C}">
                  <a14:compatExt spid="_x0000_s23275533"/>
                </a:ext>
                <a:ext uri="{FF2B5EF4-FFF2-40B4-BE49-F238E27FC236}">
                  <a16:creationId xmlns:a16="http://schemas.microsoft.com/office/drawing/2014/main" id="{00000000-0008-0000-3900-00000D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275534" name="Button 14" hidden="1">
              <a:extLst>
                <a:ext uri="{63B3BB69-23CF-44E3-9099-C40C66FF867C}">
                  <a14:compatExt spid="_x0000_s23275534"/>
                </a:ext>
                <a:ext uri="{FF2B5EF4-FFF2-40B4-BE49-F238E27FC236}">
                  <a16:creationId xmlns:a16="http://schemas.microsoft.com/office/drawing/2014/main" id="{00000000-0008-0000-3900-00000E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275535" name="Check Box 15" hidden="1">
              <a:extLst>
                <a:ext uri="{63B3BB69-23CF-44E3-9099-C40C66FF867C}">
                  <a14:compatExt spid="_x0000_s23275535"/>
                </a:ext>
                <a:ext uri="{FF2B5EF4-FFF2-40B4-BE49-F238E27FC236}">
                  <a16:creationId xmlns:a16="http://schemas.microsoft.com/office/drawing/2014/main" id="{00000000-0008-0000-3900-00000F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275536" name="Check Box 16" hidden="1">
              <a:extLst>
                <a:ext uri="{63B3BB69-23CF-44E3-9099-C40C66FF867C}">
                  <a14:compatExt spid="_x0000_s23275536"/>
                </a:ext>
                <a:ext uri="{FF2B5EF4-FFF2-40B4-BE49-F238E27FC236}">
                  <a16:creationId xmlns:a16="http://schemas.microsoft.com/office/drawing/2014/main" id="{00000000-0008-0000-3900-000010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275537" name="Check Box 17" hidden="1">
              <a:extLst>
                <a:ext uri="{63B3BB69-23CF-44E3-9099-C40C66FF867C}">
                  <a14:compatExt spid="_x0000_s23275537"/>
                </a:ext>
                <a:ext uri="{FF2B5EF4-FFF2-40B4-BE49-F238E27FC236}">
                  <a16:creationId xmlns:a16="http://schemas.microsoft.com/office/drawing/2014/main" id="{00000000-0008-0000-3900-000011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275538" name="Check Box 18" hidden="1">
              <a:extLst>
                <a:ext uri="{63B3BB69-23CF-44E3-9099-C40C66FF867C}">
                  <a14:compatExt spid="_x0000_s23275538"/>
                </a:ext>
                <a:ext uri="{FF2B5EF4-FFF2-40B4-BE49-F238E27FC236}">
                  <a16:creationId xmlns:a16="http://schemas.microsoft.com/office/drawing/2014/main" id="{00000000-0008-0000-3900-000012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275539" name="Check Box 19" hidden="1">
              <a:extLst>
                <a:ext uri="{63B3BB69-23CF-44E3-9099-C40C66FF867C}">
                  <a14:compatExt spid="_x0000_s23275539"/>
                </a:ext>
                <a:ext uri="{FF2B5EF4-FFF2-40B4-BE49-F238E27FC236}">
                  <a16:creationId xmlns:a16="http://schemas.microsoft.com/office/drawing/2014/main" id="{00000000-0008-0000-3900-000013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275540" name="Check Box 20" hidden="1">
              <a:extLst>
                <a:ext uri="{63B3BB69-23CF-44E3-9099-C40C66FF867C}">
                  <a14:compatExt spid="_x0000_s23275540"/>
                </a:ext>
                <a:ext uri="{FF2B5EF4-FFF2-40B4-BE49-F238E27FC236}">
                  <a16:creationId xmlns:a16="http://schemas.microsoft.com/office/drawing/2014/main" id="{00000000-0008-0000-3900-000014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275541" name="Check Box 21" hidden="1">
              <a:extLst>
                <a:ext uri="{63B3BB69-23CF-44E3-9099-C40C66FF867C}">
                  <a14:compatExt spid="_x0000_s23275541"/>
                </a:ext>
                <a:ext uri="{FF2B5EF4-FFF2-40B4-BE49-F238E27FC236}">
                  <a16:creationId xmlns:a16="http://schemas.microsoft.com/office/drawing/2014/main" id="{00000000-0008-0000-3900-000015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275542" name="Check Box 22" hidden="1">
              <a:extLst>
                <a:ext uri="{63B3BB69-23CF-44E3-9099-C40C66FF867C}">
                  <a14:compatExt spid="_x0000_s23275542"/>
                </a:ext>
                <a:ext uri="{FF2B5EF4-FFF2-40B4-BE49-F238E27FC236}">
                  <a16:creationId xmlns:a16="http://schemas.microsoft.com/office/drawing/2014/main" id="{00000000-0008-0000-3900-000016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275543" name="Check Box 23" hidden="1">
              <a:extLst>
                <a:ext uri="{63B3BB69-23CF-44E3-9099-C40C66FF867C}">
                  <a14:compatExt spid="_x0000_s23275543"/>
                </a:ext>
                <a:ext uri="{FF2B5EF4-FFF2-40B4-BE49-F238E27FC236}">
                  <a16:creationId xmlns:a16="http://schemas.microsoft.com/office/drawing/2014/main" id="{00000000-0008-0000-3900-000017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275544" name="Check Box 24" hidden="1">
              <a:extLst>
                <a:ext uri="{63B3BB69-23CF-44E3-9099-C40C66FF867C}">
                  <a14:compatExt spid="_x0000_s23275544"/>
                </a:ext>
                <a:ext uri="{FF2B5EF4-FFF2-40B4-BE49-F238E27FC236}">
                  <a16:creationId xmlns:a16="http://schemas.microsoft.com/office/drawing/2014/main" id="{00000000-0008-0000-3900-000018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275545" name="Check Box 25" hidden="1">
              <a:extLst>
                <a:ext uri="{63B3BB69-23CF-44E3-9099-C40C66FF867C}">
                  <a14:compatExt spid="_x0000_s23275545"/>
                </a:ext>
                <a:ext uri="{FF2B5EF4-FFF2-40B4-BE49-F238E27FC236}">
                  <a16:creationId xmlns:a16="http://schemas.microsoft.com/office/drawing/2014/main" id="{00000000-0008-0000-3900-000019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275546" name="Check Box 26" hidden="1">
              <a:extLst>
                <a:ext uri="{63B3BB69-23CF-44E3-9099-C40C66FF867C}">
                  <a14:compatExt spid="_x0000_s23275546"/>
                </a:ext>
                <a:ext uri="{FF2B5EF4-FFF2-40B4-BE49-F238E27FC236}">
                  <a16:creationId xmlns:a16="http://schemas.microsoft.com/office/drawing/2014/main" id="{00000000-0008-0000-3900-00001A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275547" name="Check Box 27" hidden="1">
              <a:extLst>
                <a:ext uri="{63B3BB69-23CF-44E3-9099-C40C66FF867C}">
                  <a14:compatExt spid="_x0000_s23275547"/>
                </a:ext>
                <a:ext uri="{FF2B5EF4-FFF2-40B4-BE49-F238E27FC236}">
                  <a16:creationId xmlns:a16="http://schemas.microsoft.com/office/drawing/2014/main" id="{00000000-0008-0000-3900-00001B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275548" name="Button 28" hidden="1">
              <a:extLst>
                <a:ext uri="{63B3BB69-23CF-44E3-9099-C40C66FF867C}">
                  <a14:compatExt spid="_x0000_s23275548"/>
                </a:ext>
                <a:ext uri="{FF2B5EF4-FFF2-40B4-BE49-F238E27FC236}">
                  <a16:creationId xmlns:a16="http://schemas.microsoft.com/office/drawing/2014/main" id="{00000000-0008-0000-3900-00001C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275549" name="Button 29" hidden="1">
              <a:extLst>
                <a:ext uri="{63B3BB69-23CF-44E3-9099-C40C66FF867C}">
                  <a14:compatExt spid="_x0000_s23275549"/>
                </a:ext>
                <a:ext uri="{FF2B5EF4-FFF2-40B4-BE49-F238E27FC236}">
                  <a16:creationId xmlns:a16="http://schemas.microsoft.com/office/drawing/2014/main" id="{00000000-0008-0000-3900-00001D286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275550" name="Check Box 30" hidden="1">
              <a:extLst>
                <a:ext uri="{63B3BB69-23CF-44E3-9099-C40C66FF867C}">
                  <a14:compatExt spid="_x0000_s23275550"/>
                </a:ext>
                <a:ext uri="{FF2B5EF4-FFF2-40B4-BE49-F238E27FC236}">
                  <a16:creationId xmlns:a16="http://schemas.microsoft.com/office/drawing/2014/main" id="{00000000-0008-0000-3900-00001E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275551" name="Check Box 31" hidden="1">
              <a:extLst>
                <a:ext uri="{63B3BB69-23CF-44E3-9099-C40C66FF867C}">
                  <a14:compatExt spid="_x0000_s23275551"/>
                </a:ext>
                <a:ext uri="{FF2B5EF4-FFF2-40B4-BE49-F238E27FC236}">
                  <a16:creationId xmlns:a16="http://schemas.microsoft.com/office/drawing/2014/main" id="{00000000-0008-0000-3900-00001F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275552" name="Check Box 32" hidden="1">
              <a:extLst>
                <a:ext uri="{63B3BB69-23CF-44E3-9099-C40C66FF867C}">
                  <a14:compatExt spid="_x0000_s23275552"/>
                </a:ext>
                <a:ext uri="{FF2B5EF4-FFF2-40B4-BE49-F238E27FC236}">
                  <a16:creationId xmlns:a16="http://schemas.microsoft.com/office/drawing/2014/main" id="{00000000-0008-0000-3900-000020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275553" name="Check Box 33" hidden="1">
              <a:extLst>
                <a:ext uri="{63B3BB69-23CF-44E3-9099-C40C66FF867C}">
                  <a14:compatExt spid="_x0000_s23275553"/>
                </a:ext>
                <a:ext uri="{FF2B5EF4-FFF2-40B4-BE49-F238E27FC236}">
                  <a16:creationId xmlns:a16="http://schemas.microsoft.com/office/drawing/2014/main" id="{00000000-0008-0000-3900-000021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275554" name="Check Box 34" hidden="1">
              <a:extLst>
                <a:ext uri="{63B3BB69-23CF-44E3-9099-C40C66FF867C}">
                  <a14:compatExt spid="_x0000_s23275554"/>
                </a:ext>
                <a:ext uri="{FF2B5EF4-FFF2-40B4-BE49-F238E27FC236}">
                  <a16:creationId xmlns:a16="http://schemas.microsoft.com/office/drawing/2014/main" id="{00000000-0008-0000-3900-000022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275555" name="Check Box 35" hidden="1">
              <a:extLst>
                <a:ext uri="{63B3BB69-23CF-44E3-9099-C40C66FF867C}">
                  <a14:compatExt spid="_x0000_s23275555"/>
                </a:ext>
                <a:ext uri="{FF2B5EF4-FFF2-40B4-BE49-F238E27FC236}">
                  <a16:creationId xmlns:a16="http://schemas.microsoft.com/office/drawing/2014/main" id="{00000000-0008-0000-3900-000023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275556" name="Check Box 36" hidden="1">
              <a:extLst>
                <a:ext uri="{63B3BB69-23CF-44E3-9099-C40C66FF867C}">
                  <a14:compatExt spid="_x0000_s23275556"/>
                </a:ext>
                <a:ext uri="{FF2B5EF4-FFF2-40B4-BE49-F238E27FC236}">
                  <a16:creationId xmlns:a16="http://schemas.microsoft.com/office/drawing/2014/main" id="{00000000-0008-0000-3900-000024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275557" name="Check Box 37" hidden="1">
              <a:extLst>
                <a:ext uri="{63B3BB69-23CF-44E3-9099-C40C66FF867C}">
                  <a14:compatExt spid="_x0000_s23275557"/>
                </a:ext>
                <a:ext uri="{FF2B5EF4-FFF2-40B4-BE49-F238E27FC236}">
                  <a16:creationId xmlns:a16="http://schemas.microsoft.com/office/drawing/2014/main" id="{00000000-0008-0000-3900-000025286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24D1202-5D29-4C7D-91D4-E12885C5644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3DBD0253-7533-4E88-91FD-028BD0192E8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3130113" name="Check Box 1" hidden="1">
              <a:extLst>
                <a:ext uri="{63B3BB69-23CF-44E3-9099-C40C66FF867C}">
                  <a14:compatExt spid="_x0000_s23130113"/>
                </a:ext>
                <a:ext uri="{FF2B5EF4-FFF2-40B4-BE49-F238E27FC236}">
                  <a16:creationId xmlns:a16="http://schemas.microsoft.com/office/drawing/2014/main" id="{00000000-0008-0000-3A00-000001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3130114" name="Check Box 2" hidden="1">
              <a:extLst>
                <a:ext uri="{63B3BB69-23CF-44E3-9099-C40C66FF867C}">
                  <a14:compatExt spid="_x0000_s23130114"/>
                </a:ext>
                <a:ext uri="{FF2B5EF4-FFF2-40B4-BE49-F238E27FC236}">
                  <a16:creationId xmlns:a16="http://schemas.microsoft.com/office/drawing/2014/main" id="{00000000-0008-0000-3A00-000002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130115" name="Check Box 3" hidden="1">
              <a:extLst>
                <a:ext uri="{63B3BB69-23CF-44E3-9099-C40C66FF867C}">
                  <a14:compatExt spid="_x0000_s23130115"/>
                </a:ext>
                <a:ext uri="{FF2B5EF4-FFF2-40B4-BE49-F238E27FC236}">
                  <a16:creationId xmlns:a16="http://schemas.microsoft.com/office/drawing/2014/main" id="{00000000-0008-0000-3A00-000003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130116" name="Check Box 4" hidden="1">
              <a:extLst>
                <a:ext uri="{63B3BB69-23CF-44E3-9099-C40C66FF867C}">
                  <a14:compatExt spid="_x0000_s23130116"/>
                </a:ext>
                <a:ext uri="{FF2B5EF4-FFF2-40B4-BE49-F238E27FC236}">
                  <a16:creationId xmlns:a16="http://schemas.microsoft.com/office/drawing/2014/main" id="{00000000-0008-0000-3A00-000004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130117" name="Check Box 5" hidden="1">
              <a:extLst>
                <a:ext uri="{63B3BB69-23CF-44E3-9099-C40C66FF867C}">
                  <a14:compatExt spid="_x0000_s23130117"/>
                </a:ext>
                <a:ext uri="{FF2B5EF4-FFF2-40B4-BE49-F238E27FC236}">
                  <a16:creationId xmlns:a16="http://schemas.microsoft.com/office/drawing/2014/main" id="{00000000-0008-0000-3A00-000005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130118" name="Check Box 6" hidden="1">
              <a:extLst>
                <a:ext uri="{63B3BB69-23CF-44E3-9099-C40C66FF867C}">
                  <a14:compatExt spid="_x0000_s23130118"/>
                </a:ext>
                <a:ext uri="{FF2B5EF4-FFF2-40B4-BE49-F238E27FC236}">
                  <a16:creationId xmlns:a16="http://schemas.microsoft.com/office/drawing/2014/main" id="{00000000-0008-0000-3A00-000006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130119" name="Check Box 7" hidden="1">
              <a:extLst>
                <a:ext uri="{63B3BB69-23CF-44E3-9099-C40C66FF867C}">
                  <a14:compatExt spid="_x0000_s23130119"/>
                </a:ext>
                <a:ext uri="{FF2B5EF4-FFF2-40B4-BE49-F238E27FC236}">
                  <a16:creationId xmlns:a16="http://schemas.microsoft.com/office/drawing/2014/main" id="{00000000-0008-0000-3A00-000007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3130120" name="Button 8" hidden="1">
              <a:extLst>
                <a:ext uri="{63B3BB69-23CF-44E3-9099-C40C66FF867C}">
                  <a14:compatExt spid="_x0000_s23130120"/>
                </a:ext>
                <a:ext uri="{FF2B5EF4-FFF2-40B4-BE49-F238E27FC236}">
                  <a16:creationId xmlns:a16="http://schemas.microsoft.com/office/drawing/2014/main" id="{00000000-0008-0000-3A00-000008F06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3130121" name="Button 9" hidden="1">
              <a:extLst>
                <a:ext uri="{63B3BB69-23CF-44E3-9099-C40C66FF867C}">
                  <a14:compatExt spid="_x0000_s23130121"/>
                </a:ext>
                <a:ext uri="{FF2B5EF4-FFF2-40B4-BE49-F238E27FC236}">
                  <a16:creationId xmlns:a16="http://schemas.microsoft.com/office/drawing/2014/main" id="{00000000-0008-0000-3A00-000009F060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3130122" name="Check Box 10" hidden="1">
              <a:extLst>
                <a:ext uri="{63B3BB69-23CF-44E3-9099-C40C66FF867C}">
                  <a14:compatExt spid="_x0000_s23130122"/>
                </a:ext>
                <a:ext uri="{FF2B5EF4-FFF2-40B4-BE49-F238E27FC236}">
                  <a16:creationId xmlns:a16="http://schemas.microsoft.com/office/drawing/2014/main" id="{00000000-0008-0000-3A00-00000A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3130123" name="Button 11" hidden="1">
              <a:extLst>
                <a:ext uri="{63B3BB69-23CF-44E3-9099-C40C66FF867C}">
                  <a14:compatExt spid="_x0000_s23130123"/>
                </a:ext>
                <a:ext uri="{FF2B5EF4-FFF2-40B4-BE49-F238E27FC236}">
                  <a16:creationId xmlns:a16="http://schemas.microsoft.com/office/drawing/2014/main" id="{00000000-0008-0000-3A00-00000B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3130124" name="Button 12" hidden="1">
              <a:extLst>
                <a:ext uri="{63B3BB69-23CF-44E3-9099-C40C66FF867C}">
                  <a14:compatExt spid="_x0000_s23130124"/>
                </a:ext>
                <a:ext uri="{FF2B5EF4-FFF2-40B4-BE49-F238E27FC236}">
                  <a16:creationId xmlns:a16="http://schemas.microsoft.com/office/drawing/2014/main" id="{00000000-0008-0000-3A00-00000C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3130125" name="Button 13" hidden="1">
              <a:extLst>
                <a:ext uri="{63B3BB69-23CF-44E3-9099-C40C66FF867C}">
                  <a14:compatExt spid="_x0000_s23130125"/>
                </a:ext>
                <a:ext uri="{FF2B5EF4-FFF2-40B4-BE49-F238E27FC236}">
                  <a16:creationId xmlns:a16="http://schemas.microsoft.com/office/drawing/2014/main" id="{00000000-0008-0000-3A00-00000D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130126" name="Button 14" hidden="1">
              <a:extLst>
                <a:ext uri="{63B3BB69-23CF-44E3-9099-C40C66FF867C}">
                  <a14:compatExt spid="_x0000_s23130126"/>
                </a:ext>
                <a:ext uri="{FF2B5EF4-FFF2-40B4-BE49-F238E27FC236}">
                  <a16:creationId xmlns:a16="http://schemas.microsoft.com/office/drawing/2014/main" id="{00000000-0008-0000-3A00-00000E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3130127" name="Check Box 15" hidden="1">
              <a:extLst>
                <a:ext uri="{63B3BB69-23CF-44E3-9099-C40C66FF867C}">
                  <a14:compatExt spid="_x0000_s23130127"/>
                </a:ext>
                <a:ext uri="{FF2B5EF4-FFF2-40B4-BE49-F238E27FC236}">
                  <a16:creationId xmlns:a16="http://schemas.microsoft.com/office/drawing/2014/main" id="{00000000-0008-0000-3A00-00000F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3130128" name="Check Box 16" hidden="1">
              <a:extLst>
                <a:ext uri="{63B3BB69-23CF-44E3-9099-C40C66FF867C}">
                  <a14:compatExt spid="_x0000_s23130128"/>
                </a:ext>
                <a:ext uri="{FF2B5EF4-FFF2-40B4-BE49-F238E27FC236}">
                  <a16:creationId xmlns:a16="http://schemas.microsoft.com/office/drawing/2014/main" id="{00000000-0008-0000-3A00-000010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130129" name="Check Box 17" hidden="1">
              <a:extLst>
                <a:ext uri="{63B3BB69-23CF-44E3-9099-C40C66FF867C}">
                  <a14:compatExt spid="_x0000_s23130129"/>
                </a:ext>
                <a:ext uri="{FF2B5EF4-FFF2-40B4-BE49-F238E27FC236}">
                  <a16:creationId xmlns:a16="http://schemas.microsoft.com/office/drawing/2014/main" id="{00000000-0008-0000-3A00-000011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130130" name="Check Box 18" hidden="1">
              <a:extLst>
                <a:ext uri="{63B3BB69-23CF-44E3-9099-C40C66FF867C}">
                  <a14:compatExt spid="_x0000_s23130130"/>
                </a:ext>
                <a:ext uri="{FF2B5EF4-FFF2-40B4-BE49-F238E27FC236}">
                  <a16:creationId xmlns:a16="http://schemas.microsoft.com/office/drawing/2014/main" id="{00000000-0008-0000-3A00-000012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130131" name="Check Box 19" hidden="1">
              <a:extLst>
                <a:ext uri="{63B3BB69-23CF-44E3-9099-C40C66FF867C}">
                  <a14:compatExt spid="_x0000_s23130131"/>
                </a:ext>
                <a:ext uri="{FF2B5EF4-FFF2-40B4-BE49-F238E27FC236}">
                  <a16:creationId xmlns:a16="http://schemas.microsoft.com/office/drawing/2014/main" id="{00000000-0008-0000-3A00-000013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3130132" name="Check Box 20" hidden="1">
              <a:extLst>
                <a:ext uri="{63B3BB69-23CF-44E3-9099-C40C66FF867C}">
                  <a14:compatExt spid="_x0000_s23130132"/>
                </a:ext>
                <a:ext uri="{FF2B5EF4-FFF2-40B4-BE49-F238E27FC236}">
                  <a16:creationId xmlns:a16="http://schemas.microsoft.com/office/drawing/2014/main" id="{00000000-0008-0000-3A00-000014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130133" name="Check Box 21" hidden="1">
              <a:extLst>
                <a:ext uri="{63B3BB69-23CF-44E3-9099-C40C66FF867C}">
                  <a14:compatExt spid="_x0000_s23130133"/>
                </a:ext>
                <a:ext uri="{FF2B5EF4-FFF2-40B4-BE49-F238E27FC236}">
                  <a16:creationId xmlns:a16="http://schemas.microsoft.com/office/drawing/2014/main" id="{00000000-0008-0000-3A00-000015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130134" name="Check Box 22" hidden="1">
              <a:extLst>
                <a:ext uri="{63B3BB69-23CF-44E3-9099-C40C66FF867C}">
                  <a14:compatExt spid="_x0000_s23130134"/>
                </a:ext>
                <a:ext uri="{FF2B5EF4-FFF2-40B4-BE49-F238E27FC236}">
                  <a16:creationId xmlns:a16="http://schemas.microsoft.com/office/drawing/2014/main" id="{00000000-0008-0000-3A00-000016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3130135" name="Check Box 23" hidden="1">
              <a:extLst>
                <a:ext uri="{63B3BB69-23CF-44E3-9099-C40C66FF867C}">
                  <a14:compatExt spid="_x0000_s23130135"/>
                </a:ext>
                <a:ext uri="{FF2B5EF4-FFF2-40B4-BE49-F238E27FC236}">
                  <a16:creationId xmlns:a16="http://schemas.microsoft.com/office/drawing/2014/main" id="{00000000-0008-0000-3A00-000017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130136" name="Check Box 24" hidden="1">
              <a:extLst>
                <a:ext uri="{63B3BB69-23CF-44E3-9099-C40C66FF867C}">
                  <a14:compatExt spid="_x0000_s23130136"/>
                </a:ext>
                <a:ext uri="{FF2B5EF4-FFF2-40B4-BE49-F238E27FC236}">
                  <a16:creationId xmlns:a16="http://schemas.microsoft.com/office/drawing/2014/main" id="{00000000-0008-0000-3A00-000018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130137" name="Check Box 25" hidden="1">
              <a:extLst>
                <a:ext uri="{63B3BB69-23CF-44E3-9099-C40C66FF867C}">
                  <a14:compatExt spid="_x0000_s23130137"/>
                </a:ext>
                <a:ext uri="{FF2B5EF4-FFF2-40B4-BE49-F238E27FC236}">
                  <a16:creationId xmlns:a16="http://schemas.microsoft.com/office/drawing/2014/main" id="{00000000-0008-0000-3A00-000019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130138" name="Check Box 26" hidden="1">
              <a:extLst>
                <a:ext uri="{63B3BB69-23CF-44E3-9099-C40C66FF867C}">
                  <a14:compatExt spid="_x0000_s23130138"/>
                </a:ext>
                <a:ext uri="{FF2B5EF4-FFF2-40B4-BE49-F238E27FC236}">
                  <a16:creationId xmlns:a16="http://schemas.microsoft.com/office/drawing/2014/main" id="{00000000-0008-0000-3A00-00001A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3130139" name="Check Box 27" hidden="1">
              <a:extLst>
                <a:ext uri="{63B3BB69-23CF-44E3-9099-C40C66FF867C}">
                  <a14:compatExt spid="_x0000_s23130139"/>
                </a:ext>
                <a:ext uri="{FF2B5EF4-FFF2-40B4-BE49-F238E27FC236}">
                  <a16:creationId xmlns:a16="http://schemas.microsoft.com/office/drawing/2014/main" id="{00000000-0008-0000-3A00-00001B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3130140" name="Button 28" hidden="1">
              <a:extLst>
                <a:ext uri="{63B3BB69-23CF-44E3-9099-C40C66FF867C}">
                  <a14:compatExt spid="_x0000_s23130140"/>
                </a:ext>
                <a:ext uri="{FF2B5EF4-FFF2-40B4-BE49-F238E27FC236}">
                  <a16:creationId xmlns:a16="http://schemas.microsoft.com/office/drawing/2014/main" id="{00000000-0008-0000-3A00-00001C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3130141" name="Button 29" hidden="1">
              <a:extLst>
                <a:ext uri="{63B3BB69-23CF-44E3-9099-C40C66FF867C}">
                  <a14:compatExt spid="_x0000_s23130141"/>
                </a:ext>
                <a:ext uri="{FF2B5EF4-FFF2-40B4-BE49-F238E27FC236}">
                  <a16:creationId xmlns:a16="http://schemas.microsoft.com/office/drawing/2014/main" id="{00000000-0008-0000-3A00-00001DF060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3130142" name="Check Box 30" hidden="1">
              <a:extLst>
                <a:ext uri="{63B3BB69-23CF-44E3-9099-C40C66FF867C}">
                  <a14:compatExt spid="_x0000_s23130142"/>
                </a:ext>
                <a:ext uri="{FF2B5EF4-FFF2-40B4-BE49-F238E27FC236}">
                  <a16:creationId xmlns:a16="http://schemas.microsoft.com/office/drawing/2014/main" id="{00000000-0008-0000-3A00-00001E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3130143" name="Check Box 31" hidden="1">
              <a:extLst>
                <a:ext uri="{63B3BB69-23CF-44E3-9099-C40C66FF867C}">
                  <a14:compatExt spid="_x0000_s23130143"/>
                </a:ext>
                <a:ext uri="{FF2B5EF4-FFF2-40B4-BE49-F238E27FC236}">
                  <a16:creationId xmlns:a16="http://schemas.microsoft.com/office/drawing/2014/main" id="{00000000-0008-0000-3A00-00001F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3130144" name="Check Box 32" hidden="1">
              <a:extLst>
                <a:ext uri="{63B3BB69-23CF-44E3-9099-C40C66FF867C}">
                  <a14:compatExt spid="_x0000_s23130144"/>
                </a:ext>
                <a:ext uri="{FF2B5EF4-FFF2-40B4-BE49-F238E27FC236}">
                  <a16:creationId xmlns:a16="http://schemas.microsoft.com/office/drawing/2014/main" id="{00000000-0008-0000-3A00-000020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3130145" name="Check Box 33" hidden="1">
              <a:extLst>
                <a:ext uri="{63B3BB69-23CF-44E3-9099-C40C66FF867C}">
                  <a14:compatExt spid="_x0000_s23130145"/>
                </a:ext>
                <a:ext uri="{FF2B5EF4-FFF2-40B4-BE49-F238E27FC236}">
                  <a16:creationId xmlns:a16="http://schemas.microsoft.com/office/drawing/2014/main" id="{00000000-0008-0000-3A00-000021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3130146" name="Check Box 34" hidden="1">
              <a:extLst>
                <a:ext uri="{63B3BB69-23CF-44E3-9099-C40C66FF867C}">
                  <a14:compatExt spid="_x0000_s23130146"/>
                </a:ext>
                <a:ext uri="{FF2B5EF4-FFF2-40B4-BE49-F238E27FC236}">
                  <a16:creationId xmlns:a16="http://schemas.microsoft.com/office/drawing/2014/main" id="{00000000-0008-0000-3A00-000022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3130147" name="Check Box 35" hidden="1">
              <a:extLst>
                <a:ext uri="{63B3BB69-23CF-44E3-9099-C40C66FF867C}">
                  <a14:compatExt spid="_x0000_s23130147"/>
                </a:ext>
                <a:ext uri="{FF2B5EF4-FFF2-40B4-BE49-F238E27FC236}">
                  <a16:creationId xmlns:a16="http://schemas.microsoft.com/office/drawing/2014/main" id="{00000000-0008-0000-3A00-000023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3130148" name="Check Box 36" hidden="1">
              <a:extLst>
                <a:ext uri="{63B3BB69-23CF-44E3-9099-C40C66FF867C}">
                  <a14:compatExt spid="_x0000_s23130148"/>
                </a:ext>
                <a:ext uri="{FF2B5EF4-FFF2-40B4-BE49-F238E27FC236}">
                  <a16:creationId xmlns:a16="http://schemas.microsoft.com/office/drawing/2014/main" id="{00000000-0008-0000-3A00-000024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3130149" name="Check Box 37" hidden="1">
              <a:extLst>
                <a:ext uri="{63B3BB69-23CF-44E3-9099-C40C66FF867C}">
                  <a14:compatExt spid="_x0000_s23130149"/>
                </a:ext>
                <a:ext uri="{FF2B5EF4-FFF2-40B4-BE49-F238E27FC236}">
                  <a16:creationId xmlns:a16="http://schemas.microsoft.com/office/drawing/2014/main" id="{00000000-0008-0000-3A00-000025F060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B52C7DC-3B17-4903-88CF-1A93550E0645}"/>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4E0DC19-B122-4218-9D33-BA8227803A5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983681" name="Check Box 1" hidden="1">
              <a:extLst>
                <a:ext uri="{63B3BB69-23CF-44E3-9099-C40C66FF867C}">
                  <a14:compatExt spid="_x0000_s22983681"/>
                </a:ext>
                <a:ext uri="{FF2B5EF4-FFF2-40B4-BE49-F238E27FC236}">
                  <a16:creationId xmlns:a16="http://schemas.microsoft.com/office/drawing/2014/main" id="{00000000-0008-0000-3B00-000001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983682" name="Check Box 2" hidden="1">
              <a:extLst>
                <a:ext uri="{63B3BB69-23CF-44E3-9099-C40C66FF867C}">
                  <a14:compatExt spid="_x0000_s22983682"/>
                </a:ext>
                <a:ext uri="{FF2B5EF4-FFF2-40B4-BE49-F238E27FC236}">
                  <a16:creationId xmlns:a16="http://schemas.microsoft.com/office/drawing/2014/main" id="{00000000-0008-0000-3B00-000002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983683" name="Check Box 3" hidden="1">
              <a:extLst>
                <a:ext uri="{63B3BB69-23CF-44E3-9099-C40C66FF867C}">
                  <a14:compatExt spid="_x0000_s22983683"/>
                </a:ext>
                <a:ext uri="{FF2B5EF4-FFF2-40B4-BE49-F238E27FC236}">
                  <a16:creationId xmlns:a16="http://schemas.microsoft.com/office/drawing/2014/main" id="{00000000-0008-0000-3B00-000003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983684" name="Check Box 4" hidden="1">
              <a:extLst>
                <a:ext uri="{63B3BB69-23CF-44E3-9099-C40C66FF867C}">
                  <a14:compatExt spid="_x0000_s22983684"/>
                </a:ext>
                <a:ext uri="{FF2B5EF4-FFF2-40B4-BE49-F238E27FC236}">
                  <a16:creationId xmlns:a16="http://schemas.microsoft.com/office/drawing/2014/main" id="{00000000-0008-0000-3B00-000004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983685" name="Check Box 5" hidden="1">
              <a:extLst>
                <a:ext uri="{63B3BB69-23CF-44E3-9099-C40C66FF867C}">
                  <a14:compatExt spid="_x0000_s22983685"/>
                </a:ext>
                <a:ext uri="{FF2B5EF4-FFF2-40B4-BE49-F238E27FC236}">
                  <a16:creationId xmlns:a16="http://schemas.microsoft.com/office/drawing/2014/main" id="{00000000-0008-0000-3B00-000005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983686" name="Check Box 6" hidden="1">
              <a:extLst>
                <a:ext uri="{63B3BB69-23CF-44E3-9099-C40C66FF867C}">
                  <a14:compatExt spid="_x0000_s22983686"/>
                </a:ext>
                <a:ext uri="{FF2B5EF4-FFF2-40B4-BE49-F238E27FC236}">
                  <a16:creationId xmlns:a16="http://schemas.microsoft.com/office/drawing/2014/main" id="{00000000-0008-0000-3B00-000006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983687" name="Check Box 7" hidden="1">
              <a:extLst>
                <a:ext uri="{63B3BB69-23CF-44E3-9099-C40C66FF867C}">
                  <a14:compatExt spid="_x0000_s22983687"/>
                </a:ext>
                <a:ext uri="{FF2B5EF4-FFF2-40B4-BE49-F238E27FC236}">
                  <a16:creationId xmlns:a16="http://schemas.microsoft.com/office/drawing/2014/main" id="{00000000-0008-0000-3B00-000007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983688" name="Button 8" hidden="1">
              <a:extLst>
                <a:ext uri="{63B3BB69-23CF-44E3-9099-C40C66FF867C}">
                  <a14:compatExt spid="_x0000_s22983688"/>
                </a:ext>
                <a:ext uri="{FF2B5EF4-FFF2-40B4-BE49-F238E27FC236}">
                  <a16:creationId xmlns:a16="http://schemas.microsoft.com/office/drawing/2014/main" id="{00000000-0008-0000-3B00-000008B45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983689" name="Button 9" hidden="1">
              <a:extLst>
                <a:ext uri="{63B3BB69-23CF-44E3-9099-C40C66FF867C}">
                  <a14:compatExt spid="_x0000_s22983689"/>
                </a:ext>
                <a:ext uri="{FF2B5EF4-FFF2-40B4-BE49-F238E27FC236}">
                  <a16:creationId xmlns:a16="http://schemas.microsoft.com/office/drawing/2014/main" id="{00000000-0008-0000-3B00-000009B45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983690" name="Check Box 10" hidden="1">
              <a:extLst>
                <a:ext uri="{63B3BB69-23CF-44E3-9099-C40C66FF867C}">
                  <a14:compatExt spid="_x0000_s22983690"/>
                </a:ext>
                <a:ext uri="{FF2B5EF4-FFF2-40B4-BE49-F238E27FC236}">
                  <a16:creationId xmlns:a16="http://schemas.microsoft.com/office/drawing/2014/main" id="{00000000-0008-0000-3B00-00000A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983691" name="Button 11" hidden="1">
              <a:extLst>
                <a:ext uri="{63B3BB69-23CF-44E3-9099-C40C66FF867C}">
                  <a14:compatExt spid="_x0000_s22983691"/>
                </a:ext>
                <a:ext uri="{FF2B5EF4-FFF2-40B4-BE49-F238E27FC236}">
                  <a16:creationId xmlns:a16="http://schemas.microsoft.com/office/drawing/2014/main" id="{00000000-0008-0000-3B00-00000B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983692" name="Button 12" hidden="1">
              <a:extLst>
                <a:ext uri="{63B3BB69-23CF-44E3-9099-C40C66FF867C}">
                  <a14:compatExt spid="_x0000_s22983692"/>
                </a:ext>
                <a:ext uri="{FF2B5EF4-FFF2-40B4-BE49-F238E27FC236}">
                  <a16:creationId xmlns:a16="http://schemas.microsoft.com/office/drawing/2014/main" id="{00000000-0008-0000-3B00-00000C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983693" name="Button 13" hidden="1">
              <a:extLst>
                <a:ext uri="{63B3BB69-23CF-44E3-9099-C40C66FF867C}">
                  <a14:compatExt spid="_x0000_s22983693"/>
                </a:ext>
                <a:ext uri="{FF2B5EF4-FFF2-40B4-BE49-F238E27FC236}">
                  <a16:creationId xmlns:a16="http://schemas.microsoft.com/office/drawing/2014/main" id="{00000000-0008-0000-3B00-00000D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983694" name="Button 14" hidden="1">
              <a:extLst>
                <a:ext uri="{63B3BB69-23CF-44E3-9099-C40C66FF867C}">
                  <a14:compatExt spid="_x0000_s22983694"/>
                </a:ext>
                <a:ext uri="{FF2B5EF4-FFF2-40B4-BE49-F238E27FC236}">
                  <a16:creationId xmlns:a16="http://schemas.microsoft.com/office/drawing/2014/main" id="{00000000-0008-0000-3B00-00000E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983695" name="Check Box 15" hidden="1">
              <a:extLst>
                <a:ext uri="{63B3BB69-23CF-44E3-9099-C40C66FF867C}">
                  <a14:compatExt spid="_x0000_s22983695"/>
                </a:ext>
                <a:ext uri="{FF2B5EF4-FFF2-40B4-BE49-F238E27FC236}">
                  <a16:creationId xmlns:a16="http://schemas.microsoft.com/office/drawing/2014/main" id="{00000000-0008-0000-3B00-00000F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983696" name="Check Box 16" hidden="1">
              <a:extLst>
                <a:ext uri="{63B3BB69-23CF-44E3-9099-C40C66FF867C}">
                  <a14:compatExt spid="_x0000_s22983696"/>
                </a:ext>
                <a:ext uri="{FF2B5EF4-FFF2-40B4-BE49-F238E27FC236}">
                  <a16:creationId xmlns:a16="http://schemas.microsoft.com/office/drawing/2014/main" id="{00000000-0008-0000-3B00-000010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983697" name="Check Box 17" hidden="1">
              <a:extLst>
                <a:ext uri="{63B3BB69-23CF-44E3-9099-C40C66FF867C}">
                  <a14:compatExt spid="_x0000_s22983697"/>
                </a:ext>
                <a:ext uri="{FF2B5EF4-FFF2-40B4-BE49-F238E27FC236}">
                  <a16:creationId xmlns:a16="http://schemas.microsoft.com/office/drawing/2014/main" id="{00000000-0008-0000-3B00-000011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983698" name="Check Box 18" hidden="1">
              <a:extLst>
                <a:ext uri="{63B3BB69-23CF-44E3-9099-C40C66FF867C}">
                  <a14:compatExt spid="_x0000_s22983698"/>
                </a:ext>
                <a:ext uri="{FF2B5EF4-FFF2-40B4-BE49-F238E27FC236}">
                  <a16:creationId xmlns:a16="http://schemas.microsoft.com/office/drawing/2014/main" id="{00000000-0008-0000-3B00-000012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983699" name="Check Box 19" hidden="1">
              <a:extLst>
                <a:ext uri="{63B3BB69-23CF-44E3-9099-C40C66FF867C}">
                  <a14:compatExt spid="_x0000_s22983699"/>
                </a:ext>
                <a:ext uri="{FF2B5EF4-FFF2-40B4-BE49-F238E27FC236}">
                  <a16:creationId xmlns:a16="http://schemas.microsoft.com/office/drawing/2014/main" id="{00000000-0008-0000-3B00-000013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983700" name="Check Box 20" hidden="1">
              <a:extLst>
                <a:ext uri="{63B3BB69-23CF-44E3-9099-C40C66FF867C}">
                  <a14:compatExt spid="_x0000_s22983700"/>
                </a:ext>
                <a:ext uri="{FF2B5EF4-FFF2-40B4-BE49-F238E27FC236}">
                  <a16:creationId xmlns:a16="http://schemas.microsoft.com/office/drawing/2014/main" id="{00000000-0008-0000-3B00-000014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983701" name="Check Box 21" hidden="1">
              <a:extLst>
                <a:ext uri="{63B3BB69-23CF-44E3-9099-C40C66FF867C}">
                  <a14:compatExt spid="_x0000_s22983701"/>
                </a:ext>
                <a:ext uri="{FF2B5EF4-FFF2-40B4-BE49-F238E27FC236}">
                  <a16:creationId xmlns:a16="http://schemas.microsoft.com/office/drawing/2014/main" id="{00000000-0008-0000-3B00-000015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983702" name="Check Box 22" hidden="1">
              <a:extLst>
                <a:ext uri="{63B3BB69-23CF-44E3-9099-C40C66FF867C}">
                  <a14:compatExt spid="_x0000_s22983702"/>
                </a:ext>
                <a:ext uri="{FF2B5EF4-FFF2-40B4-BE49-F238E27FC236}">
                  <a16:creationId xmlns:a16="http://schemas.microsoft.com/office/drawing/2014/main" id="{00000000-0008-0000-3B00-000016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983703" name="Check Box 23" hidden="1">
              <a:extLst>
                <a:ext uri="{63B3BB69-23CF-44E3-9099-C40C66FF867C}">
                  <a14:compatExt spid="_x0000_s22983703"/>
                </a:ext>
                <a:ext uri="{FF2B5EF4-FFF2-40B4-BE49-F238E27FC236}">
                  <a16:creationId xmlns:a16="http://schemas.microsoft.com/office/drawing/2014/main" id="{00000000-0008-0000-3B00-000017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983704" name="Check Box 24" hidden="1">
              <a:extLst>
                <a:ext uri="{63B3BB69-23CF-44E3-9099-C40C66FF867C}">
                  <a14:compatExt spid="_x0000_s22983704"/>
                </a:ext>
                <a:ext uri="{FF2B5EF4-FFF2-40B4-BE49-F238E27FC236}">
                  <a16:creationId xmlns:a16="http://schemas.microsoft.com/office/drawing/2014/main" id="{00000000-0008-0000-3B00-000018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983705" name="Check Box 25" hidden="1">
              <a:extLst>
                <a:ext uri="{63B3BB69-23CF-44E3-9099-C40C66FF867C}">
                  <a14:compatExt spid="_x0000_s22983705"/>
                </a:ext>
                <a:ext uri="{FF2B5EF4-FFF2-40B4-BE49-F238E27FC236}">
                  <a16:creationId xmlns:a16="http://schemas.microsoft.com/office/drawing/2014/main" id="{00000000-0008-0000-3B00-000019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983706" name="Check Box 26" hidden="1">
              <a:extLst>
                <a:ext uri="{63B3BB69-23CF-44E3-9099-C40C66FF867C}">
                  <a14:compatExt spid="_x0000_s22983706"/>
                </a:ext>
                <a:ext uri="{FF2B5EF4-FFF2-40B4-BE49-F238E27FC236}">
                  <a16:creationId xmlns:a16="http://schemas.microsoft.com/office/drawing/2014/main" id="{00000000-0008-0000-3B00-00001A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983707" name="Check Box 27" hidden="1">
              <a:extLst>
                <a:ext uri="{63B3BB69-23CF-44E3-9099-C40C66FF867C}">
                  <a14:compatExt spid="_x0000_s22983707"/>
                </a:ext>
                <a:ext uri="{FF2B5EF4-FFF2-40B4-BE49-F238E27FC236}">
                  <a16:creationId xmlns:a16="http://schemas.microsoft.com/office/drawing/2014/main" id="{00000000-0008-0000-3B00-00001B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983708" name="Button 28" hidden="1">
              <a:extLst>
                <a:ext uri="{63B3BB69-23CF-44E3-9099-C40C66FF867C}">
                  <a14:compatExt spid="_x0000_s22983708"/>
                </a:ext>
                <a:ext uri="{FF2B5EF4-FFF2-40B4-BE49-F238E27FC236}">
                  <a16:creationId xmlns:a16="http://schemas.microsoft.com/office/drawing/2014/main" id="{00000000-0008-0000-3B00-00001C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983709" name="Button 29" hidden="1">
              <a:extLst>
                <a:ext uri="{63B3BB69-23CF-44E3-9099-C40C66FF867C}">
                  <a14:compatExt spid="_x0000_s22983709"/>
                </a:ext>
                <a:ext uri="{FF2B5EF4-FFF2-40B4-BE49-F238E27FC236}">
                  <a16:creationId xmlns:a16="http://schemas.microsoft.com/office/drawing/2014/main" id="{00000000-0008-0000-3B00-00001DB45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983710" name="Check Box 30" hidden="1">
              <a:extLst>
                <a:ext uri="{63B3BB69-23CF-44E3-9099-C40C66FF867C}">
                  <a14:compatExt spid="_x0000_s22983710"/>
                </a:ext>
                <a:ext uri="{FF2B5EF4-FFF2-40B4-BE49-F238E27FC236}">
                  <a16:creationId xmlns:a16="http://schemas.microsoft.com/office/drawing/2014/main" id="{00000000-0008-0000-3B00-00001E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983711" name="Check Box 31" hidden="1">
              <a:extLst>
                <a:ext uri="{63B3BB69-23CF-44E3-9099-C40C66FF867C}">
                  <a14:compatExt spid="_x0000_s22983711"/>
                </a:ext>
                <a:ext uri="{FF2B5EF4-FFF2-40B4-BE49-F238E27FC236}">
                  <a16:creationId xmlns:a16="http://schemas.microsoft.com/office/drawing/2014/main" id="{00000000-0008-0000-3B00-00001F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983712" name="Check Box 32" hidden="1">
              <a:extLst>
                <a:ext uri="{63B3BB69-23CF-44E3-9099-C40C66FF867C}">
                  <a14:compatExt spid="_x0000_s22983712"/>
                </a:ext>
                <a:ext uri="{FF2B5EF4-FFF2-40B4-BE49-F238E27FC236}">
                  <a16:creationId xmlns:a16="http://schemas.microsoft.com/office/drawing/2014/main" id="{00000000-0008-0000-3B00-000020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983713" name="Check Box 33" hidden="1">
              <a:extLst>
                <a:ext uri="{63B3BB69-23CF-44E3-9099-C40C66FF867C}">
                  <a14:compatExt spid="_x0000_s22983713"/>
                </a:ext>
                <a:ext uri="{FF2B5EF4-FFF2-40B4-BE49-F238E27FC236}">
                  <a16:creationId xmlns:a16="http://schemas.microsoft.com/office/drawing/2014/main" id="{00000000-0008-0000-3B00-000021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983714" name="Check Box 34" hidden="1">
              <a:extLst>
                <a:ext uri="{63B3BB69-23CF-44E3-9099-C40C66FF867C}">
                  <a14:compatExt spid="_x0000_s22983714"/>
                </a:ext>
                <a:ext uri="{FF2B5EF4-FFF2-40B4-BE49-F238E27FC236}">
                  <a16:creationId xmlns:a16="http://schemas.microsoft.com/office/drawing/2014/main" id="{00000000-0008-0000-3B00-000022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983715" name="Check Box 35" hidden="1">
              <a:extLst>
                <a:ext uri="{63B3BB69-23CF-44E3-9099-C40C66FF867C}">
                  <a14:compatExt spid="_x0000_s22983715"/>
                </a:ext>
                <a:ext uri="{FF2B5EF4-FFF2-40B4-BE49-F238E27FC236}">
                  <a16:creationId xmlns:a16="http://schemas.microsoft.com/office/drawing/2014/main" id="{00000000-0008-0000-3B00-000023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983716" name="Check Box 36" hidden="1">
              <a:extLst>
                <a:ext uri="{63B3BB69-23CF-44E3-9099-C40C66FF867C}">
                  <a14:compatExt spid="_x0000_s22983716"/>
                </a:ext>
                <a:ext uri="{FF2B5EF4-FFF2-40B4-BE49-F238E27FC236}">
                  <a16:creationId xmlns:a16="http://schemas.microsoft.com/office/drawing/2014/main" id="{00000000-0008-0000-3B00-000024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983717" name="Check Box 37" hidden="1">
              <a:extLst>
                <a:ext uri="{63B3BB69-23CF-44E3-9099-C40C66FF867C}">
                  <a14:compatExt spid="_x0000_s22983717"/>
                </a:ext>
                <a:ext uri="{FF2B5EF4-FFF2-40B4-BE49-F238E27FC236}">
                  <a16:creationId xmlns:a16="http://schemas.microsoft.com/office/drawing/2014/main" id="{00000000-0008-0000-3B00-000025B45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6A75D83-8A15-4AD2-9185-258594E4DAE9}"/>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D92DAE2-5885-4988-8461-0C07EB83AD24}"/>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687745" name="Check Box 1" hidden="1">
              <a:extLst>
                <a:ext uri="{63B3BB69-23CF-44E3-9099-C40C66FF867C}">
                  <a14:compatExt spid="_x0000_s22687745"/>
                </a:ext>
                <a:ext uri="{FF2B5EF4-FFF2-40B4-BE49-F238E27FC236}">
                  <a16:creationId xmlns:a16="http://schemas.microsoft.com/office/drawing/2014/main" id="{00000000-0008-0000-3C00-000001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687746" name="Check Box 2" hidden="1">
              <a:extLst>
                <a:ext uri="{63B3BB69-23CF-44E3-9099-C40C66FF867C}">
                  <a14:compatExt spid="_x0000_s22687746"/>
                </a:ext>
                <a:ext uri="{FF2B5EF4-FFF2-40B4-BE49-F238E27FC236}">
                  <a16:creationId xmlns:a16="http://schemas.microsoft.com/office/drawing/2014/main" id="{00000000-0008-0000-3C00-000002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687747" name="Check Box 3" hidden="1">
              <a:extLst>
                <a:ext uri="{63B3BB69-23CF-44E3-9099-C40C66FF867C}">
                  <a14:compatExt spid="_x0000_s22687747"/>
                </a:ext>
                <a:ext uri="{FF2B5EF4-FFF2-40B4-BE49-F238E27FC236}">
                  <a16:creationId xmlns:a16="http://schemas.microsoft.com/office/drawing/2014/main" id="{00000000-0008-0000-3C00-000003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687748" name="Check Box 4" hidden="1">
              <a:extLst>
                <a:ext uri="{63B3BB69-23CF-44E3-9099-C40C66FF867C}">
                  <a14:compatExt spid="_x0000_s22687748"/>
                </a:ext>
                <a:ext uri="{FF2B5EF4-FFF2-40B4-BE49-F238E27FC236}">
                  <a16:creationId xmlns:a16="http://schemas.microsoft.com/office/drawing/2014/main" id="{00000000-0008-0000-3C00-000004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687749" name="Check Box 5" hidden="1">
              <a:extLst>
                <a:ext uri="{63B3BB69-23CF-44E3-9099-C40C66FF867C}">
                  <a14:compatExt spid="_x0000_s22687749"/>
                </a:ext>
                <a:ext uri="{FF2B5EF4-FFF2-40B4-BE49-F238E27FC236}">
                  <a16:creationId xmlns:a16="http://schemas.microsoft.com/office/drawing/2014/main" id="{00000000-0008-0000-3C00-000005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687750" name="Check Box 6" hidden="1">
              <a:extLst>
                <a:ext uri="{63B3BB69-23CF-44E3-9099-C40C66FF867C}">
                  <a14:compatExt spid="_x0000_s22687750"/>
                </a:ext>
                <a:ext uri="{FF2B5EF4-FFF2-40B4-BE49-F238E27FC236}">
                  <a16:creationId xmlns:a16="http://schemas.microsoft.com/office/drawing/2014/main" id="{00000000-0008-0000-3C00-000006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687751" name="Check Box 7" hidden="1">
              <a:extLst>
                <a:ext uri="{63B3BB69-23CF-44E3-9099-C40C66FF867C}">
                  <a14:compatExt spid="_x0000_s22687751"/>
                </a:ext>
                <a:ext uri="{FF2B5EF4-FFF2-40B4-BE49-F238E27FC236}">
                  <a16:creationId xmlns:a16="http://schemas.microsoft.com/office/drawing/2014/main" id="{00000000-0008-0000-3C00-000007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687752" name="Button 8" hidden="1">
              <a:extLst>
                <a:ext uri="{63B3BB69-23CF-44E3-9099-C40C66FF867C}">
                  <a14:compatExt spid="_x0000_s22687752"/>
                </a:ext>
                <a:ext uri="{FF2B5EF4-FFF2-40B4-BE49-F238E27FC236}">
                  <a16:creationId xmlns:a16="http://schemas.microsoft.com/office/drawing/2014/main" id="{00000000-0008-0000-3C00-00000830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687753" name="Button 9" hidden="1">
              <a:extLst>
                <a:ext uri="{63B3BB69-23CF-44E3-9099-C40C66FF867C}">
                  <a14:compatExt spid="_x0000_s22687753"/>
                </a:ext>
                <a:ext uri="{FF2B5EF4-FFF2-40B4-BE49-F238E27FC236}">
                  <a16:creationId xmlns:a16="http://schemas.microsoft.com/office/drawing/2014/main" id="{00000000-0008-0000-3C00-00000930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687754" name="Check Box 10" hidden="1">
              <a:extLst>
                <a:ext uri="{63B3BB69-23CF-44E3-9099-C40C66FF867C}">
                  <a14:compatExt spid="_x0000_s22687754"/>
                </a:ext>
                <a:ext uri="{FF2B5EF4-FFF2-40B4-BE49-F238E27FC236}">
                  <a16:creationId xmlns:a16="http://schemas.microsoft.com/office/drawing/2014/main" id="{00000000-0008-0000-3C00-00000A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687755" name="Button 11" hidden="1">
              <a:extLst>
                <a:ext uri="{63B3BB69-23CF-44E3-9099-C40C66FF867C}">
                  <a14:compatExt spid="_x0000_s22687755"/>
                </a:ext>
                <a:ext uri="{FF2B5EF4-FFF2-40B4-BE49-F238E27FC236}">
                  <a16:creationId xmlns:a16="http://schemas.microsoft.com/office/drawing/2014/main" id="{00000000-0008-0000-3C00-00000B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687756" name="Button 12" hidden="1">
              <a:extLst>
                <a:ext uri="{63B3BB69-23CF-44E3-9099-C40C66FF867C}">
                  <a14:compatExt spid="_x0000_s22687756"/>
                </a:ext>
                <a:ext uri="{FF2B5EF4-FFF2-40B4-BE49-F238E27FC236}">
                  <a16:creationId xmlns:a16="http://schemas.microsoft.com/office/drawing/2014/main" id="{00000000-0008-0000-3C00-00000C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687757" name="Button 13" hidden="1">
              <a:extLst>
                <a:ext uri="{63B3BB69-23CF-44E3-9099-C40C66FF867C}">
                  <a14:compatExt spid="_x0000_s22687757"/>
                </a:ext>
                <a:ext uri="{FF2B5EF4-FFF2-40B4-BE49-F238E27FC236}">
                  <a16:creationId xmlns:a16="http://schemas.microsoft.com/office/drawing/2014/main" id="{00000000-0008-0000-3C00-00000D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687758" name="Button 14" hidden="1">
              <a:extLst>
                <a:ext uri="{63B3BB69-23CF-44E3-9099-C40C66FF867C}">
                  <a14:compatExt spid="_x0000_s22687758"/>
                </a:ext>
                <a:ext uri="{FF2B5EF4-FFF2-40B4-BE49-F238E27FC236}">
                  <a16:creationId xmlns:a16="http://schemas.microsoft.com/office/drawing/2014/main" id="{00000000-0008-0000-3C00-00000E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687759" name="Check Box 15" hidden="1">
              <a:extLst>
                <a:ext uri="{63B3BB69-23CF-44E3-9099-C40C66FF867C}">
                  <a14:compatExt spid="_x0000_s22687759"/>
                </a:ext>
                <a:ext uri="{FF2B5EF4-FFF2-40B4-BE49-F238E27FC236}">
                  <a16:creationId xmlns:a16="http://schemas.microsoft.com/office/drawing/2014/main" id="{00000000-0008-0000-3C00-00000F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687760" name="Check Box 16" hidden="1">
              <a:extLst>
                <a:ext uri="{63B3BB69-23CF-44E3-9099-C40C66FF867C}">
                  <a14:compatExt spid="_x0000_s22687760"/>
                </a:ext>
                <a:ext uri="{FF2B5EF4-FFF2-40B4-BE49-F238E27FC236}">
                  <a16:creationId xmlns:a16="http://schemas.microsoft.com/office/drawing/2014/main" id="{00000000-0008-0000-3C00-000010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687761" name="Check Box 17" hidden="1">
              <a:extLst>
                <a:ext uri="{63B3BB69-23CF-44E3-9099-C40C66FF867C}">
                  <a14:compatExt spid="_x0000_s22687761"/>
                </a:ext>
                <a:ext uri="{FF2B5EF4-FFF2-40B4-BE49-F238E27FC236}">
                  <a16:creationId xmlns:a16="http://schemas.microsoft.com/office/drawing/2014/main" id="{00000000-0008-0000-3C00-000011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687762" name="Check Box 18" hidden="1">
              <a:extLst>
                <a:ext uri="{63B3BB69-23CF-44E3-9099-C40C66FF867C}">
                  <a14:compatExt spid="_x0000_s22687762"/>
                </a:ext>
                <a:ext uri="{FF2B5EF4-FFF2-40B4-BE49-F238E27FC236}">
                  <a16:creationId xmlns:a16="http://schemas.microsoft.com/office/drawing/2014/main" id="{00000000-0008-0000-3C00-000012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687763" name="Check Box 19" hidden="1">
              <a:extLst>
                <a:ext uri="{63B3BB69-23CF-44E3-9099-C40C66FF867C}">
                  <a14:compatExt spid="_x0000_s22687763"/>
                </a:ext>
                <a:ext uri="{FF2B5EF4-FFF2-40B4-BE49-F238E27FC236}">
                  <a16:creationId xmlns:a16="http://schemas.microsoft.com/office/drawing/2014/main" id="{00000000-0008-0000-3C00-000013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687764" name="Check Box 20" hidden="1">
              <a:extLst>
                <a:ext uri="{63B3BB69-23CF-44E3-9099-C40C66FF867C}">
                  <a14:compatExt spid="_x0000_s22687764"/>
                </a:ext>
                <a:ext uri="{FF2B5EF4-FFF2-40B4-BE49-F238E27FC236}">
                  <a16:creationId xmlns:a16="http://schemas.microsoft.com/office/drawing/2014/main" id="{00000000-0008-0000-3C00-000014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687765" name="Check Box 21" hidden="1">
              <a:extLst>
                <a:ext uri="{63B3BB69-23CF-44E3-9099-C40C66FF867C}">
                  <a14:compatExt spid="_x0000_s22687765"/>
                </a:ext>
                <a:ext uri="{FF2B5EF4-FFF2-40B4-BE49-F238E27FC236}">
                  <a16:creationId xmlns:a16="http://schemas.microsoft.com/office/drawing/2014/main" id="{00000000-0008-0000-3C00-000015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687766" name="Check Box 22" hidden="1">
              <a:extLst>
                <a:ext uri="{63B3BB69-23CF-44E3-9099-C40C66FF867C}">
                  <a14:compatExt spid="_x0000_s22687766"/>
                </a:ext>
                <a:ext uri="{FF2B5EF4-FFF2-40B4-BE49-F238E27FC236}">
                  <a16:creationId xmlns:a16="http://schemas.microsoft.com/office/drawing/2014/main" id="{00000000-0008-0000-3C00-000016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687767" name="Check Box 23" hidden="1">
              <a:extLst>
                <a:ext uri="{63B3BB69-23CF-44E3-9099-C40C66FF867C}">
                  <a14:compatExt spid="_x0000_s22687767"/>
                </a:ext>
                <a:ext uri="{FF2B5EF4-FFF2-40B4-BE49-F238E27FC236}">
                  <a16:creationId xmlns:a16="http://schemas.microsoft.com/office/drawing/2014/main" id="{00000000-0008-0000-3C00-000017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687768" name="Check Box 24" hidden="1">
              <a:extLst>
                <a:ext uri="{63B3BB69-23CF-44E3-9099-C40C66FF867C}">
                  <a14:compatExt spid="_x0000_s22687768"/>
                </a:ext>
                <a:ext uri="{FF2B5EF4-FFF2-40B4-BE49-F238E27FC236}">
                  <a16:creationId xmlns:a16="http://schemas.microsoft.com/office/drawing/2014/main" id="{00000000-0008-0000-3C00-000018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687769" name="Check Box 25" hidden="1">
              <a:extLst>
                <a:ext uri="{63B3BB69-23CF-44E3-9099-C40C66FF867C}">
                  <a14:compatExt spid="_x0000_s22687769"/>
                </a:ext>
                <a:ext uri="{FF2B5EF4-FFF2-40B4-BE49-F238E27FC236}">
                  <a16:creationId xmlns:a16="http://schemas.microsoft.com/office/drawing/2014/main" id="{00000000-0008-0000-3C00-000019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687770" name="Check Box 26" hidden="1">
              <a:extLst>
                <a:ext uri="{63B3BB69-23CF-44E3-9099-C40C66FF867C}">
                  <a14:compatExt spid="_x0000_s22687770"/>
                </a:ext>
                <a:ext uri="{FF2B5EF4-FFF2-40B4-BE49-F238E27FC236}">
                  <a16:creationId xmlns:a16="http://schemas.microsoft.com/office/drawing/2014/main" id="{00000000-0008-0000-3C00-00001A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687771" name="Check Box 27" hidden="1">
              <a:extLst>
                <a:ext uri="{63B3BB69-23CF-44E3-9099-C40C66FF867C}">
                  <a14:compatExt spid="_x0000_s22687771"/>
                </a:ext>
                <a:ext uri="{FF2B5EF4-FFF2-40B4-BE49-F238E27FC236}">
                  <a16:creationId xmlns:a16="http://schemas.microsoft.com/office/drawing/2014/main" id="{00000000-0008-0000-3C00-00001B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687772" name="Button 28" hidden="1">
              <a:extLst>
                <a:ext uri="{63B3BB69-23CF-44E3-9099-C40C66FF867C}">
                  <a14:compatExt spid="_x0000_s22687772"/>
                </a:ext>
                <a:ext uri="{FF2B5EF4-FFF2-40B4-BE49-F238E27FC236}">
                  <a16:creationId xmlns:a16="http://schemas.microsoft.com/office/drawing/2014/main" id="{00000000-0008-0000-3C00-00001C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687773" name="Button 29" hidden="1">
              <a:extLst>
                <a:ext uri="{63B3BB69-23CF-44E3-9099-C40C66FF867C}">
                  <a14:compatExt spid="_x0000_s22687773"/>
                </a:ext>
                <a:ext uri="{FF2B5EF4-FFF2-40B4-BE49-F238E27FC236}">
                  <a16:creationId xmlns:a16="http://schemas.microsoft.com/office/drawing/2014/main" id="{00000000-0008-0000-3C00-00001D30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687774" name="Check Box 30" hidden="1">
              <a:extLst>
                <a:ext uri="{63B3BB69-23CF-44E3-9099-C40C66FF867C}">
                  <a14:compatExt spid="_x0000_s22687774"/>
                </a:ext>
                <a:ext uri="{FF2B5EF4-FFF2-40B4-BE49-F238E27FC236}">
                  <a16:creationId xmlns:a16="http://schemas.microsoft.com/office/drawing/2014/main" id="{00000000-0008-0000-3C00-00001E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687775" name="Check Box 31" hidden="1">
              <a:extLst>
                <a:ext uri="{63B3BB69-23CF-44E3-9099-C40C66FF867C}">
                  <a14:compatExt spid="_x0000_s22687775"/>
                </a:ext>
                <a:ext uri="{FF2B5EF4-FFF2-40B4-BE49-F238E27FC236}">
                  <a16:creationId xmlns:a16="http://schemas.microsoft.com/office/drawing/2014/main" id="{00000000-0008-0000-3C00-00001F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687776" name="Check Box 32" hidden="1">
              <a:extLst>
                <a:ext uri="{63B3BB69-23CF-44E3-9099-C40C66FF867C}">
                  <a14:compatExt spid="_x0000_s22687776"/>
                </a:ext>
                <a:ext uri="{FF2B5EF4-FFF2-40B4-BE49-F238E27FC236}">
                  <a16:creationId xmlns:a16="http://schemas.microsoft.com/office/drawing/2014/main" id="{00000000-0008-0000-3C00-000020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687777" name="Check Box 33" hidden="1">
              <a:extLst>
                <a:ext uri="{63B3BB69-23CF-44E3-9099-C40C66FF867C}">
                  <a14:compatExt spid="_x0000_s22687777"/>
                </a:ext>
                <a:ext uri="{FF2B5EF4-FFF2-40B4-BE49-F238E27FC236}">
                  <a16:creationId xmlns:a16="http://schemas.microsoft.com/office/drawing/2014/main" id="{00000000-0008-0000-3C00-000021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687778" name="Check Box 34" hidden="1">
              <a:extLst>
                <a:ext uri="{63B3BB69-23CF-44E3-9099-C40C66FF867C}">
                  <a14:compatExt spid="_x0000_s22687778"/>
                </a:ext>
                <a:ext uri="{FF2B5EF4-FFF2-40B4-BE49-F238E27FC236}">
                  <a16:creationId xmlns:a16="http://schemas.microsoft.com/office/drawing/2014/main" id="{00000000-0008-0000-3C00-000022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687779" name="Check Box 35" hidden="1">
              <a:extLst>
                <a:ext uri="{63B3BB69-23CF-44E3-9099-C40C66FF867C}">
                  <a14:compatExt spid="_x0000_s22687779"/>
                </a:ext>
                <a:ext uri="{FF2B5EF4-FFF2-40B4-BE49-F238E27FC236}">
                  <a16:creationId xmlns:a16="http://schemas.microsoft.com/office/drawing/2014/main" id="{00000000-0008-0000-3C00-000023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687780" name="Check Box 36" hidden="1">
              <a:extLst>
                <a:ext uri="{63B3BB69-23CF-44E3-9099-C40C66FF867C}">
                  <a14:compatExt spid="_x0000_s22687780"/>
                </a:ext>
                <a:ext uri="{FF2B5EF4-FFF2-40B4-BE49-F238E27FC236}">
                  <a16:creationId xmlns:a16="http://schemas.microsoft.com/office/drawing/2014/main" id="{00000000-0008-0000-3C00-000024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687781" name="Check Box 37" hidden="1">
              <a:extLst>
                <a:ext uri="{63B3BB69-23CF-44E3-9099-C40C66FF867C}">
                  <a14:compatExt spid="_x0000_s22687781"/>
                </a:ext>
                <a:ext uri="{FF2B5EF4-FFF2-40B4-BE49-F238E27FC236}">
                  <a16:creationId xmlns:a16="http://schemas.microsoft.com/office/drawing/2014/main" id="{00000000-0008-0000-3C00-00002530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7AC26B4-EB66-446F-AC82-AC1089385DA0}"/>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br>
            <a:rPr lang="en-AU" sz="1100"/>
          </a:br>
          <a:r>
            <a:rPr lang="en-AU" sz="1100">
              <a:solidFill>
                <a:srgbClr val="FF0000"/>
              </a:solidFill>
            </a:rPr>
            <a:t>USING ALPINE BUILDING SURVEYORS. NOT ABC!!!! </a:t>
          </a: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C6FC607-CC89-4CA6-8C27-E9D439482DB8}"/>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686721" name="Check Box 1" hidden="1">
              <a:extLst>
                <a:ext uri="{63B3BB69-23CF-44E3-9099-C40C66FF867C}">
                  <a14:compatExt spid="_x0000_s22686721"/>
                </a:ext>
                <a:ext uri="{FF2B5EF4-FFF2-40B4-BE49-F238E27FC236}">
                  <a16:creationId xmlns:a16="http://schemas.microsoft.com/office/drawing/2014/main" id="{00000000-0008-0000-3D00-000001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686722" name="Check Box 2" hidden="1">
              <a:extLst>
                <a:ext uri="{63B3BB69-23CF-44E3-9099-C40C66FF867C}">
                  <a14:compatExt spid="_x0000_s22686722"/>
                </a:ext>
                <a:ext uri="{FF2B5EF4-FFF2-40B4-BE49-F238E27FC236}">
                  <a16:creationId xmlns:a16="http://schemas.microsoft.com/office/drawing/2014/main" id="{00000000-0008-0000-3D00-000002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686723" name="Check Box 3" hidden="1">
              <a:extLst>
                <a:ext uri="{63B3BB69-23CF-44E3-9099-C40C66FF867C}">
                  <a14:compatExt spid="_x0000_s22686723"/>
                </a:ext>
                <a:ext uri="{FF2B5EF4-FFF2-40B4-BE49-F238E27FC236}">
                  <a16:creationId xmlns:a16="http://schemas.microsoft.com/office/drawing/2014/main" id="{00000000-0008-0000-3D00-000003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686724" name="Check Box 4" hidden="1">
              <a:extLst>
                <a:ext uri="{63B3BB69-23CF-44E3-9099-C40C66FF867C}">
                  <a14:compatExt spid="_x0000_s22686724"/>
                </a:ext>
                <a:ext uri="{FF2B5EF4-FFF2-40B4-BE49-F238E27FC236}">
                  <a16:creationId xmlns:a16="http://schemas.microsoft.com/office/drawing/2014/main" id="{00000000-0008-0000-3D00-000004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686725" name="Check Box 5" hidden="1">
              <a:extLst>
                <a:ext uri="{63B3BB69-23CF-44E3-9099-C40C66FF867C}">
                  <a14:compatExt spid="_x0000_s22686725"/>
                </a:ext>
                <a:ext uri="{FF2B5EF4-FFF2-40B4-BE49-F238E27FC236}">
                  <a16:creationId xmlns:a16="http://schemas.microsoft.com/office/drawing/2014/main" id="{00000000-0008-0000-3D00-000005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686726" name="Check Box 6" hidden="1">
              <a:extLst>
                <a:ext uri="{63B3BB69-23CF-44E3-9099-C40C66FF867C}">
                  <a14:compatExt spid="_x0000_s22686726"/>
                </a:ext>
                <a:ext uri="{FF2B5EF4-FFF2-40B4-BE49-F238E27FC236}">
                  <a16:creationId xmlns:a16="http://schemas.microsoft.com/office/drawing/2014/main" id="{00000000-0008-0000-3D00-000006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686727" name="Check Box 7" hidden="1">
              <a:extLst>
                <a:ext uri="{63B3BB69-23CF-44E3-9099-C40C66FF867C}">
                  <a14:compatExt spid="_x0000_s22686727"/>
                </a:ext>
                <a:ext uri="{FF2B5EF4-FFF2-40B4-BE49-F238E27FC236}">
                  <a16:creationId xmlns:a16="http://schemas.microsoft.com/office/drawing/2014/main" id="{00000000-0008-0000-3D00-000007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686728" name="Button 8" hidden="1">
              <a:extLst>
                <a:ext uri="{63B3BB69-23CF-44E3-9099-C40C66FF867C}">
                  <a14:compatExt spid="_x0000_s22686728"/>
                </a:ext>
                <a:ext uri="{FF2B5EF4-FFF2-40B4-BE49-F238E27FC236}">
                  <a16:creationId xmlns:a16="http://schemas.microsoft.com/office/drawing/2014/main" id="{00000000-0008-0000-3D00-0000082C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686729" name="Button 9" hidden="1">
              <a:extLst>
                <a:ext uri="{63B3BB69-23CF-44E3-9099-C40C66FF867C}">
                  <a14:compatExt spid="_x0000_s22686729"/>
                </a:ext>
                <a:ext uri="{FF2B5EF4-FFF2-40B4-BE49-F238E27FC236}">
                  <a16:creationId xmlns:a16="http://schemas.microsoft.com/office/drawing/2014/main" id="{00000000-0008-0000-3D00-0000092C5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686730" name="Check Box 10" hidden="1">
              <a:extLst>
                <a:ext uri="{63B3BB69-23CF-44E3-9099-C40C66FF867C}">
                  <a14:compatExt spid="_x0000_s22686730"/>
                </a:ext>
                <a:ext uri="{FF2B5EF4-FFF2-40B4-BE49-F238E27FC236}">
                  <a16:creationId xmlns:a16="http://schemas.microsoft.com/office/drawing/2014/main" id="{00000000-0008-0000-3D00-00000A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686731" name="Button 11" hidden="1">
              <a:extLst>
                <a:ext uri="{63B3BB69-23CF-44E3-9099-C40C66FF867C}">
                  <a14:compatExt spid="_x0000_s22686731"/>
                </a:ext>
                <a:ext uri="{FF2B5EF4-FFF2-40B4-BE49-F238E27FC236}">
                  <a16:creationId xmlns:a16="http://schemas.microsoft.com/office/drawing/2014/main" id="{00000000-0008-0000-3D00-00000B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686732" name="Button 12" hidden="1">
              <a:extLst>
                <a:ext uri="{63B3BB69-23CF-44E3-9099-C40C66FF867C}">
                  <a14:compatExt spid="_x0000_s22686732"/>
                </a:ext>
                <a:ext uri="{FF2B5EF4-FFF2-40B4-BE49-F238E27FC236}">
                  <a16:creationId xmlns:a16="http://schemas.microsoft.com/office/drawing/2014/main" id="{00000000-0008-0000-3D00-00000C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686733" name="Button 13" hidden="1">
              <a:extLst>
                <a:ext uri="{63B3BB69-23CF-44E3-9099-C40C66FF867C}">
                  <a14:compatExt spid="_x0000_s22686733"/>
                </a:ext>
                <a:ext uri="{FF2B5EF4-FFF2-40B4-BE49-F238E27FC236}">
                  <a16:creationId xmlns:a16="http://schemas.microsoft.com/office/drawing/2014/main" id="{00000000-0008-0000-3D00-00000D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686734" name="Button 14" hidden="1">
              <a:extLst>
                <a:ext uri="{63B3BB69-23CF-44E3-9099-C40C66FF867C}">
                  <a14:compatExt spid="_x0000_s22686734"/>
                </a:ext>
                <a:ext uri="{FF2B5EF4-FFF2-40B4-BE49-F238E27FC236}">
                  <a16:creationId xmlns:a16="http://schemas.microsoft.com/office/drawing/2014/main" id="{00000000-0008-0000-3D00-00000E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686735" name="Check Box 15" hidden="1">
              <a:extLst>
                <a:ext uri="{63B3BB69-23CF-44E3-9099-C40C66FF867C}">
                  <a14:compatExt spid="_x0000_s22686735"/>
                </a:ext>
                <a:ext uri="{FF2B5EF4-FFF2-40B4-BE49-F238E27FC236}">
                  <a16:creationId xmlns:a16="http://schemas.microsoft.com/office/drawing/2014/main" id="{00000000-0008-0000-3D00-00000F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686736" name="Check Box 16" hidden="1">
              <a:extLst>
                <a:ext uri="{63B3BB69-23CF-44E3-9099-C40C66FF867C}">
                  <a14:compatExt spid="_x0000_s22686736"/>
                </a:ext>
                <a:ext uri="{FF2B5EF4-FFF2-40B4-BE49-F238E27FC236}">
                  <a16:creationId xmlns:a16="http://schemas.microsoft.com/office/drawing/2014/main" id="{00000000-0008-0000-3D00-000010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686737" name="Check Box 17" hidden="1">
              <a:extLst>
                <a:ext uri="{63B3BB69-23CF-44E3-9099-C40C66FF867C}">
                  <a14:compatExt spid="_x0000_s22686737"/>
                </a:ext>
                <a:ext uri="{FF2B5EF4-FFF2-40B4-BE49-F238E27FC236}">
                  <a16:creationId xmlns:a16="http://schemas.microsoft.com/office/drawing/2014/main" id="{00000000-0008-0000-3D00-000011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686738" name="Check Box 18" hidden="1">
              <a:extLst>
                <a:ext uri="{63B3BB69-23CF-44E3-9099-C40C66FF867C}">
                  <a14:compatExt spid="_x0000_s22686738"/>
                </a:ext>
                <a:ext uri="{FF2B5EF4-FFF2-40B4-BE49-F238E27FC236}">
                  <a16:creationId xmlns:a16="http://schemas.microsoft.com/office/drawing/2014/main" id="{00000000-0008-0000-3D00-000012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686739" name="Check Box 19" hidden="1">
              <a:extLst>
                <a:ext uri="{63B3BB69-23CF-44E3-9099-C40C66FF867C}">
                  <a14:compatExt spid="_x0000_s22686739"/>
                </a:ext>
                <a:ext uri="{FF2B5EF4-FFF2-40B4-BE49-F238E27FC236}">
                  <a16:creationId xmlns:a16="http://schemas.microsoft.com/office/drawing/2014/main" id="{00000000-0008-0000-3D00-000013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686740" name="Check Box 20" hidden="1">
              <a:extLst>
                <a:ext uri="{63B3BB69-23CF-44E3-9099-C40C66FF867C}">
                  <a14:compatExt spid="_x0000_s22686740"/>
                </a:ext>
                <a:ext uri="{FF2B5EF4-FFF2-40B4-BE49-F238E27FC236}">
                  <a16:creationId xmlns:a16="http://schemas.microsoft.com/office/drawing/2014/main" id="{00000000-0008-0000-3D00-000014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686741" name="Check Box 21" hidden="1">
              <a:extLst>
                <a:ext uri="{63B3BB69-23CF-44E3-9099-C40C66FF867C}">
                  <a14:compatExt spid="_x0000_s22686741"/>
                </a:ext>
                <a:ext uri="{FF2B5EF4-FFF2-40B4-BE49-F238E27FC236}">
                  <a16:creationId xmlns:a16="http://schemas.microsoft.com/office/drawing/2014/main" id="{00000000-0008-0000-3D00-000015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686742" name="Check Box 22" hidden="1">
              <a:extLst>
                <a:ext uri="{63B3BB69-23CF-44E3-9099-C40C66FF867C}">
                  <a14:compatExt spid="_x0000_s22686742"/>
                </a:ext>
                <a:ext uri="{FF2B5EF4-FFF2-40B4-BE49-F238E27FC236}">
                  <a16:creationId xmlns:a16="http://schemas.microsoft.com/office/drawing/2014/main" id="{00000000-0008-0000-3D00-000016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686743" name="Check Box 23" hidden="1">
              <a:extLst>
                <a:ext uri="{63B3BB69-23CF-44E3-9099-C40C66FF867C}">
                  <a14:compatExt spid="_x0000_s22686743"/>
                </a:ext>
                <a:ext uri="{FF2B5EF4-FFF2-40B4-BE49-F238E27FC236}">
                  <a16:creationId xmlns:a16="http://schemas.microsoft.com/office/drawing/2014/main" id="{00000000-0008-0000-3D00-000017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686744" name="Check Box 24" hidden="1">
              <a:extLst>
                <a:ext uri="{63B3BB69-23CF-44E3-9099-C40C66FF867C}">
                  <a14:compatExt spid="_x0000_s22686744"/>
                </a:ext>
                <a:ext uri="{FF2B5EF4-FFF2-40B4-BE49-F238E27FC236}">
                  <a16:creationId xmlns:a16="http://schemas.microsoft.com/office/drawing/2014/main" id="{00000000-0008-0000-3D00-000018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686745" name="Check Box 25" hidden="1">
              <a:extLst>
                <a:ext uri="{63B3BB69-23CF-44E3-9099-C40C66FF867C}">
                  <a14:compatExt spid="_x0000_s22686745"/>
                </a:ext>
                <a:ext uri="{FF2B5EF4-FFF2-40B4-BE49-F238E27FC236}">
                  <a16:creationId xmlns:a16="http://schemas.microsoft.com/office/drawing/2014/main" id="{00000000-0008-0000-3D00-000019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686746" name="Check Box 26" hidden="1">
              <a:extLst>
                <a:ext uri="{63B3BB69-23CF-44E3-9099-C40C66FF867C}">
                  <a14:compatExt spid="_x0000_s22686746"/>
                </a:ext>
                <a:ext uri="{FF2B5EF4-FFF2-40B4-BE49-F238E27FC236}">
                  <a16:creationId xmlns:a16="http://schemas.microsoft.com/office/drawing/2014/main" id="{00000000-0008-0000-3D00-00001A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686747" name="Check Box 27" hidden="1">
              <a:extLst>
                <a:ext uri="{63B3BB69-23CF-44E3-9099-C40C66FF867C}">
                  <a14:compatExt spid="_x0000_s22686747"/>
                </a:ext>
                <a:ext uri="{FF2B5EF4-FFF2-40B4-BE49-F238E27FC236}">
                  <a16:creationId xmlns:a16="http://schemas.microsoft.com/office/drawing/2014/main" id="{00000000-0008-0000-3D00-00001B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686748" name="Button 28" hidden="1">
              <a:extLst>
                <a:ext uri="{63B3BB69-23CF-44E3-9099-C40C66FF867C}">
                  <a14:compatExt spid="_x0000_s22686748"/>
                </a:ext>
                <a:ext uri="{FF2B5EF4-FFF2-40B4-BE49-F238E27FC236}">
                  <a16:creationId xmlns:a16="http://schemas.microsoft.com/office/drawing/2014/main" id="{00000000-0008-0000-3D00-00001C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686749" name="Button 29" hidden="1">
              <a:extLst>
                <a:ext uri="{63B3BB69-23CF-44E3-9099-C40C66FF867C}">
                  <a14:compatExt spid="_x0000_s22686749"/>
                </a:ext>
                <a:ext uri="{FF2B5EF4-FFF2-40B4-BE49-F238E27FC236}">
                  <a16:creationId xmlns:a16="http://schemas.microsoft.com/office/drawing/2014/main" id="{00000000-0008-0000-3D00-00001D2C5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686750" name="Check Box 30" hidden="1">
              <a:extLst>
                <a:ext uri="{63B3BB69-23CF-44E3-9099-C40C66FF867C}">
                  <a14:compatExt spid="_x0000_s22686750"/>
                </a:ext>
                <a:ext uri="{FF2B5EF4-FFF2-40B4-BE49-F238E27FC236}">
                  <a16:creationId xmlns:a16="http://schemas.microsoft.com/office/drawing/2014/main" id="{00000000-0008-0000-3D00-00001E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686751" name="Check Box 31" hidden="1">
              <a:extLst>
                <a:ext uri="{63B3BB69-23CF-44E3-9099-C40C66FF867C}">
                  <a14:compatExt spid="_x0000_s22686751"/>
                </a:ext>
                <a:ext uri="{FF2B5EF4-FFF2-40B4-BE49-F238E27FC236}">
                  <a16:creationId xmlns:a16="http://schemas.microsoft.com/office/drawing/2014/main" id="{00000000-0008-0000-3D00-00001F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686752" name="Check Box 32" hidden="1">
              <a:extLst>
                <a:ext uri="{63B3BB69-23CF-44E3-9099-C40C66FF867C}">
                  <a14:compatExt spid="_x0000_s22686752"/>
                </a:ext>
                <a:ext uri="{FF2B5EF4-FFF2-40B4-BE49-F238E27FC236}">
                  <a16:creationId xmlns:a16="http://schemas.microsoft.com/office/drawing/2014/main" id="{00000000-0008-0000-3D00-000020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686753" name="Check Box 33" hidden="1">
              <a:extLst>
                <a:ext uri="{63B3BB69-23CF-44E3-9099-C40C66FF867C}">
                  <a14:compatExt spid="_x0000_s22686753"/>
                </a:ext>
                <a:ext uri="{FF2B5EF4-FFF2-40B4-BE49-F238E27FC236}">
                  <a16:creationId xmlns:a16="http://schemas.microsoft.com/office/drawing/2014/main" id="{00000000-0008-0000-3D00-000021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686754" name="Check Box 34" hidden="1">
              <a:extLst>
                <a:ext uri="{63B3BB69-23CF-44E3-9099-C40C66FF867C}">
                  <a14:compatExt spid="_x0000_s22686754"/>
                </a:ext>
                <a:ext uri="{FF2B5EF4-FFF2-40B4-BE49-F238E27FC236}">
                  <a16:creationId xmlns:a16="http://schemas.microsoft.com/office/drawing/2014/main" id="{00000000-0008-0000-3D00-000022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686755" name="Check Box 35" hidden="1">
              <a:extLst>
                <a:ext uri="{63B3BB69-23CF-44E3-9099-C40C66FF867C}">
                  <a14:compatExt spid="_x0000_s22686755"/>
                </a:ext>
                <a:ext uri="{FF2B5EF4-FFF2-40B4-BE49-F238E27FC236}">
                  <a16:creationId xmlns:a16="http://schemas.microsoft.com/office/drawing/2014/main" id="{00000000-0008-0000-3D00-000023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686756" name="Check Box 36" hidden="1">
              <a:extLst>
                <a:ext uri="{63B3BB69-23CF-44E3-9099-C40C66FF867C}">
                  <a14:compatExt spid="_x0000_s22686756"/>
                </a:ext>
                <a:ext uri="{FF2B5EF4-FFF2-40B4-BE49-F238E27FC236}">
                  <a16:creationId xmlns:a16="http://schemas.microsoft.com/office/drawing/2014/main" id="{00000000-0008-0000-3D00-000024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686757" name="Check Box 37" hidden="1">
              <a:extLst>
                <a:ext uri="{63B3BB69-23CF-44E3-9099-C40C66FF867C}">
                  <a14:compatExt spid="_x0000_s22686757"/>
                </a:ext>
                <a:ext uri="{FF2B5EF4-FFF2-40B4-BE49-F238E27FC236}">
                  <a16:creationId xmlns:a16="http://schemas.microsoft.com/office/drawing/2014/main" id="{00000000-0008-0000-3D00-0000252C5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BA25696-8B39-4B94-A5B5-F5E852E96BD6}"/>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Two structures! </a:t>
          </a: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A87BF428-C27E-467D-99FB-ECA65E0B8EAA}"/>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539265" name="Check Box 1" hidden="1">
              <a:extLst>
                <a:ext uri="{63B3BB69-23CF-44E3-9099-C40C66FF867C}">
                  <a14:compatExt spid="_x0000_s22539265"/>
                </a:ext>
                <a:ext uri="{FF2B5EF4-FFF2-40B4-BE49-F238E27FC236}">
                  <a16:creationId xmlns:a16="http://schemas.microsoft.com/office/drawing/2014/main" id="{00000000-0008-0000-3E00-000001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539266" name="Check Box 2" hidden="1">
              <a:extLst>
                <a:ext uri="{63B3BB69-23CF-44E3-9099-C40C66FF867C}">
                  <a14:compatExt spid="_x0000_s22539266"/>
                </a:ext>
                <a:ext uri="{FF2B5EF4-FFF2-40B4-BE49-F238E27FC236}">
                  <a16:creationId xmlns:a16="http://schemas.microsoft.com/office/drawing/2014/main" id="{00000000-0008-0000-3E00-000002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539267" name="Check Box 3" hidden="1">
              <a:extLst>
                <a:ext uri="{63B3BB69-23CF-44E3-9099-C40C66FF867C}">
                  <a14:compatExt spid="_x0000_s22539267"/>
                </a:ext>
                <a:ext uri="{FF2B5EF4-FFF2-40B4-BE49-F238E27FC236}">
                  <a16:creationId xmlns:a16="http://schemas.microsoft.com/office/drawing/2014/main" id="{00000000-0008-0000-3E00-000003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539268" name="Check Box 4" hidden="1">
              <a:extLst>
                <a:ext uri="{63B3BB69-23CF-44E3-9099-C40C66FF867C}">
                  <a14:compatExt spid="_x0000_s22539268"/>
                </a:ext>
                <a:ext uri="{FF2B5EF4-FFF2-40B4-BE49-F238E27FC236}">
                  <a16:creationId xmlns:a16="http://schemas.microsoft.com/office/drawing/2014/main" id="{00000000-0008-0000-3E00-000004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539269" name="Check Box 5" hidden="1">
              <a:extLst>
                <a:ext uri="{63B3BB69-23CF-44E3-9099-C40C66FF867C}">
                  <a14:compatExt spid="_x0000_s22539269"/>
                </a:ext>
                <a:ext uri="{FF2B5EF4-FFF2-40B4-BE49-F238E27FC236}">
                  <a16:creationId xmlns:a16="http://schemas.microsoft.com/office/drawing/2014/main" id="{00000000-0008-0000-3E00-000005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539270" name="Check Box 6" hidden="1">
              <a:extLst>
                <a:ext uri="{63B3BB69-23CF-44E3-9099-C40C66FF867C}">
                  <a14:compatExt spid="_x0000_s22539270"/>
                </a:ext>
                <a:ext uri="{FF2B5EF4-FFF2-40B4-BE49-F238E27FC236}">
                  <a16:creationId xmlns:a16="http://schemas.microsoft.com/office/drawing/2014/main" id="{00000000-0008-0000-3E00-000006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539271" name="Check Box 7" hidden="1">
              <a:extLst>
                <a:ext uri="{63B3BB69-23CF-44E3-9099-C40C66FF867C}">
                  <a14:compatExt spid="_x0000_s22539271"/>
                </a:ext>
                <a:ext uri="{FF2B5EF4-FFF2-40B4-BE49-F238E27FC236}">
                  <a16:creationId xmlns:a16="http://schemas.microsoft.com/office/drawing/2014/main" id="{00000000-0008-0000-3E00-000007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539272" name="Button 8" hidden="1">
              <a:extLst>
                <a:ext uri="{63B3BB69-23CF-44E3-9099-C40C66FF867C}">
                  <a14:compatExt spid="_x0000_s22539272"/>
                </a:ext>
                <a:ext uri="{FF2B5EF4-FFF2-40B4-BE49-F238E27FC236}">
                  <a16:creationId xmlns:a16="http://schemas.microsoft.com/office/drawing/2014/main" id="{00000000-0008-0000-3E00-000008EC5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539273" name="Button 9" hidden="1">
              <a:extLst>
                <a:ext uri="{63B3BB69-23CF-44E3-9099-C40C66FF867C}">
                  <a14:compatExt spid="_x0000_s22539273"/>
                </a:ext>
                <a:ext uri="{FF2B5EF4-FFF2-40B4-BE49-F238E27FC236}">
                  <a16:creationId xmlns:a16="http://schemas.microsoft.com/office/drawing/2014/main" id="{00000000-0008-0000-3E00-000009EC5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539274" name="Check Box 10" hidden="1">
              <a:extLst>
                <a:ext uri="{63B3BB69-23CF-44E3-9099-C40C66FF867C}">
                  <a14:compatExt spid="_x0000_s22539274"/>
                </a:ext>
                <a:ext uri="{FF2B5EF4-FFF2-40B4-BE49-F238E27FC236}">
                  <a16:creationId xmlns:a16="http://schemas.microsoft.com/office/drawing/2014/main" id="{00000000-0008-0000-3E00-00000A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539275" name="Button 11" hidden="1">
              <a:extLst>
                <a:ext uri="{63B3BB69-23CF-44E3-9099-C40C66FF867C}">
                  <a14:compatExt spid="_x0000_s22539275"/>
                </a:ext>
                <a:ext uri="{FF2B5EF4-FFF2-40B4-BE49-F238E27FC236}">
                  <a16:creationId xmlns:a16="http://schemas.microsoft.com/office/drawing/2014/main" id="{00000000-0008-0000-3E00-00000B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539276" name="Button 12" hidden="1">
              <a:extLst>
                <a:ext uri="{63B3BB69-23CF-44E3-9099-C40C66FF867C}">
                  <a14:compatExt spid="_x0000_s22539276"/>
                </a:ext>
                <a:ext uri="{FF2B5EF4-FFF2-40B4-BE49-F238E27FC236}">
                  <a16:creationId xmlns:a16="http://schemas.microsoft.com/office/drawing/2014/main" id="{00000000-0008-0000-3E00-00000C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539277" name="Button 13" hidden="1">
              <a:extLst>
                <a:ext uri="{63B3BB69-23CF-44E3-9099-C40C66FF867C}">
                  <a14:compatExt spid="_x0000_s22539277"/>
                </a:ext>
                <a:ext uri="{FF2B5EF4-FFF2-40B4-BE49-F238E27FC236}">
                  <a16:creationId xmlns:a16="http://schemas.microsoft.com/office/drawing/2014/main" id="{00000000-0008-0000-3E00-00000D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539278" name="Button 14" hidden="1">
              <a:extLst>
                <a:ext uri="{63B3BB69-23CF-44E3-9099-C40C66FF867C}">
                  <a14:compatExt spid="_x0000_s22539278"/>
                </a:ext>
                <a:ext uri="{FF2B5EF4-FFF2-40B4-BE49-F238E27FC236}">
                  <a16:creationId xmlns:a16="http://schemas.microsoft.com/office/drawing/2014/main" id="{00000000-0008-0000-3E00-00000E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539279" name="Check Box 15" hidden="1">
              <a:extLst>
                <a:ext uri="{63B3BB69-23CF-44E3-9099-C40C66FF867C}">
                  <a14:compatExt spid="_x0000_s22539279"/>
                </a:ext>
                <a:ext uri="{FF2B5EF4-FFF2-40B4-BE49-F238E27FC236}">
                  <a16:creationId xmlns:a16="http://schemas.microsoft.com/office/drawing/2014/main" id="{00000000-0008-0000-3E00-00000F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539280" name="Check Box 16" hidden="1">
              <a:extLst>
                <a:ext uri="{63B3BB69-23CF-44E3-9099-C40C66FF867C}">
                  <a14:compatExt spid="_x0000_s22539280"/>
                </a:ext>
                <a:ext uri="{FF2B5EF4-FFF2-40B4-BE49-F238E27FC236}">
                  <a16:creationId xmlns:a16="http://schemas.microsoft.com/office/drawing/2014/main" id="{00000000-0008-0000-3E00-000010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539281" name="Check Box 17" hidden="1">
              <a:extLst>
                <a:ext uri="{63B3BB69-23CF-44E3-9099-C40C66FF867C}">
                  <a14:compatExt spid="_x0000_s22539281"/>
                </a:ext>
                <a:ext uri="{FF2B5EF4-FFF2-40B4-BE49-F238E27FC236}">
                  <a16:creationId xmlns:a16="http://schemas.microsoft.com/office/drawing/2014/main" id="{00000000-0008-0000-3E00-000011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539282" name="Check Box 18" hidden="1">
              <a:extLst>
                <a:ext uri="{63B3BB69-23CF-44E3-9099-C40C66FF867C}">
                  <a14:compatExt spid="_x0000_s22539282"/>
                </a:ext>
                <a:ext uri="{FF2B5EF4-FFF2-40B4-BE49-F238E27FC236}">
                  <a16:creationId xmlns:a16="http://schemas.microsoft.com/office/drawing/2014/main" id="{00000000-0008-0000-3E00-000012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539283" name="Check Box 19" hidden="1">
              <a:extLst>
                <a:ext uri="{63B3BB69-23CF-44E3-9099-C40C66FF867C}">
                  <a14:compatExt spid="_x0000_s22539283"/>
                </a:ext>
                <a:ext uri="{FF2B5EF4-FFF2-40B4-BE49-F238E27FC236}">
                  <a16:creationId xmlns:a16="http://schemas.microsoft.com/office/drawing/2014/main" id="{00000000-0008-0000-3E00-000013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539284" name="Check Box 20" hidden="1">
              <a:extLst>
                <a:ext uri="{63B3BB69-23CF-44E3-9099-C40C66FF867C}">
                  <a14:compatExt spid="_x0000_s22539284"/>
                </a:ext>
                <a:ext uri="{FF2B5EF4-FFF2-40B4-BE49-F238E27FC236}">
                  <a16:creationId xmlns:a16="http://schemas.microsoft.com/office/drawing/2014/main" id="{00000000-0008-0000-3E00-000014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539285" name="Check Box 21" hidden="1">
              <a:extLst>
                <a:ext uri="{63B3BB69-23CF-44E3-9099-C40C66FF867C}">
                  <a14:compatExt spid="_x0000_s22539285"/>
                </a:ext>
                <a:ext uri="{FF2B5EF4-FFF2-40B4-BE49-F238E27FC236}">
                  <a16:creationId xmlns:a16="http://schemas.microsoft.com/office/drawing/2014/main" id="{00000000-0008-0000-3E00-000015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539286" name="Check Box 22" hidden="1">
              <a:extLst>
                <a:ext uri="{63B3BB69-23CF-44E3-9099-C40C66FF867C}">
                  <a14:compatExt spid="_x0000_s22539286"/>
                </a:ext>
                <a:ext uri="{FF2B5EF4-FFF2-40B4-BE49-F238E27FC236}">
                  <a16:creationId xmlns:a16="http://schemas.microsoft.com/office/drawing/2014/main" id="{00000000-0008-0000-3E00-000016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539287" name="Check Box 23" hidden="1">
              <a:extLst>
                <a:ext uri="{63B3BB69-23CF-44E3-9099-C40C66FF867C}">
                  <a14:compatExt spid="_x0000_s22539287"/>
                </a:ext>
                <a:ext uri="{FF2B5EF4-FFF2-40B4-BE49-F238E27FC236}">
                  <a16:creationId xmlns:a16="http://schemas.microsoft.com/office/drawing/2014/main" id="{00000000-0008-0000-3E00-000017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539288" name="Check Box 24" hidden="1">
              <a:extLst>
                <a:ext uri="{63B3BB69-23CF-44E3-9099-C40C66FF867C}">
                  <a14:compatExt spid="_x0000_s22539288"/>
                </a:ext>
                <a:ext uri="{FF2B5EF4-FFF2-40B4-BE49-F238E27FC236}">
                  <a16:creationId xmlns:a16="http://schemas.microsoft.com/office/drawing/2014/main" id="{00000000-0008-0000-3E00-000018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539289" name="Check Box 25" hidden="1">
              <a:extLst>
                <a:ext uri="{63B3BB69-23CF-44E3-9099-C40C66FF867C}">
                  <a14:compatExt spid="_x0000_s22539289"/>
                </a:ext>
                <a:ext uri="{FF2B5EF4-FFF2-40B4-BE49-F238E27FC236}">
                  <a16:creationId xmlns:a16="http://schemas.microsoft.com/office/drawing/2014/main" id="{00000000-0008-0000-3E00-000019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539290" name="Check Box 26" hidden="1">
              <a:extLst>
                <a:ext uri="{63B3BB69-23CF-44E3-9099-C40C66FF867C}">
                  <a14:compatExt spid="_x0000_s22539290"/>
                </a:ext>
                <a:ext uri="{FF2B5EF4-FFF2-40B4-BE49-F238E27FC236}">
                  <a16:creationId xmlns:a16="http://schemas.microsoft.com/office/drawing/2014/main" id="{00000000-0008-0000-3E00-00001A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539291" name="Check Box 27" hidden="1">
              <a:extLst>
                <a:ext uri="{63B3BB69-23CF-44E3-9099-C40C66FF867C}">
                  <a14:compatExt spid="_x0000_s22539291"/>
                </a:ext>
                <a:ext uri="{FF2B5EF4-FFF2-40B4-BE49-F238E27FC236}">
                  <a16:creationId xmlns:a16="http://schemas.microsoft.com/office/drawing/2014/main" id="{00000000-0008-0000-3E00-00001B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539292" name="Button 28" hidden="1">
              <a:extLst>
                <a:ext uri="{63B3BB69-23CF-44E3-9099-C40C66FF867C}">
                  <a14:compatExt spid="_x0000_s22539292"/>
                </a:ext>
                <a:ext uri="{FF2B5EF4-FFF2-40B4-BE49-F238E27FC236}">
                  <a16:creationId xmlns:a16="http://schemas.microsoft.com/office/drawing/2014/main" id="{00000000-0008-0000-3E00-00001C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539293" name="Button 29" hidden="1">
              <a:extLst>
                <a:ext uri="{63B3BB69-23CF-44E3-9099-C40C66FF867C}">
                  <a14:compatExt spid="_x0000_s22539293"/>
                </a:ext>
                <a:ext uri="{FF2B5EF4-FFF2-40B4-BE49-F238E27FC236}">
                  <a16:creationId xmlns:a16="http://schemas.microsoft.com/office/drawing/2014/main" id="{00000000-0008-0000-3E00-00001DEC5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539294" name="Check Box 30" hidden="1">
              <a:extLst>
                <a:ext uri="{63B3BB69-23CF-44E3-9099-C40C66FF867C}">
                  <a14:compatExt spid="_x0000_s22539294"/>
                </a:ext>
                <a:ext uri="{FF2B5EF4-FFF2-40B4-BE49-F238E27FC236}">
                  <a16:creationId xmlns:a16="http://schemas.microsoft.com/office/drawing/2014/main" id="{00000000-0008-0000-3E00-00001E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539295" name="Check Box 31" hidden="1">
              <a:extLst>
                <a:ext uri="{63B3BB69-23CF-44E3-9099-C40C66FF867C}">
                  <a14:compatExt spid="_x0000_s22539295"/>
                </a:ext>
                <a:ext uri="{FF2B5EF4-FFF2-40B4-BE49-F238E27FC236}">
                  <a16:creationId xmlns:a16="http://schemas.microsoft.com/office/drawing/2014/main" id="{00000000-0008-0000-3E00-00001F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539296" name="Check Box 32" hidden="1">
              <a:extLst>
                <a:ext uri="{63B3BB69-23CF-44E3-9099-C40C66FF867C}">
                  <a14:compatExt spid="_x0000_s22539296"/>
                </a:ext>
                <a:ext uri="{FF2B5EF4-FFF2-40B4-BE49-F238E27FC236}">
                  <a16:creationId xmlns:a16="http://schemas.microsoft.com/office/drawing/2014/main" id="{00000000-0008-0000-3E00-000020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539297" name="Check Box 33" hidden="1">
              <a:extLst>
                <a:ext uri="{63B3BB69-23CF-44E3-9099-C40C66FF867C}">
                  <a14:compatExt spid="_x0000_s22539297"/>
                </a:ext>
                <a:ext uri="{FF2B5EF4-FFF2-40B4-BE49-F238E27FC236}">
                  <a16:creationId xmlns:a16="http://schemas.microsoft.com/office/drawing/2014/main" id="{00000000-0008-0000-3E00-000021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539298" name="Check Box 34" hidden="1">
              <a:extLst>
                <a:ext uri="{63B3BB69-23CF-44E3-9099-C40C66FF867C}">
                  <a14:compatExt spid="_x0000_s22539298"/>
                </a:ext>
                <a:ext uri="{FF2B5EF4-FFF2-40B4-BE49-F238E27FC236}">
                  <a16:creationId xmlns:a16="http://schemas.microsoft.com/office/drawing/2014/main" id="{00000000-0008-0000-3E00-000022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539299" name="Check Box 35" hidden="1">
              <a:extLst>
                <a:ext uri="{63B3BB69-23CF-44E3-9099-C40C66FF867C}">
                  <a14:compatExt spid="_x0000_s22539299"/>
                </a:ext>
                <a:ext uri="{FF2B5EF4-FFF2-40B4-BE49-F238E27FC236}">
                  <a16:creationId xmlns:a16="http://schemas.microsoft.com/office/drawing/2014/main" id="{00000000-0008-0000-3E00-000023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539300" name="Check Box 36" hidden="1">
              <a:extLst>
                <a:ext uri="{63B3BB69-23CF-44E3-9099-C40C66FF867C}">
                  <a14:compatExt spid="_x0000_s22539300"/>
                </a:ext>
                <a:ext uri="{FF2B5EF4-FFF2-40B4-BE49-F238E27FC236}">
                  <a16:creationId xmlns:a16="http://schemas.microsoft.com/office/drawing/2014/main" id="{00000000-0008-0000-3E00-000024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539301" name="Check Box 37" hidden="1">
              <a:extLst>
                <a:ext uri="{63B3BB69-23CF-44E3-9099-C40C66FF867C}">
                  <a14:compatExt spid="_x0000_s22539301"/>
                </a:ext>
                <a:ext uri="{FF2B5EF4-FFF2-40B4-BE49-F238E27FC236}">
                  <a16:creationId xmlns:a16="http://schemas.microsoft.com/office/drawing/2014/main" id="{00000000-0008-0000-3E00-000025EC5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1F6425C-6EF0-4664-86E5-673FE98F81F7}"/>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900" b="0" i="0" u="none" strike="noStrike" baseline="0">
              <a:solidFill>
                <a:schemeClr val="accent6"/>
              </a:solidFill>
              <a:latin typeface="+mn-lt"/>
              <a:ea typeface="+mn-ea"/>
              <a:cs typeface="+mn-cs"/>
            </a:rPr>
            <a:t>1. Confirm if the separate structures will be constructed together, or separate - Required to determine</a:t>
          </a:r>
        </a:p>
        <a:p>
          <a:r>
            <a:rPr lang="en-AU" sz="900" b="0" i="0" u="none" strike="noStrike" baseline="0">
              <a:solidFill>
                <a:schemeClr val="accent6"/>
              </a:solidFill>
              <a:latin typeface="+mn-lt"/>
              <a:ea typeface="+mn-ea"/>
              <a:cs typeface="+mn-cs"/>
            </a:rPr>
            <a:t>the correct number of inspections needed.</a:t>
          </a:r>
        </a:p>
        <a:p>
          <a:r>
            <a:rPr lang="en-AU" sz="900" b="0" i="0" u="none" strike="noStrike" baseline="0">
              <a:solidFill>
                <a:schemeClr val="accent2"/>
              </a:solidFill>
              <a:latin typeface="+mn-lt"/>
              <a:ea typeface="+mn-ea"/>
              <a:cs typeface="+mn-cs"/>
            </a:rPr>
            <a:t>2. Statement of Use response letter to be completed by owner and returned. Please provide more</a:t>
          </a:r>
        </a:p>
        <a:p>
          <a:r>
            <a:rPr lang="en-AU" sz="900" b="0" i="0" u="none" strike="noStrike" baseline="0">
              <a:solidFill>
                <a:schemeClr val="accent2"/>
              </a:solidFill>
              <a:latin typeface="+mn-lt"/>
              <a:ea typeface="+mn-ea"/>
              <a:cs typeface="+mn-cs"/>
            </a:rPr>
            <a:t>information on “workshop - as noted on statement of use”.</a:t>
          </a:r>
        </a:p>
        <a:p>
          <a:r>
            <a:rPr lang="en-AU" sz="900" b="0" i="0" u="none" strike="noStrike" baseline="0">
              <a:solidFill>
                <a:schemeClr val="accent2"/>
              </a:solidFill>
              <a:latin typeface="+mn-lt"/>
              <a:ea typeface="+mn-ea"/>
              <a:cs typeface="+mn-cs"/>
            </a:rPr>
            <a:t>3. Provide owner builder certificate as issued by the VBA.</a:t>
          </a:r>
        </a:p>
        <a:p>
          <a:r>
            <a:rPr lang="en-AU" sz="900" b="0" i="0" u="none" strike="noStrike" baseline="0">
              <a:solidFill>
                <a:schemeClr val="accent6"/>
              </a:solidFill>
              <a:latin typeface="+mn-lt"/>
              <a:ea typeface="+mn-ea"/>
              <a:cs typeface="+mn-cs"/>
            </a:rPr>
            <a:t>4. Provide elevations for proposed works.</a:t>
          </a:r>
        </a:p>
        <a:p>
          <a:r>
            <a:rPr lang="en-AU" sz="900" b="0" i="0" u="none" strike="noStrike" baseline="0">
              <a:solidFill>
                <a:schemeClr val="accent2"/>
              </a:solidFill>
              <a:latin typeface="+mn-lt"/>
              <a:ea typeface="+mn-ea"/>
              <a:cs typeface="+mn-cs"/>
            </a:rPr>
            <a:t>5. Provide engineering documents.</a:t>
          </a:r>
        </a:p>
        <a:p>
          <a:r>
            <a:rPr lang="en-AU" sz="900" b="0" i="0" u="none" strike="noStrike" baseline="0">
              <a:solidFill>
                <a:schemeClr val="accent2"/>
              </a:solidFill>
              <a:latin typeface="+mn-lt"/>
              <a:ea typeface="+mn-ea"/>
              <a:cs typeface="+mn-cs"/>
            </a:rPr>
            <a:t>6. Provide engineers certificate of compliance Reg. 126 with Michael Harvey noted as the RBS.</a:t>
          </a:r>
          <a:endParaRPr lang="en-AU" sz="900">
            <a:solidFill>
              <a:schemeClr val="accent2"/>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33AAB92-80FB-4CDF-B8C0-40F36743BD5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391809" name="Check Box 1" hidden="1">
              <a:extLst>
                <a:ext uri="{63B3BB69-23CF-44E3-9099-C40C66FF867C}">
                  <a14:compatExt spid="_x0000_s22391809"/>
                </a:ext>
                <a:ext uri="{FF2B5EF4-FFF2-40B4-BE49-F238E27FC236}">
                  <a16:creationId xmlns:a16="http://schemas.microsoft.com/office/drawing/2014/main" id="{00000000-0008-0000-3F00-000001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391810" name="Check Box 2" hidden="1">
              <a:extLst>
                <a:ext uri="{63B3BB69-23CF-44E3-9099-C40C66FF867C}">
                  <a14:compatExt spid="_x0000_s22391810"/>
                </a:ext>
                <a:ext uri="{FF2B5EF4-FFF2-40B4-BE49-F238E27FC236}">
                  <a16:creationId xmlns:a16="http://schemas.microsoft.com/office/drawing/2014/main" id="{00000000-0008-0000-3F00-000002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391811" name="Check Box 3" hidden="1">
              <a:extLst>
                <a:ext uri="{63B3BB69-23CF-44E3-9099-C40C66FF867C}">
                  <a14:compatExt spid="_x0000_s22391811"/>
                </a:ext>
                <a:ext uri="{FF2B5EF4-FFF2-40B4-BE49-F238E27FC236}">
                  <a16:creationId xmlns:a16="http://schemas.microsoft.com/office/drawing/2014/main" id="{00000000-0008-0000-3F00-000003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391812" name="Check Box 4" hidden="1">
              <a:extLst>
                <a:ext uri="{63B3BB69-23CF-44E3-9099-C40C66FF867C}">
                  <a14:compatExt spid="_x0000_s22391812"/>
                </a:ext>
                <a:ext uri="{FF2B5EF4-FFF2-40B4-BE49-F238E27FC236}">
                  <a16:creationId xmlns:a16="http://schemas.microsoft.com/office/drawing/2014/main" id="{00000000-0008-0000-3F00-000004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391813" name="Check Box 5" hidden="1">
              <a:extLst>
                <a:ext uri="{63B3BB69-23CF-44E3-9099-C40C66FF867C}">
                  <a14:compatExt spid="_x0000_s22391813"/>
                </a:ext>
                <a:ext uri="{FF2B5EF4-FFF2-40B4-BE49-F238E27FC236}">
                  <a16:creationId xmlns:a16="http://schemas.microsoft.com/office/drawing/2014/main" id="{00000000-0008-0000-3F00-000005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391814" name="Check Box 6" hidden="1">
              <a:extLst>
                <a:ext uri="{63B3BB69-23CF-44E3-9099-C40C66FF867C}">
                  <a14:compatExt spid="_x0000_s22391814"/>
                </a:ext>
                <a:ext uri="{FF2B5EF4-FFF2-40B4-BE49-F238E27FC236}">
                  <a16:creationId xmlns:a16="http://schemas.microsoft.com/office/drawing/2014/main" id="{00000000-0008-0000-3F00-000006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391815" name="Check Box 7" hidden="1">
              <a:extLst>
                <a:ext uri="{63B3BB69-23CF-44E3-9099-C40C66FF867C}">
                  <a14:compatExt spid="_x0000_s22391815"/>
                </a:ext>
                <a:ext uri="{FF2B5EF4-FFF2-40B4-BE49-F238E27FC236}">
                  <a16:creationId xmlns:a16="http://schemas.microsoft.com/office/drawing/2014/main" id="{00000000-0008-0000-3F00-000007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391816" name="Button 8" hidden="1">
              <a:extLst>
                <a:ext uri="{63B3BB69-23CF-44E3-9099-C40C66FF867C}">
                  <a14:compatExt spid="_x0000_s22391816"/>
                </a:ext>
                <a:ext uri="{FF2B5EF4-FFF2-40B4-BE49-F238E27FC236}">
                  <a16:creationId xmlns:a16="http://schemas.microsoft.com/office/drawing/2014/main" id="{00000000-0008-0000-3F00-000008AC5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391817" name="Button 9" hidden="1">
              <a:extLst>
                <a:ext uri="{63B3BB69-23CF-44E3-9099-C40C66FF867C}">
                  <a14:compatExt spid="_x0000_s22391817"/>
                </a:ext>
                <a:ext uri="{FF2B5EF4-FFF2-40B4-BE49-F238E27FC236}">
                  <a16:creationId xmlns:a16="http://schemas.microsoft.com/office/drawing/2014/main" id="{00000000-0008-0000-3F00-000009AC5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391818" name="Check Box 10" hidden="1">
              <a:extLst>
                <a:ext uri="{63B3BB69-23CF-44E3-9099-C40C66FF867C}">
                  <a14:compatExt spid="_x0000_s22391818"/>
                </a:ext>
                <a:ext uri="{FF2B5EF4-FFF2-40B4-BE49-F238E27FC236}">
                  <a16:creationId xmlns:a16="http://schemas.microsoft.com/office/drawing/2014/main" id="{00000000-0008-0000-3F00-00000A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391819" name="Button 11" hidden="1">
              <a:extLst>
                <a:ext uri="{63B3BB69-23CF-44E3-9099-C40C66FF867C}">
                  <a14:compatExt spid="_x0000_s22391819"/>
                </a:ext>
                <a:ext uri="{FF2B5EF4-FFF2-40B4-BE49-F238E27FC236}">
                  <a16:creationId xmlns:a16="http://schemas.microsoft.com/office/drawing/2014/main" id="{00000000-0008-0000-3F00-00000B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391820" name="Button 12" hidden="1">
              <a:extLst>
                <a:ext uri="{63B3BB69-23CF-44E3-9099-C40C66FF867C}">
                  <a14:compatExt spid="_x0000_s22391820"/>
                </a:ext>
                <a:ext uri="{FF2B5EF4-FFF2-40B4-BE49-F238E27FC236}">
                  <a16:creationId xmlns:a16="http://schemas.microsoft.com/office/drawing/2014/main" id="{00000000-0008-0000-3F00-00000C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391821" name="Button 13" hidden="1">
              <a:extLst>
                <a:ext uri="{63B3BB69-23CF-44E3-9099-C40C66FF867C}">
                  <a14:compatExt spid="_x0000_s22391821"/>
                </a:ext>
                <a:ext uri="{FF2B5EF4-FFF2-40B4-BE49-F238E27FC236}">
                  <a16:creationId xmlns:a16="http://schemas.microsoft.com/office/drawing/2014/main" id="{00000000-0008-0000-3F00-00000D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391822" name="Button 14" hidden="1">
              <a:extLst>
                <a:ext uri="{63B3BB69-23CF-44E3-9099-C40C66FF867C}">
                  <a14:compatExt spid="_x0000_s22391822"/>
                </a:ext>
                <a:ext uri="{FF2B5EF4-FFF2-40B4-BE49-F238E27FC236}">
                  <a16:creationId xmlns:a16="http://schemas.microsoft.com/office/drawing/2014/main" id="{00000000-0008-0000-3F00-00000E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391823" name="Check Box 15" hidden="1">
              <a:extLst>
                <a:ext uri="{63B3BB69-23CF-44E3-9099-C40C66FF867C}">
                  <a14:compatExt spid="_x0000_s22391823"/>
                </a:ext>
                <a:ext uri="{FF2B5EF4-FFF2-40B4-BE49-F238E27FC236}">
                  <a16:creationId xmlns:a16="http://schemas.microsoft.com/office/drawing/2014/main" id="{00000000-0008-0000-3F00-00000F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391824" name="Check Box 16" hidden="1">
              <a:extLst>
                <a:ext uri="{63B3BB69-23CF-44E3-9099-C40C66FF867C}">
                  <a14:compatExt spid="_x0000_s22391824"/>
                </a:ext>
                <a:ext uri="{FF2B5EF4-FFF2-40B4-BE49-F238E27FC236}">
                  <a16:creationId xmlns:a16="http://schemas.microsoft.com/office/drawing/2014/main" id="{00000000-0008-0000-3F00-000010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391825" name="Check Box 17" hidden="1">
              <a:extLst>
                <a:ext uri="{63B3BB69-23CF-44E3-9099-C40C66FF867C}">
                  <a14:compatExt spid="_x0000_s22391825"/>
                </a:ext>
                <a:ext uri="{FF2B5EF4-FFF2-40B4-BE49-F238E27FC236}">
                  <a16:creationId xmlns:a16="http://schemas.microsoft.com/office/drawing/2014/main" id="{00000000-0008-0000-3F00-000011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391826" name="Check Box 18" hidden="1">
              <a:extLst>
                <a:ext uri="{63B3BB69-23CF-44E3-9099-C40C66FF867C}">
                  <a14:compatExt spid="_x0000_s22391826"/>
                </a:ext>
                <a:ext uri="{FF2B5EF4-FFF2-40B4-BE49-F238E27FC236}">
                  <a16:creationId xmlns:a16="http://schemas.microsoft.com/office/drawing/2014/main" id="{00000000-0008-0000-3F00-000012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391827" name="Check Box 19" hidden="1">
              <a:extLst>
                <a:ext uri="{63B3BB69-23CF-44E3-9099-C40C66FF867C}">
                  <a14:compatExt spid="_x0000_s22391827"/>
                </a:ext>
                <a:ext uri="{FF2B5EF4-FFF2-40B4-BE49-F238E27FC236}">
                  <a16:creationId xmlns:a16="http://schemas.microsoft.com/office/drawing/2014/main" id="{00000000-0008-0000-3F00-000013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391828" name="Check Box 20" hidden="1">
              <a:extLst>
                <a:ext uri="{63B3BB69-23CF-44E3-9099-C40C66FF867C}">
                  <a14:compatExt spid="_x0000_s22391828"/>
                </a:ext>
                <a:ext uri="{FF2B5EF4-FFF2-40B4-BE49-F238E27FC236}">
                  <a16:creationId xmlns:a16="http://schemas.microsoft.com/office/drawing/2014/main" id="{00000000-0008-0000-3F00-000014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391829" name="Check Box 21" hidden="1">
              <a:extLst>
                <a:ext uri="{63B3BB69-23CF-44E3-9099-C40C66FF867C}">
                  <a14:compatExt spid="_x0000_s22391829"/>
                </a:ext>
                <a:ext uri="{FF2B5EF4-FFF2-40B4-BE49-F238E27FC236}">
                  <a16:creationId xmlns:a16="http://schemas.microsoft.com/office/drawing/2014/main" id="{00000000-0008-0000-3F00-000015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391830" name="Check Box 22" hidden="1">
              <a:extLst>
                <a:ext uri="{63B3BB69-23CF-44E3-9099-C40C66FF867C}">
                  <a14:compatExt spid="_x0000_s22391830"/>
                </a:ext>
                <a:ext uri="{FF2B5EF4-FFF2-40B4-BE49-F238E27FC236}">
                  <a16:creationId xmlns:a16="http://schemas.microsoft.com/office/drawing/2014/main" id="{00000000-0008-0000-3F00-000016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391831" name="Check Box 23" hidden="1">
              <a:extLst>
                <a:ext uri="{63B3BB69-23CF-44E3-9099-C40C66FF867C}">
                  <a14:compatExt spid="_x0000_s22391831"/>
                </a:ext>
                <a:ext uri="{FF2B5EF4-FFF2-40B4-BE49-F238E27FC236}">
                  <a16:creationId xmlns:a16="http://schemas.microsoft.com/office/drawing/2014/main" id="{00000000-0008-0000-3F00-000017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391832" name="Check Box 24" hidden="1">
              <a:extLst>
                <a:ext uri="{63B3BB69-23CF-44E3-9099-C40C66FF867C}">
                  <a14:compatExt spid="_x0000_s22391832"/>
                </a:ext>
                <a:ext uri="{FF2B5EF4-FFF2-40B4-BE49-F238E27FC236}">
                  <a16:creationId xmlns:a16="http://schemas.microsoft.com/office/drawing/2014/main" id="{00000000-0008-0000-3F00-000018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391833" name="Check Box 25" hidden="1">
              <a:extLst>
                <a:ext uri="{63B3BB69-23CF-44E3-9099-C40C66FF867C}">
                  <a14:compatExt spid="_x0000_s22391833"/>
                </a:ext>
                <a:ext uri="{FF2B5EF4-FFF2-40B4-BE49-F238E27FC236}">
                  <a16:creationId xmlns:a16="http://schemas.microsoft.com/office/drawing/2014/main" id="{00000000-0008-0000-3F00-000019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391834" name="Check Box 26" hidden="1">
              <a:extLst>
                <a:ext uri="{63B3BB69-23CF-44E3-9099-C40C66FF867C}">
                  <a14:compatExt spid="_x0000_s22391834"/>
                </a:ext>
                <a:ext uri="{FF2B5EF4-FFF2-40B4-BE49-F238E27FC236}">
                  <a16:creationId xmlns:a16="http://schemas.microsoft.com/office/drawing/2014/main" id="{00000000-0008-0000-3F00-00001A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391835" name="Check Box 27" hidden="1">
              <a:extLst>
                <a:ext uri="{63B3BB69-23CF-44E3-9099-C40C66FF867C}">
                  <a14:compatExt spid="_x0000_s22391835"/>
                </a:ext>
                <a:ext uri="{FF2B5EF4-FFF2-40B4-BE49-F238E27FC236}">
                  <a16:creationId xmlns:a16="http://schemas.microsoft.com/office/drawing/2014/main" id="{00000000-0008-0000-3F00-00001B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391836" name="Button 28" hidden="1">
              <a:extLst>
                <a:ext uri="{63B3BB69-23CF-44E3-9099-C40C66FF867C}">
                  <a14:compatExt spid="_x0000_s22391836"/>
                </a:ext>
                <a:ext uri="{FF2B5EF4-FFF2-40B4-BE49-F238E27FC236}">
                  <a16:creationId xmlns:a16="http://schemas.microsoft.com/office/drawing/2014/main" id="{00000000-0008-0000-3F00-00001C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391837" name="Button 29" hidden="1">
              <a:extLst>
                <a:ext uri="{63B3BB69-23CF-44E3-9099-C40C66FF867C}">
                  <a14:compatExt spid="_x0000_s22391837"/>
                </a:ext>
                <a:ext uri="{FF2B5EF4-FFF2-40B4-BE49-F238E27FC236}">
                  <a16:creationId xmlns:a16="http://schemas.microsoft.com/office/drawing/2014/main" id="{00000000-0008-0000-3F00-00001DAC5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391838" name="Check Box 30" hidden="1">
              <a:extLst>
                <a:ext uri="{63B3BB69-23CF-44E3-9099-C40C66FF867C}">
                  <a14:compatExt spid="_x0000_s22391838"/>
                </a:ext>
                <a:ext uri="{FF2B5EF4-FFF2-40B4-BE49-F238E27FC236}">
                  <a16:creationId xmlns:a16="http://schemas.microsoft.com/office/drawing/2014/main" id="{00000000-0008-0000-3F00-00001E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391839" name="Check Box 31" hidden="1">
              <a:extLst>
                <a:ext uri="{63B3BB69-23CF-44E3-9099-C40C66FF867C}">
                  <a14:compatExt spid="_x0000_s22391839"/>
                </a:ext>
                <a:ext uri="{FF2B5EF4-FFF2-40B4-BE49-F238E27FC236}">
                  <a16:creationId xmlns:a16="http://schemas.microsoft.com/office/drawing/2014/main" id="{00000000-0008-0000-3F00-00001F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391840" name="Check Box 32" hidden="1">
              <a:extLst>
                <a:ext uri="{63B3BB69-23CF-44E3-9099-C40C66FF867C}">
                  <a14:compatExt spid="_x0000_s22391840"/>
                </a:ext>
                <a:ext uri="{FF2B5EF4-FFF2-40B4-BE49-F238E27FC236}">
                  <a16:creationId xmlns:a16="http://schemas.microsoft.com/office/drawing/2014/main" id="{00000000-0008-0000-3F00-000020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391841" name="Check Box 33" hidden="1">
              <a:extLst>
                <a:ext uri="{63B3BB69-23CF-44E3-9099-C40C66FF867C}">
                  <a14:compatExt spid="_x0000_s22391841"/>
                </a:ext>
                <a:ext uri="{FF2B5EF4-FFF2-40B4-BE49-F238E27FC236}">
                  <a16:creationId xmlns:a16="http://schemas.microsoft.com/office/drawing/2014/main" id="{00000000-0008-0000-3F00-000021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391842" name="Check Box 34" hidden="1">
              <a:extLst>
                <a:ext uri="{63B3BB69-23CF-44E3-9099-C40C66FF867C}">
                  <a14:compatExt spid="_x0000_s22391842"/>
                </a:ext>
                <a:ext uri="{FF2B5EF4-FFF2-40B4-BE49-F238E27FC236}">
                  <a16:creationId xmlns:a16="http://schemas.microsoft.com/office/drawing/2014/main" id="{00000000-0008-0000-3F00-000022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391843" name="Check Box 35" hidden="1">
              <a:extLst>
                <a:ext uri="{63B3BB69-23CF-44E3-9099-C40C66FF867C}">
                  <a14:compatExt spid="_x0000_s22391843"/>
                </a:ext>
                <a:ext uri="{FF2B5EF4-FFF2-40B4-BE49-F238E27FC236}">
                  <a16:creationId xmlns:a16="http://schemas.microsoft.com/office/drawing/2014/main" id="{00000000-0008-0000-3F00-000023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391844" name="Check Box 36" hidden="1">
              <a:extLst>
                <a:ext uri="{63B3BB69-23CF-44E3-9099-C40C66FF867C}">
                  <a14:compatExt spid="_x0000_s22391844"/>
                </a:ext>
                <a:ext uri="{FF2B5EF4-FFF2-40B4-BE49-F238E27FC236}">
                  <a16:creationId xmlns:a16="http://schemas.microsoft.com/office/drawing/2014/main" id="{00000000-0008-0000-3F00-000024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391845" name="Check Box 37" hidden="1">
              <a:extLst>
                <a:ext uri="{63B3BB69-23CF-44E3-9099-C40C66FF867C}">
                  <a14:compatExt spid="_x0000_s22391845"/>
                </a:ext>
                <a:ext uri="{FF2B5EF4-FFF2-40B4-BE49-F238E27FC236}">
                  <a16:creationId xmlns:a16="http://schemas.microsoft.com/office/drawing/2014/main" id="{00000000-0008-0000-3F00-000025AC5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2D6EECE-342D-4249-BED3-6D75D8196B3A}"/>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E71BDDE9-DF1D-456C-8306-1E42CB5A005C}"/>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242305" name="Check Box 1" hidden="1">
              <a:extLst>
                <a:ext uri="{63B3BB69-23CF-44E3-9099-C40C66FF867C}">
                  <a14:compatExt spid="_x0000_s22242305"/>
                </a:ext>
                <a:ext uri="{FF2B5EF4-FFF2-40B4-BE49-F238E27FC236}">
                  <a16:creationId xmlns:a16="http://schemas.microsoft.com/office/drawing/2014/main" id="{00000000-0008-0000-4000-000001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242306" name="Check Box 2" hidden="1">
              <a:extLst>
                <a:ext uri="{63B3BB69-23CF-44E3-9099-C40C66FF867C}">
                  <a14:compatExt spid="_x0000_s22242306"/>
                </a:ext>
                <a:ext uri="{FF2B5EF4-FFF2-40B4-BE49-F238E27FC236}">
                  <a16:creationId xmlns:a16="http://schemas.microsoft.com/office/drawing/2014/main" id="{00000000-0008-0000-4000-000002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242307" name="Check Box 3" hidden="1">
              <a:extLst>
                <a:ext uri="{63B3BB69-23CF-44E3-9099-C40C66FF867C}">
                  <a14:compatExt spid="_x0000_s22242307"/>
                </a:ext>
                <a:ext uri="{FF2B5EF4-FFF2-40B4-BE49-F238E27FC236}">
                  <a16:creationId xmlns:a16="http://schemas.microsoft.com/office/drawing/2014/main" id="{00000000-0008-0000-4000-000003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242308" name="Check Box 4" hidden="1">
              <a:extLst>
                <a:ext uri="{63B3BB69-23CF-44E3-9099-C40C66FF867C}">
                  <a14:compatExt spid="_x0000_s22242308"/>
                </a:ext>
                <a:ext uri="{FF2B5EF4-FFF2-40B4-BE49-F238E27FC236}">
                  <a16:creationId xmlns:a16="http://schemas.microsoft.com/office/drawing/2014/main" id="{00000000-0008-0000-4000-000004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242309" name="Check Box 5" hidden="1">
              <a:extLst>
                <a:ext uri="{63B3BB69-23CF-44E3-9099-C40C66FF867C}">
                  <a14:compatExt spid="_x0000_s22242309"/>
                </a:ext>
                <a:ext uri="{FF2B5EF4-FFF2-40B4-BE49-F238E27FC236}">
                  <a16:creationId xmlns:a16="http://schemas.microsoft.com/office/drawing/2014/main" id="{00000000-0008-0000-4000-000005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242310" name="Check Box 6" hidden="1">
              <a:extLst>
                <a:ext uri="{63B3BB69-23CF-44E3-9099-C40C66FF867C}">
                  <a14:compatExt spid="_x0000_s22242310"/>
                </a:ext>
                <a:ext uri="{FF2B5EF4-FFF2-40B4-BE49-F238E27FC236}">
                  <a16:creationId xmlns:a16="http://schemas.microsoft.com/office/drawing/2014/main" id="{00000000-0008-0000-4000-000006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242311" name="Check Box 7" hidden="1">
              <a:extLst>
                <a:ext uri="{63B3BB69-23CF-44E3-9099-C40C66FF867C}">
                  <a14:compatExt spid="_x0000_s22242311"/>
                </a:ext>
                <a:ext uri="{FF2B5EF4-FFF2-40B4-BE49-F238E27FC236}">
                  <a16:creationId xmlns:a16="http://schemas.microsoft.com/office/drawing/2014/main" id="{00000000-0008-0000-4000-000007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242312" name="Button 8" hidden="1">
              <a:extLst>
                <a:ext uri="{63B3BB69-23CF-44E3-9099-C40C66FF867C}">
                  <a14:compatExt spid="_x0000_s22242312"/>
                </a:ext>
                <a:ext uri="{FF2B5EF4-FFF2-40B4-BE49-F238E27FC236}">
                  <a16:creationId xmlns:a16="http://schemas.microsoft.com/office/drawing/2014/main" id="{00000000-0008-0000-4000-00000864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242313" name="Button 9" hidden="1">
              <a:extLst>
                <a:ext uri="{63B3BB69-23CF-44E3-9099-C40C66FF867C}">
                  <a14:compatExt spid="_x0000_s22242313"/>
                </a:ext>
                <a:ext uri="{FF2B5EF4-FFF2-40B4-BE49-F238E27FC236}">
                  <a16:creationId xmlns:a16="http://schemas.microsoft.com/office/drawing/2014/main" id="{00000000-0008-0000-4000-00000964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242314" name="Check Box 10" hidden="1">
              <a:extLst>
                <a:ext uri="{63B3BB69-23CF-44E3-9099-C40C66FF867C}">
                  <a14:compatExt spid="_x0000_s22242314"/>
                </a:ext>
                <a:ext uri="{FF2B5EF4-FFF2-40B4-BE49-F238E27FC236}">
                  <a16:creationId xmlns:a16="http://schemas.microsoft.com/office/drawing/2014/main" id="{00000000-0008-0000-4000-00000A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242315" name="Button 11" hidden="1">
              <a:extLst>
                <a:ext uri="{63B3BB69-23CF-44E3-9099-C40C66FF867C}">
                  <a14:compatExt spid="_x0000_s22242315"/>
                </a:ext>
                <a:ext uri="{FF2B5EF4-FFF2-40B4-BE49-F238E27FC236}">
                  <a16:creationId xmlns:a16="http://schemas.microsoft.com/office/drawing/2014/main" id="{00000000-0008-0000-4000-00000B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242316" name="Button 12" hidden="1">
              <a:extLst>
                <a:ext uri="{63B3BB69-23CF-44E3-9099-C40C66FF867C}">
                  <a14:compatExt spid="_x0000_s22242316"/>
                </a:ext>
                <a:ext uri="{FF2B5EF4-FFF2-40B4-BE49-F238E27FC236}">
                  <a16:creationId xmlns:a16="http://schemas.microsoft.com/office/drawing/2014/main" id="{00000000-0008-0000-4000-00000C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242317" name="Button 13" hidden="1">
              <a:extLst>
                <a:ext uri="{63B3BB69-23CF-44E3-9099-C40C66FF867C}">
                  <a14:compatExt spid="_x0000_s22242317"/>
                </a:ext>
                <a:ext uri="{FF2B5EF4-FFF2-40B4-BE49-F238E27FC236}">
                  <a16:creationId xmlns:a16="http://schemas.microsoft.com/office/drawing/2014/main" id="{00000000-0008-0000-4000-00000D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242318" name="Button 14" hidden="1">
              <a:extLst>
                <a:ext uri="{63B3BB69-23CF-44E3-9099-C40C66FF867C}">
                  <a14:compatExt spid="_x0000_s22242318"/>
                </a:ext>
                <a:ext uri="{FF2B5EF4-FFF2-40B4-BE49-F238E27FC236}">
                  <a16:creationId xmlns:a16="http://schemas.microsoft.com/office/drawing/2014/main" id="{00000000-0008-0000-4000-00000E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242319" name="Check Box 15" hidden="1">
              <a:extLst>
                <a:ext uri="{63B3BB69-23CF-44E3-9099-C40C66FF867C}">
                  <a14:compatExt spid="_x0000_s22242319"/>
                </a:ext>
                <a:ext uri="{FF2B5EF4-FFF2-40B4-BE49-F238E27FC236}">
                  <a16:creationId xmlns:a16="http://schemas.microsoft.com/office/drawing/2014/main" id="{00000000-0008-0000-4000-00000F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242320" name="Check Box 16" hidden="1">
              <a:extLst>
                <a:ext uri="{63B3BB69-23CF-44E3-9099-C40C66FF867C}">
                  <a14:compatExt spid="_x0000_s22242320"/>
                </a:ext>
                <a:ext uri="{FF2B5EF4-FFF2-40B4-BE49-F238E27FC236}">
                  <a16:creationId xmlns:a16="http://schemas.microsoft.com/office/drawing/2014/main" id="{00000000-0008-0000-4000-000010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242321" name="Check Box 17" hidden="1">
              <a:extLst>
                <a:ext uri="{63B3BB69-23CF-44E3-9099-C40C66FF867C}">
                  <a14:compatExt spid="_x0000_s22242321"/>
                </a:ext>
                <a:ext uri="{FF2B5EF4-FFF2-40B4-BE49-F238E27FC236}">
                  <a16:creationId xmlns:a16="http://schemas.microsoft.com/office/drawing/2014/main" id="{00000000-0008-0000-4000-000011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242322" name="Check Box 18" hidden="1">
              <a:extLst>
                <a:ext uri="{63B3BB69-23CF-44E3-9099-C40C66FF867C}">
                  <a14:compatExt spid="_x0000_s22242322"/>
                </a:ext>
                <a:ext uri="{FF2B5EF4-FFF2-40B4-BE49-F238E27FC236}">
                  <a16:creationId xmlns:a16="http://schemas.microsoft.com/office/drawing/2014/main" id="{00000000-0008-0000-4000-000012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242323" name="Check Box 19" hidden="1">
              <a:extLst>
                <a:ext uri="{63B3BB69-23CF-44E3-9099-C40C66FF867C}">
                  <a14:compatExt spid="_x0000_s22242323"/>
                </a:ext>
                <a:ext uri="{FF2B5EF4-FFF2-40B4-BE49-F238E27FC236}">
                  <a16:creationId xmlns:a16="http://schemas.microsoft.com/office/drawing/2014/main" id="{00000000-0008-0000-4000-000013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242324" name="Check Box 20" hidden="1">
              <a:extLst>
                <a:ext uri="{63B3BB69-23CF-44E3-9099-C40C66FF867C}">
                  <a14:compatExt spid="_x0000_s22242324"/>
                </a:ext>
                <a:ext uri="{FF2B5EF4-FFF2-40B4-BE49-F238E27FC236}">
                  <a16:creationId xmlns:a16="http://schemas.microsoft.com/office/drawing/2014/main" id="{00000000-0008-0000-4000-000014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242325" name="Check Box 21" hidden="1">
              <a:extLst>
                <a:ext uri="{63B3BB69-23CF-44E3-9099-C40C66FF867C}">
                  <a14:compatExt spid="_x0000_s22242325"/>
                </a:ext>
                <a:ext uri="{FF2B5EF4-FFF2-40B4-BE49-F238E27FC236}">
                  <a16:creationId xmlns:a16="http://schemas.microsoft.com/office/drawing/2014/main" id="{00000000-0008-0000-4000-000015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242326" name="Check Box 22" hidden="1">
              <a:extLst>
                <a:ext uri="{63B3BB69-23CF-44E3-9099-C40C66FF867C}">
                  <a14:compatExt spid="_x0000_s22242326"/>
                </a:ext>
                <a:ext uri="{FF2B5EF4-FFF2-40B4-BE49-F238E27FC236}">
                  <a16:creationId xmlns:a16="http://schemas.microsoft.com/office/drawing/2014/main" id="{00000000-0008-0000-4000-000016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242327" name="Check Box 23" hidden="1">
              <a:extLst>
                <a:ext uri="{63B3BB69-23CF-44E3-9099-C40C66FF867C}">
                  <a14:compatExt spid="_x0000_s22242327"/>
                </a:ext>
                <a:ext uri="{FF2B5EF4-FFF2-40B4-BE49-F238E27FC236}">
                  <a16:creationId xmlns:a16="http://schemas.microsoft.com/office/drawing/2014/main" id="{00000000-0008-0000-4000-000017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242328" name="Check Box 24" hidden="1">
              <a:extLst>
                <a:ext uri="{63B3BB69-23CF-44E3-9099-C40C66FF867C}">
                  <a14:compatExt spid="_x0000_s22242328"/>
                </a:ext>
                <a:ext uri="{FF2B5EF4-FFF2-40B4-BE49-F238E27FC236}">
                  <a16:creationId xmlns:a16="http://schemas.microsoft.com/office/drawing/2014/main" id="{00000000-0008-0000-4000-000018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242329" name="Check Box 25" hidden="1">
              <a:extLst>
                <a:ext uri="{63B3BB69-23CF-44E3-9099-C40C66FF867C}">
                  <a14:compatExt spid="_x0000_s22242329"/>
                </a:ext>
                <a:ext uri="{FF2B5EF4-FFF2-40B4-BE49-F238E27FC236}">
                  <a16:creationId xmlns:a16="http://schemas.microsoft.com/office/drawing/2014/main" id="{00000000-0008-0000-4000-000019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242330" name="Check Box 26" hidden="1">
              <a:extLst>
                <a:ext uri="{63B3BB69-23CF-44E3-9099-C40C66FF867C}">
                  <a14:compatExt spid="_x0000_s22242330"/>
                </a:ext>
                <a:ext uri="{FF2B5EF4-FFF2-40B4-BE49-F238E27FC236}">
                  <a16:creationId xmlns:a16="http://schemas.microsoft.com/office/drawing/2014/main" id="{00000000-0008-0000-4000-00001A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242331" name="Check Box 27" hidden="1">
              <a:extLst>
                <a:ext uri="{63B3BB69-23CF-44E3-9099-C40C66FF867C}">
                  <a14:compatExt spid="_x0000_s22242331"/>
                </a:ext>
                <a:ext uri="{FF2B5EF4-FFF2-40B4-BE49-F238E27FC236}">
                  <a16:creationId xmlns:a16="http://schemas.microsoft.com/office/drawing/2014/main" id="{00000000-0008-0000-4000-00001B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242332" name="Button 28" hidden="1">
              <a:extLst>
                <a:ext uri="{63B3BB69-23CF-44E3-9099-C40C66FF867C}">
                  <a14:compatExt spid="_x0000_s22242332"/>
                </a:ext>
                <a:ext uri="{FF2B5EF4-FFF2-40B4-BE49-F238E27FC236}">
                  <a16:creationId xmlns:a16="http://schemas.microsoft.com/office/drawing/2014/main" id="{00000000-0008-0000-4000-00001C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242333" name="Button 29" hidden="1">
              <a:extLst>
                <a:ext uri="{63B3BB69-23CF-44E3-9099-C40C66FF867C}">
                  <a14:compatExt spid="_x0000_s22242333"/>
                </a:ext>
                <a:ext uri="{FF2B5EF4-FFF2-40B4-BE49-F238E27FC236}">
                  <a16:creationId xmlns:a16="http://schemas.microsoft.com/office/drawing/2014/main" id="{00000000-0008-0000-4000-00001D64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242334" name="Check Box 30" hidden="1">
              <a:extLst>
                <a:ext uri="{63B3BB69-23CF-44E3-9099-C40C66FF867C}">
                  <a14:compatExt spid="_x0000_s22242334"/>
                </a:ext>
                <a:ext uri="{FF2B5EF4-FFF2-40B4-BE49-F238E27FC236}">
                  <a16:creationId xmlns:a16="http://schemas.microsoft.com/office/drawing/2014/main" id="{00000000-0008-0000-4000-00001E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242335" name="Check Box 31" hidden="1">
              <a:extLst>
                <a:ext uri="{63B3BB69-23CF-44E3-9099-C40C66FF867C}">
                  <a14:compatExt spid="_x0000_s22242335"/>
                </a:ext>
                <a:ext uri="{FF2B5EF4-FFF2-40B4-BE49-F238E27FC236}">
                  <a16:creationId xmlns:a16="http://schemas.microsoft.com/office/drawing/2014/main" id="{00000000-0008-0000-4000-00001F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242336" name="Check Box 32" hidden="1">
              <a:extLst>
                <a:ext uri="{63B3BB69-23CF-44E3-9099-C40C66FF867C}">
                  <a14:compatExt spid="_x0000_s22242336"/>
                </a:ext>
                <a:ext uri="{FF2B5EF4-FFF2-40B4-BE49-F238E27FC236}">
                  <a16:creationId xmlns:a16="http://schemas.microsoft.com/office/drawing/2014/main" id="{00000000-0008-0000-4000-000020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242337" name="Check Box 33" hidden="1">
              <a:extLst>
                <a:ext uri="{63B3BB69-23CF-44E3-9099-C40C66FF867C}">
                  <a14:compatExt spid="_x0000_s22242337"/>
                </a:ext>
                <a:ext uri="{FF2B5EF4-FFF2-40B4-BE49-F238E27FC236}">
                  <a16:creationId xmlns:a16="http://schemas.microsoft.com/office/drawing/2014/main" id="{00000000-0008-0000-4000-000021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242338" name="Check Box 34" hidden="1">
              <a:extLst>
                <a:ext uri="{63B3BB69-23CF-44E3-9099-C40C66FF867C}">
                  <a14:compatExt spid="_x0000_s22242338"/>
                </a:ext>
                <a:ext uri="{FF2B5EF4-FFF2-40B4-BE49-F238E27FC236}">
                  <a16:creationId xmlns:a16="http://schemas.microsoft.com/office/drawing/2014/main" id="{00000000-0008-0000-4000-000022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242339" name="Check Box 35" hidden="1">
              <a:extLst>
                <a:ext uri="{63B3BB69-23CF-44E3-9099-C40C66FF867C}">
                  <a14:compatExt spid="_x0000_s22242339"/>
                </a:ext>
                <a:ext uri="{FF2B5EF4-FFF2-40B4-BE49-F238E27FC236}">
                  <a16:creationId xmlns:a16="http://schemas.microsoft.com/office/drawing/2014/main" id="{00000000-0008-0000-4000-000023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242340" name="Check Box 36" hidden="1">
              <a:extLst>
                <a:ext uri="{63B3BB69-23CF-44E3-9099-C40C66FF867C}">
                  <a14:compatExt spid="_x0000_s22242340"/>
                </a:ext>
                <a:ext uri="{FF2B5EF4-FFF2-40B4-BE49-F238E27FC236}">
                  <a16:creationId xmlns:a16="http://schemas.microsoft.com/office/drawing/2014/main" id="{00000000-0008-0000-4000-000024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242341" name="Check Box 37" hidden="1">
              <a:extLst>
                <a:ext uri="{63B3BB69-23CF-44E3-9099-C40C66FF867C}">
                  <a14:compatExt spid="_x0000_s22242341"/>
                </a:ext>
                <a:ext uri="{FF2B5EF4-FFF2-40B4-BE49-F238E27FC236}">
                  <a16:creationId xmlns:a16="http://schemas.microsoft.com/office/drawing/2014/main" id="{00000000-0008-0000-4000-00002564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ED69DCF-3A26-4693-AD64-FA04D8D02D8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2934FB78-4179-4261-8042-94688931777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239233" name="Check Box 1" hidden="1">
              <a:extLst>
                <a:ext uri="{63B3BB69-23CF-44E3-9099-C40C66FF867C}">
                  <a14:compatExt spid="_x0000_s22239233"/>
                </a:ext>
                <a:ext uri="{FF2B5EF4-FFF2-40B4-BE49-F238E27FC236}">
                  <a16:creationId xmlns:a16="http://schemas.microsoft.com/office/drawing/2014/main" id="{00000000-0008-0000-4100-000001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239234" name="Check Box 2" hidden="1">
              <a:extLst>
                <a:ext uri="{63B3BB69-23CF-44E3-9099-C40C66FF867C}">
                  <a14:compatExt spid="_x0000_s22239234"/>
                </a:ext>
                <a:ext uri="{FF2B5EF4-FFF2-40B4-BE49-F238E27FC236}">
                  <a16:creationId xmlns:a16="http://schemas.microsoft.com/office/drawing/2014/main" id="{00000000-0008-0000-4100-000002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239235" name="Check Box 3" hidden="1">
              <a:extLst>
                <a:ext uri="{63B3BB69-23CF-44E3-9099-C40C66FF867C}">
                  <a14:compatExt spid="_x0000_s22239235"/>
                </a:ext>
                <a:ext uri="{FF2B5EF4-FFF2-40B4-BE49-F238E27FC236}">
                  <a16:creationId xmlns:a16="http://schemas.microsoft.com/office/drawing/2014/main" id="{00000000-0008-0000-4100-000003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239236" name="Check Box 4" hidden="1">
              <a:extLst>
                <a:ext uri="{63B3BB69-23CF-44E3-9099-C40C66FF867C}">
                  <a14:compatExt spid="_x0000_s22239236"/>
                </a:ext>
                <a:ext uri="{FF2B5EF4-FFF2-40B4-BE49-F238E27FC236}">
                  <a16:creationId xmlns:a16="http://schemas.microsoft.com/office/drawing/2014/main" id="{00000000-0008-0000-4100-000004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239237" name="Check Box 5" hidden="1">
              <a:extLst>
                <a:ext uri="{63B3BB69-23CF-44E3-9099-C40C66FF867C}">
                  <a14:compatExt spid="_x0000_s22239237"/>
                </a:ext>
                <a:ext uri="{FF2B5EF4-FFF2-40B4-BE49-F238E27FC236}">
                  <a16:creationId xmlns:a16="http://schemas.microsoft.com/office/drawing/2014/main" id="{00000000-0008-0000-4100-000005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239238" name="Check Box 6" hidden="1">
              <a:extLst>
                <a:ext uri="{63B3BB69-23CF-44E3-9099-C40C66FF867C}">
                  <a14:compatExt spid="_x0000_s22239238"/>
                </a:ext>
                <a:ext uri="{FF2B5EF4-FFF2-40B4-BE49-F238E27FC236}">
                  <a16:creationId xmlns:a16="http://schemas.microsoft.com/office/drawing/2014/main" id="{00000000-0008-0000-4100-000006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239239" name="Check Box 7" hidden="1">
              <a:extLst>
                <a:ext uri="{63B3BB69-23CF-44E3-9099-C40C66FF867C}">
                  <a14:compatExt spid="_x0000_s22239239"/>
                </a:ext>
                <a:ext uri="{FF2B5EF4-FFF2-40B4-BE49-F238E27FC236}">
                  <a16:creationId xmlns:a16="http://schemas.microsoft.com/office/drawing/2014/main" id="{00000000-0008-0000-4100-000007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239240" name="Button 8" hidden="1">
              <a:extLst>
                <a:ext uri="{63B3BB69-23CF-44E3-9099-C40C66FF867C}">
                  <a14:compatExt spid="_x0000_s22239240"/>
                </a:ext>
                <a:ext uri="{FF2B5EF4-FFF2-40B4-BE49-F238E27FC236}">
                  <a16:creationId xmlns:a16="http://schemas.microsoft.com/office/drawing/2014/main" id="{00000000-0008-0000-4100-00000858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239241" name="Button 9" hidden="1">
              <a:extLst>
                <a:ext uri="{63B3BB69-23CF-44E3-9099-C40C66FF867C}">
                  <a14:compatExt spid="_x0000_s22239241"/>
                </a:ext>
                <a:ext uri="{FF2B5EF4-FFF2-40B4-BE49-F238E27FC236}">
                  <a16:creationId xmlns:a16="http://schemas.microsoft.com/office/drawing/2014/main" id="{00000000-0008-0000-4100-000009585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239242" name="Check Box 10" hidden="1">
              <a:extLst>
                <a:ext uri="{63B3BB69-23CF-44E3-9099-C40C66FF867C}">
                  <a14:compatExt spid="_x0000_s22239242"/>
                </a:ext>
                <a:ext uri="{FF2B5EF4-FFF2-40B4-BE49-F238E27FC236}">
                  <a16:creationId xmlns:a16="http://schemas.microsoft.com/office/drawing/2014/main" id="{00000000-0008-0000-4100-00000A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239243" name="Button 11" hidden="1">
              <a:extLst>
                <a:ext uri="{63B3BB69-23CF-44E3-9099-C40C66FF867C}">
                  <a14:compatExt spid="_x0000_s22239243"/>
                </a:ext>
                <a:ext uri="{FF2B5EF4-FFF2-40B4-BE49-F238E27FC236}">
                  <a16:creationId xmlns:a16="http://schemas.microsoft.com/office/drawing/2014/main" id="{00000000-0008-0000-4100-00000B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239244" name="Button 12" hidden="1">
              <a:extLst>
                <a:ext uri="{63B3BB69-23CF-44E3-9099-C40C66FF867C}">
                  <a14:compatExt spid="_x0000_s22239244"/>
                </a:ext>
                <a:ext uri="{FF2B5EF4-FFF2-40B4-BE49-F238E27FC236}">
                  <a16:creationId xmlns:a16="http://schemas.microsoft.com/office/drawing/2014/main" id="{00000000-0008-0000-4100-00000C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239245" name="Button 13" hidden="1">
              <a:extLst>
                <a:ext uri="{63B3BB69-23CF-44E3-9099-C40C66FF867C}">
                  <a14:compatExt spid="_x0000_s22239245"/>
                </a:ext>
                <a:ext uri="{FF2B5EF4-FFF2-40B4-BE49-F238E27FC236}">
                  <a16:creationId xmlns:a16="http://schemas.microsoft.com/office/drawing/2014/main" id="{00000000-0008-0000-4100-00000D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239246" name="Button 14" hidden="1">
              <a:extLst>
                <a:ext uri="{63B3BB69-23CF-44E3-9099-C40C66FF867C}">
                  <a14:compatExt spid="_x0000_s22239246"/>
                </a:ext>
                <a:ext uri="{FF2B5EF4-FFF2-40B4-BE49-F238E27FC236}">
                  <a16:creationId xmlns:a16="http://schemas.microsoft.com/office/drawing/2014/main" id="{00000000-0008-0000-4100-00000E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239247" name="Check Box 15" hidden="1">
              <a:extLst>
                <a:ext uri="{63B3BB69-23CF-44E3-9099-C40C66FF867C}">
                  <a14:compatExt spid="_x0000_s22239247"/>
                </a:ext>
                <a:ext uri="{FF2B5EF4-FFF2-40B4-BE49-F238E27FC236}">
                  <a16:creationId xmlns:a16="http://schemas.microsoft.com/office/drawing/2014/main" id="{00000000-0008-0000-4100-00000F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239248" name="Check Box 16" hidden="1">
              <a:extLst>
                <a:ext uri="{63B3BB69-23CF-44E3-9099-C40C66FF867C}">
                  <a14:compatExt spid="_x0000_s22239248"/>
                </a:ext>
                <a:ext uri="{FF2B5EF4-FFF2-40B4-BE49-F238E27FC236}">
                  <a16:creationId xmlns:a16="http://schemas.microsoft.com/office/drawing/2014/main" id="{00000000-0008-0000-4100-000010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239249" name="Check Box 17" hidden="1">
              <a:extLst>
                <a:ext uri="{63B3BB69-23CF-44E3-9099-C40C66FF867C}">
                  <a14:compatExt spid="_x0000_s22239249"/>
                </a:ext>
                <a:ext uri="{FF2B5EF4-FFF2-40B4-BE49-F238E27FC236}">
                  <a16:creationId xmlns:a16="http://schemas.microsoft.com/office/drawing/2014/main" id="{00000000-0008-0000-4100-000011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239250" name="Check Box 18" hidden="1">
              <a:extLst>
                <a:ext uri="{63B3BB69-23CF-44E3-9099-C40C66FF867C}">
                  <a14:compatExt spid="_x0000_s22239250"/>
                </a:ext>
                <a:ext uri="{FF2B5EF4-FFF2-40B4-BE49-F238E27FC236}">
                  <a16:creationId xmlns:a16="http://schemas.microsoft.com/office/drawing/2014/main" id="{00000000-0008-0000-4100-000012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239251" name="Check Box 19" hidden="1">
              <a:extLst>
                <a:ext uri="{63B3BB69-23CF-44E3-9099-C40C66FF867C}">
                  <a14:compatExt spid="_x0000_s22239251"/>
                </a:ext>
                <a:ext uri="{FF2B5EF4-FFF2-40B4-BE49-F238E27FC236}">
                  <a16:creationId xmlns:a16="http://schemas.microsoft.com/office/drawing/2014/main" id="{00000000-0008-0000-4100-000013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239252" name="Check Box 20" hidden="1">
              <a:extLst>
                <a:ext uri="{63B3BB69-23CF-44E3-9099-C40C66FF867C}">
                  <a14:compatExt spid="_x0000_s22239252"/>
                </a:ext>
                <a:ext uri="{FF2B5EF4-FFF2-40B4-BE49-F238E27FC236}">
                  <a16:creationId xmlns:a16="http://schemas.microsoft.com/office/drawing/2014/main" id="{00000000-0008-0000-4100-000014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239253" name="Check Box 21" hidden="1">
              <a:extLst>
                <a:ext uri="{63B3BB69-23CF-44E3-9099-C40C66FF867C}">
                  <a14:compatExt spid="_x0000_s22239253"/>
                </a:ext>
                <a:ext uri="{FF2B5EF4-FFF2-40B4-BE49-F238E27FC236}">
                  <a16:creationId xmlns:a16="http://schemas.microsoft.com/office/drawing/2014/main" id="{00000000-0008-0000-4100-000015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239254" name="Check Box 22" hidden="1">
              <a:extLst>
                <a:ext uri="{63B3BB69-23CF-44E3-9099-C40C66FF867C}">
                  <a14:compatExt spid="_x0000_s22239254"/>
                </a:ext>
                <a:ext uri="{FF2B5EF4-FFF2-40B4-BE49-F238E27FC236}">
                  <a16:creationId xmlns:a16="http://schemas.microsoft.com/office/drawing/2014/main" id="{00000000-0008-0000-4100-000016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239255" name="Check Box 23" hidden="1">
              <a:extLst>
                <a:ext uri="{63B3BB69-23CF-44E3-9099-C40C66FF867C}">
                  <a14:compatExt spid="_x0000_s22239255"/>
                </a:ext>
                <a:ext uri="{FF2B5EF4-FFF2-40B4-BE49-F238E27FC236}">
                  <a16:creationId xmlns:a16="http://schemas.microsoft.com/office/drawing/2014/main" id="{00000000-0008-0000-4100-000017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239256" name="Check Box 24" hidden="1">
              <a:extLst>
                <a:ext uri="{63B3BB69-23CF-44E3-9099-C40C66FF867C}">
                  <a14:compatExt spid="_x0000_s22239256"/>
                </a:ext>
                <a:ext uri="{FF2B5EF4-FFF2-40B4-BE49-F238E27FC236}">
                  <a16:creationId xmlns:a16="http://schemas.microsoft.com/office/drawing/2014/main" id="{00000000-0008-0000-4100-000018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239257" name="Check Box 25" hidden="1">
              <a:extLst>
                <a:ext uri="{63B3BB69-23CF-44E3-9099-C40C66FF867C}">
                  <a14:compatExt spid="_x0000_s22239257"/>
                </a:ext>
                <a:ext uri="{FF2B5EF4-FFF2-40B4-BE49-F238E27FC236}">
                  <a16:creationId xmlns:a16="http://schemas.microsoft.com/office/drawing/2014/main" id="{00000000-0008-0000-4100-000019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239258" name="Check Box 26" hidden="1">
              <a:extLst>
                <a:ext uri="{63B3BB69-23CF-44E3-9099-C40C66FF867C}">
                  <a14:compatExt spid="_x0000_s22239258"/>
                </a:ext>
                <a:ext uri="{FF2B5EF4-FFF2-40B4-BE49-F238E27FC236}">
                  <a16:creationId xmlns:a16="http://schemas.microsoft.com/office/drawing/2014/main" id="{00000000-0008-0000-4100-00001A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239259" name="Check Box 27" hidden="1">
              <a:extLst>
                <a:ext uri="{63B3BB69-23CF-44E3-9099-C40C66FF867C}">
                  <a14:compatExt spid="_x0000_s22239259"/>
                </a:ext>
                <a:ext uri="{FF2B5EF4-FFF2-40B4-BE49-F238E27FC236}">
                  <a16:creationId xmlns:a16="http://schemas.microsoft.com/office/drawing/2014/main" id="{00000000-0008-0000-4100-00001B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239260" name="Button 28" hidden="1">
              <a:extLst>
                <a:ext uri="{63B3BB69-23CF-44E3-9099-C40C66FF867C}">
                  <a14:compatExt spid="_x0000_s22239260"/>
                </a:ext>
                <a:ext uri="{FF2B5EF4-FFF2-40B4-BE49-F238E27FC236}">
                  <a16:creationId xmlns:a16="http://schemas.microsoft.com/office/drawing/2014/main" id="{00000000-0008-0000-4100-00001C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239261" name="Button 29" hidden="1">
              <a:extLst>
                <a:ext uri="{63B3BB69-23CF-44E3-9099-C40C66FF867C}">
                  <a14:compatExt spid="_x0000_s22239261"/>
                </a:ext>
                <a:ext uri="{FF2B5EF4-FFF2-40B4-BE49-F238E27FC236}">
                  <a16:creationId xmlns:a16="http://schemas.microsoft.com/office/drawing/2014/main" id="{00000000-0008-0000-4100-00001D585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239262" name="Check Box 30" hidden="1">
              <a:extLst>
                <a:ext uri="{63B3BB69-23CF-44E3-9099-C40C66FF867C}">
                  <a14:compatExt spid="_x0000_s22239262"/>
                </a:ext>
                <a:ext uri="{FF2B5EF4-FFF2-40B4-BE49-F238E27FC236}">
                  <a16:creationId xmlns:a16="http://schemas.microsoft.com/office/drawing/2014/main" id="{00000000-0008-0000-4100-00001E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239263" name="Check Box 31" hidden="1">
              <a:extLst>
                <a:ext uri="{63B3BB69-23CF-44E3-9099-C40C66FF867C}">
                  <a14:compatExt spid="_x0000_s22239263"/>
                </a:ext>
                <a:ext uri="{FF2B5EF4-FFF2-40B4-BE49-F238E27FC236}">
                  <a16:creationId xmlns:a16="http://schemas.microsoft.com/office/drawing/2014/main" id="{00000000-0008-0000-4100-00001F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239264" name="Check Box 32" hidden="1">
              <a:extLst>
                <a:ext uri="{63B3BB69-23CF-44E3-9099-C40C66FF867C}">
                  <a14:compatExt spid="_x0000_s22239264"/>
                </a:ext>
                <a:ext uri="{FF2B5EF4-FFF2-40B4-BE49-F238E27FC236}">
                  <a16:creationId xmlns:a16="http://schemas.microsoft.com/office/drawing/2014/main" id="{00000000-0008-0000-4100-000020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239265" name="Check Box 33" hidden="1">
              <a:extLst>
                <a:ext uri="{63B3BB69-23CF-44E3-9099-C40C66FF867C}">
                  <a14:compatExt spid="_x0000_s22239265"/>
                </a:ext>
                <a:ext uri="{FF2B5EF4-FFF2-40B4-BE49-F238E27FC236}">
                  <a16:creationId xmlns:a16="http://schemas.microsoft.com/office/drawing/2014/main" id="{00000000-0008-0000-4100-000021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239266" name="Check Box 34" hidden="1">
              <a:extLst>
                <a:ext uri="{63B3BB69-23CF-44E3-9099-C40C66FF867C}">
                  <a14:compatExt spid="_x0000_s22239266"/>
                </a:ext>
                <a:ext uri="{FF2B5EF4-FFF2-40B4-BE49-F238E27FC236}">
                  <a16:creationId xmlns:a16="http://schemas.microsoft.com/office/drawing/2014/main" id="{00000000-0008-0000-4100-000022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239267" name="Check Box 35" hidden="1">
              <a:extLst>
                <a:ext uri="{63B3BB69-23CF-44E3-9099-C40C66FF867C}">
                  <a14:compatExt spid="_x0000_s22239267"/>
                </a:ext>
                <a:ext uri="{FF2B5EF4-FFF2-40B4-BE49-F238E27FC236}">
                  <a16:creationId xmlns:a16="http://schemas.microsoft.com/office/drawing/2014/main" id="{00000000-0008-0000-4100-000023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239268" name="Check Box 36" hidden="1">
              <a:extLst>
                <a:ext uri="{63B3BB69-23CF-44E3-9099-C40C66FF867C}">
                  <a14:compatExt spid="_x0000_s22239268"/>
                </a:ext>
                <a:ext uri="{FF2B5EF4-FFF2-40B4-BE49-F238E27FC236}">
                  <a16:creationId xmlns:a16="http://schemas.microsoft.com/office/drawing/2014/main" id="{00000000-0008-0000-4100-000024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239269" name="Check Box 37" hidden="1">
              <a:extLst>
                <a:ext uri="{63B3BB69-23CF-44E3-9099-C40C66FF867C}">
                  <a14:compatExt spid="_x0000_s22239269"/>
                </a:ext>
                <a:ext uri="{FF2B5EF4-FFF2-40B4-BE49-F238E27FC236}">
                  <a16:creationId xmlns:a16="http://schemas.microsoft.com/office/drawing/2014/main" id="{00000000-0008-0000-4100-000025585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97FD09F-EA6B-48B1-A8E7-BB672B0108A4}"/>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FE184860-17BB-455F-8634-F0C4CF374BA7}"/>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2088705" name="Check Box 1" hidden="1">
              <a:extLst>
                <a:ext uri="{63B3BB69-23CF-44E3-9099-C40C66FF867C}">
                  <a14:compatExt spid="_x0000_s22088705"/>
                </a:ext>
                <a:ext uri="{FF2B5EF4-FFF2-40B4-BE49-F238E27FC236}">
                  <a16:creationId xmlns:a16="http://schemas.microsoft.com/office/drawing/2014/main" id="{00000000-0008-0000-4200-000001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2088706" name="Check Box 2" hidden="1">
              <a:extLst>
                <a:ext uri="{63B3BB69-23CF-44E3-9099-C40C66FF867C}">
                  <a14:compatExt spid="_x0000_s22088706"/>
                </a:ext>
                <a:ext uri="{FF2B5EF4-FFF2-40B4-BE49-F238E27FC236}">
                  <a16:creationId xmlns:a16="http://schemas.microsoft.com/office/drawing/2014/main" id="{00000000-0008-0000-4200-000002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2088707" name="Check Box 3" hidden="1">
              <a:extLst>
                <a:ext uri="{63B3BB69-23CF-44E3-9099-C40C66FF867C}">
                  <a14:compatExt spid="_x0000_s22088707"/>
                </a:ext>
                <a:ext uri="{FF2B5EF4-FFF2-40B4-BE49-F238E27FC236}">
                  <a16:creationId xmlns:a16="http://schemas.microsoft.com/office/drawing/2014/main" id="{00000000-0008-0000-4200-000003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2088708" name="Check Box 4" hidden="1">
              <a:extLst>
                <a:ext uri="{63B3BB69-23CF-44E3-9099-C40C66FF867C}">
                  <a14:compatExt spid="_x0000_s22088708"/>
                </a:ext>
                <a:ext uri="{FF2B5EF4-FFF2-40B4-BE49-F238E27FC236}">
                  <a16:creationId xmlns:a16="http://schemas.microsoft.com/office/drawing/2014/main" id="{00000000-0008-0000-4200-000004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2088709" name="Check Box 5" hidden="1">
              <a:extLst>
                <a:ext uri="{63B3BB69-23CF-44E3-9099-C40C66FF867C}">
                  <a14:compatExt spid="_x0000_s22088709"/>
                </a:ext>
                <a:ext uri="{FF2B5EF4-FFF2-40B4-BE49-F238E27FC236}">
                  <a16:creationId xmlns:a16="http://schemas.microsoft.com/office/drawing/2014/main" id="{00000000-0008-0000-4200-000005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2088710" name="Check Box 6" hidden="1">
              <a:extLst>
                <a:ext uri="{63B3BB69-23CF-44E3-9099-C40C66FF867C}">
                  <a14:compatExt spid="_x0000_s22088710"/>
                </a:ext>
                <a:ext uri="{FF2B5EF4-FFF2-40B4-BE49-F238E27FC236}">
                  <a16:creationId xmlns:a16="http://schemas.microsoft.com/office/drawing/2014/main" id="{00000000-0008-0000-4200-000006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2088711" name="Check Box 7" hidden="1">
              <a:extLst>
                <a:ext uri="{63B3BB69-23CF-44E3-9099-C40C66FF867C}">
                  <a14:compatExt spid="_x0000_s22088711"/>
                </a:ext>
                <a:ext uri="{FF2B5EF4-FFF2-40B4-BE49-F238E27FC236}">
                  <a16:creationId xmlns:a16="http://schemas.microsoft.com/office/drawing/2014/main" id="{00000000-0008-0000-4200-000007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2088712" name="Button 8" hidden="1">
              <a:extLst>
                <a:ext uri="{63B3BB69-23CF-44E3-9099-C40C66FF867C}">
                  <a14:compatExt spid="_x0000_s22088712"/>
                </a:ext>
                <a:ext uri="{FF2B5EF4-FFF2-40B4-BE49-F238E27FC236}">
                  <a16:creationId xmlns:a16="http://schemas.microsoft.com/office/drawing/2014/main" id="{00000000-0008-0000-4200-0000080C5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2088713" name="Button 9" hidden="1">
              <a:extLst>
                <a:ext uri="{63B3BB69-23CF-44E3-9099-C40C66FF867C}">
                  <a14:compatExt spid="_x0000_s22088713"/>
                </a:ext>
                <a:ext uri="{FF2B5EF4-FFF2-40B4-BE49-F238E27FC236}">
                  <a16:creationId xmlns:a16="http://schemas.microsoft.com/office/drawing/2014/main" id="{00000000-0008-0000-4200-0000090C5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2088714" name="Check Box 10" hidden="1">
              <a:extLst>
                <a:ext uri="{63B3BB69-23CF-44E3-9099-C40C66FF867C}">
                  <a14:compatExt spid="_x0000_s22088714"/>
                </a:ext>
                <a:ext uri="{FF2B5EF4-FFF2-40B4-BE49-F238E27FC236}">
                  <a16:creationId xmlns:a16="http://schemas.microsoft.com/office/drawing/2014/main" id="{00000000-0008-0000-4200-00000A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2088715" name="Button 11" hidden="1">
              <a:extLst>
                <a:ext uri="{63B3BB69-23CF-44E3-9099-C40C66FF867C}">
                  <a14:compatExt spid="_x0000_s22088715"/>
                </a:ext>
                <a:ext uri="{FF2B5EF4-FFF2-40B4-BE49-F238E27FC236}">
                  <a16:creationId xmlns:a16="http://schemas.microsoft.com/office/drawing/2014/main" id="{00000000-0008-0000-4200-00000B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2088716" name="Button 12" hidden="1">
              <a:extLst>
                <a:ext uri="{63B3BB69-23CF-44E3-9099-C40C66FF867C}">
                  <a14:compatExt spid="_x0000_s22088716"/>
                </a:ext>
                <a:ext uri="{FF2B5EF4-FFF2-40B4-BE49-F238E27FC236}">
                  <a16:creationId xmlns:a16="http://schemas.microsoft.com/office/drawing/2014/main" id="{00000000-0008-0000-4200-00000C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2088717" name="Button 13" hidden="1">
              <a:extLst>
                <a:ext uri="{63B3BB69-23CF-44E3-9099-C40C66FF867C}">
                  <a14:compatExt spid="_x0000_s22088717"/>
                </a:ext>
                <a:ext uri="{FF2B5EF4-FFF2-40B4-BE49-F238E27FC236}">
                  <a16:creationId xmlns:a16="http://schemas.microsoft.com/office/drawing/2014/main" id="{00000000-0008-0000-4200-00000D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2088718" name="Button 14" hidden="1">
              <a:extLst>
                <a:ext uri="{63B3BB69-23CF-44E3-9099-C40C66FF867C}">
                  <a14:compatExt spid="_x0000_s22088718"/>
                </a:ext>
                <a:ext uri="{FF2B5EF4-FFF2-40B4-BE49-F238E27FC236}">
                  <a16:creationId xmlns:a16="http://schemas.microsoft.com/office/drawing/2014/main" id="{00000000-0008-0000-4200-00000E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2088719" name="Check Box 15" hidden="1">
              <a:extLst>
                <a:ext uri="{63B3BB69-23CF-44E3-9099-C40C66FF867C}">
                  <a14:compatExt spid="_x0000_s22088719"/>
                </a:ext>
                <a:ext uri="{FF2B5EF4-FFF2-40B4-BE49-F238E27FC236}">
                  <a16:creationId xmlns:a16="http://schemas.microsoft.com/office/drawing/2014/main" id="{00000000-0008-0000-4200-00000F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2088720" name="Check Box 16" hidden="1">
              <a:extLst>
                <a:ext uri="{63B3BB69-23CF-44E3-9099-C40C66FF867C}">
                  <a14:compatExt spid="_x0000_s22088720"/>
                </a:ext>
                <a:ext uri="{FF2B5EF4-FFF2-40B4-BE49-F238E27FC236}">
                  <a16:creationId xmlns:a16="http://schemas.microsoft.com/office/drawing/2014/main" id="{00000000-0008-0000-4200-000010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2088721" name="Check Box 17" hidden="1">
              <a:extLst>
                <a:ext uri="{63B3BB69-23CF-44E3-9099-C40C66FF867C}">
                  <a14:compatExt spid="_x0000_s22088721"/>
                </a:ext>
                <a:ext uri="{FF2B5EF4-FFF2-40B4-BE49-F238E27FC236}">
                  <a16:creationId xmlns:a16="http://schemas.microsoft.com/office/drawing/2014/main" id="{00000000-0008-0000-4200-000011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2088722" name="Check Box 18" hidden="1">
              <a:extLst>
                <a:ext uri="{63B3BB69-23CF-44E3-9099-C40C66FF867C}">
                  <a14:compatExt spid="_x0000_s22088722"/>
                </a:ext>
                <a:ext uri="{FF2B5EF4-FFF2-40B4-BE49-F238E27FC236}">
                  <a16:creationId xmlns:a16="http://schemas.microsoft.com/office/drawing/2014/main" id="{00000000-0008-0000-4200-000012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2088723" name="Check Box 19" hidden="1">
              <a:extLst>
                <a:ext uri="{63B3BB69-23CF-44E3-9099-C40C66FF867C}">
                  <a14:compatExt spid="_x0000_s22088723"/>
                </a:ext>
                <a:ext uri="{FF2B5EF4-FFF2-40B4-BE49-F238E27FC236}">
                  <a16:creationId xmlns:a16="http://schemas.microsoft.com/office/drawing/2014/main" id="{00000000-0008-0000-4200-000013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2088724" name="Check Box 20" hidden="1">
              <a:extLst>
                <a:ext uri="{63B3BB69-23CF-44E3-9099-C40C66FF867C}">
                  <a14:compatExt spid="_x0000_s22088724"/>
                </a:ext>
                <a:ext uri="{FF2B5EF4-FFF2-40B4-BE49-F238E27FC236}">
                  <a16:creationId xmlns:a16="http://schemas.microsoft.com/office/drawing/2014/main" id="{00000000-0008-0000-4200-000014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2088725" name="Check Box 21" hidden="1">
              <a:extLst>
                <a:ext uri="{63B3BB69-23CF-44E3-9099-C40C66FF867C}">
                  <a14:compatExt spid="_x0000_s22088725"/>
                </a:ext>
                <a:ext uri="{FF2B5EF4-FFF2-40B4-BE49-F238E27FC236}">
                  <a16:creationId xmlns:a16="http://schemas.microsoft.com/office/drawing/2014/main" id="{00000000-0008-0000-4200-000015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2088726" name="Check Box 22" hidden="1">
              <a:extLst>
                <a:ext uri="{63B3BB69-23CF-44E3-9099-C40C66FF867C}">
                  <a14:compatExt spid="_x0000_s22088726"/>
                </a:ext>
                <a:ext uri="{FF2B5EF4-FFF2-40B4-BE49-F238E27FC236}">
                  <a16:creationId xmlns:a16="http://schemas.microsoft.com/office/drawing/2014/main" id="{00000000-0008-0000-4200-000016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2088727" name="Check Box 23" hidden="1">
              <a:extLst>
                <a:ext uri="{63B3BB69-23CF-44E3-9099-C40C66FF867C}">
                  <a14:compatExt spid="_x0000_s22088727"/>
                </a:ext>
                <a:ext uri="{FF2B5EF4-FFF2-40B4-BE49-F238E27FC236}">
                  <a16:creationId xmlns:a16="http://schemas.microsoft.com/office/drawing/2014/main" id="{00000000-0008-0000-4200-000017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2088728" name="Check Box 24" hidden="1">
              <a:extLst>
                <a:ext uri="{63B3BB69-23CF-44E3-9099-C40C66FF867C}">
                  <a14:compatExt spid="_x0000_s22088728"/>
                </a:ext>
                <a:ext uri="{FF2B5EF4-FFF2-40B4-BE49-F238E27FC236}">
                  <a16:creationId xmlns:a16="http://schemas.microsoft.com/office/drawing/2014/main" id="{00000000-0008-0000-4200-000018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2088729" name="Check Box 25" hidden="1">
              <a:extLst>
                <a:ext uri="{63B3BB69-23CF-44E3-9099-C40C66FF867C}">
                  <a14:compatExt spid="_x0000_s22088729"/>
                </a:ext>
                <a:ext uri="{FF2B5EF4-FFF2-40B4-BE49-F238E27FC236}">
                  <a16:creationId xmlns:a16="http://schemas.microsoft.com/office/drawing/2014/main" id="{00000000-0008-0000-4200-000019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2088730" name="Check Box 26" hidden="1">
              <a:extLst>
                <a:ext uri="{63B3BB69-23CF-44E3-9099-C40C66FF867C}">
                  <a14:compatExt spid="_x0000_s22088730"/>
                </a:ext>
                <a:ext uri="{FF2B5EF4-FFF2-40B4-BE49-F238E27FC236}">
                  <a16:creationId xmlns:a16="http://schemas.microsoft.com/office/drawing/2014/main" id="{00000000-0008-0000-4200-00001A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2088731" name="Check Box 27" hidden="1">
              <a:extLst>
                <a:ext uri="{63B3BB69-23CF-44E3-9099-C40C66FF867C}">
                  <a14:compatExt spid="_x0000_s22088731"/>
                </a:ext>
                <a:ext uri="{FF2B5EF4-FFF2-40B4-BE49-F238E27FC236}">
                  <a16:creationId xmlns:a16="http://schemas.microsoft.com/office/drawing/2014/main" id="{00000000-0008-0000-4200-00001B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2088732" name="Button 28" hidden="1">
              <a:extLst>
                <a:ext uri="{63B3BB69-23CF-44E3-9099-C40C66FF867C}">
                  <a14:compatExt spid="_x0000_s22088732"/>
                </a:ext>
                <a:ext uri="{FF2B5EF4-FFF2-40B4-BE49-F238E27FC236}">
                  <a16:creationId xmlns:a16="http://schemas.microsoft.com/office/drawing/2014/main" id="{00000000-0008-0000-4200-00001C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2088733" name="Button 29" hidden="1">
              <a:extLst>
                <a:ext uri="{63B3BB69-23CF-44E3-9099-C40C66FF867C}">
                  <a14:compatExt spid="_x0000_s22088733"/>
                </a:ext>
                <a:ext uri="{FF2B5EF4-FFF2-40B4-BE49-F238E27FC236}">
                  <a16:creationId xmlns:a16="http://schemas.microsoft.com/office/drawing/2014/main" id="{00000000-0008-0000-4200-00001D0C5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2088734" name="Check Box 30" hidden="1">
              <a:extLst>
                <a:ext uri="{63B3BB69-23CF-44E3-9099-C40C66FF867C}">
                  <a14:compatExt spid="_x0000_s22088734"/>
                </a:ext>
                <a:ext uri="{FF2B5EF4-FFF2-40B4-BE49-F238E27FC236}">
                  <a16:creationId xmlns:a16="http://schemas.microsoft.com/office/drawing/2014/main" id="{00000000-0008-0000-4200-00001E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2088735" name="Check Box 31" hidden="1">
              <a:extLst>
                <a:ext uri="{63B3BB69-23CF-44E3-9099-C40C66FF867C}">
                  <a14:compatExt spid="_x0000_s22088735"/>
                </a:ext>
                <a:ext uri="{FF2B5EF4-FFF2-40B4-BE49-F238E27FC236}">
                  <a16:creationId xmlns:a16="http://schemas.microsoft.com/office/drawing/2014/main" id="{00000000-0008-0000-4200-00001F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2088736" name="Check Box 32" hidden="1">
              <a:extLst>
                <a:ext uri="{63B3BB69-23CF-44E3-9099-C40C66FF867C}">
                  <a14:compatExt spid="_x0000_s22088736"/>
                </a:ext>
                <a:ext uri="{FF2B5EF4-FFF2-40B4-BE49-F238E27FC236}">
                  <a16:creationId xmlns:a16="http://schemas.microsoft.com/office/drawing/2014/main" id="{00000000-0008-0000-4200-000020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2088737" name="Check Box 33" hidden="1">
              <a:extLst>
                <a:ext uri="{63B3BB69-23CF-44E3-9099-C40C66FF867C}">
                  <a14:compatExt spid="_x0000_s22088737"/>
                </a:ext>
                <a:ext uri="{FF2B5EF4-FFF2-40B4-BE49-F238E27FC236}">
                  <a16:creationId xmlns:a16="http://schemas.microsoft.com/office/drawing/2014/main" id="{00000000-0008-0000-4200-000021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2088738" name="Check Box 34" hidden="1">
              <a:extLst>
                <a:ext uri="{63B3BB69-23CF-44E3-9099-C40C66FF867C}">
                  <a14:compatExt spid="_x0000_s22088738"/>
                </a:ext>
                <a:ext uri="{FF2B5EF4-FFF2-40B4-BE49-F238E27FC236}">
                  <a16:creationId xmlns:a16="http://schemas.microsoft.com/office/drawing/2014/main" id="{00000000-0008-0000-4200-000022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2088739" name="Check Box 35" hidden="1">
              <a:extLst>
                <a:ext uri="{63B3BB69-23CF-44E3-9099-C40C66FF867C}">
                  <a14:compatExt spid="_x0000_s22088739"/>
                </a:ext>
                <a:ext uri="{FF2B5EF4-FFF2-40B4-BE49-F238E27FC236}">
                  <a16:creationId xmlns:a16="http://schemas.microsoft.com/office/drawing/2014/main" id="{00000000-0008-0000-4200-000023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2088740" name="Check Box 36" hidden="1">
              <a:extLst>
                <a:ext uri="{63B3BB69-23CF-44E3-9099-C40C66FF867C}">
                  <a14:compatExt spid="_x0000_s22088740"/>
                </a:ext>
                <a:ext uri="{FF2B5EF4-FFF2-40B4-BE49-F238E27FC236}">
                  <a16:creationId xmlns:a16="http://schemas.microsoft.com/office/drawing/2014/main" id="{00000000-0008-0000-4200-000024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2088741" name="Check Box 37" hidden="1">
              <a:extLst>
                <a:ext uri="{63B3BB69-23CF-44E3-9099-C40C66FF867C}">
                  <a14:compatExt spid="_x0000_s22088741"/>
                </a:ext>
                <a:ext uri="{FF2B5EF4-FFF2-40B4-BE49-F238E27FC236}">
                  <a16:creationId xmlns:a16="http://schemas.microsoft.com/office/drawing/2014/main" id="{00000000-0008-0000-4200-0000250C5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FBFDE9C-DBF7-43DB-844C-642C013629B2}"/>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0694274-BB1E-4C4D-8147-321B3C3E2DB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937153" name="Check Box 1" hidden="1">
              <a:extLst>
                <a:ext uri="{63B3BB69-23CF-44E3-9099-C40C66FF867C}">
                  <a14:compatExt spid="_x0000_s21937153"/>
                </a:ext>
                <a:ext uri="{FF2B5EF4-FFF2-40B4-BE49-F238E27FC236}">
                  <a16:creationId xmlns:a16="http://schemas.microsoft.com/office/drawing/2014/main" id="{00000000-0008-0000-4300-000001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937154" name="Check Box 2" hidden="1">
              <a:extLst>
                <a:ext uri="{63B3BB69-23CF-44E3-9099-C40C66FF867C}">
                  <a14:compatExt spid="_x0000_s21937154"/>
                </a:ext>
                <a:ext uri="{FF2B5EF4-FFF2-40B4-BE49-F238E27FC236}">
                  <a16:creationId xmlns:a16="http://schemas.microsoft.com/office/drawing/2014/main" id="{00000000-0008-0000-4300-000002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937155" name="Check Box 3" hidden="1">
              <a:extLst>
                <a:ext uri="{63B3BB69-23CF-44E3-9099-C40C66FF867C}">
                  <a14:compatExt spid="_x0000_s21937155"/>
                </a:ext>
                <a:ext uri="{FF2B5EF4-FFF2-40B4-BE49-F238E27FC236}">
                  <a16:creationId xmlns:a16="http://schemas.microsoft.com/office/drawing/2014/main" id="{00000000-0008-0000-4300-000003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937156" name="Check Box 4" hidden="1">
              <a:extLst>
                <a:ext uri="{63B3BB69-23CF-44E3-9099-C40C66FF867C}">
                  <a14:compatExt spid="_x0000_s21937156"/>
                </a:ext>
                <a:ext uri="{FF2B5EF4-FFF2-40B4-BE49-F238E27FC236}">
                  <a16:creationId xmlns:a16="http://schemas.microsoft.com/office/drawing/2014/main" id="{00000000-0008-0000-4300-000004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937157" name="Check Box 5" hidden="1">
              <a:extLst>
                <a:ext uri="{63B3BB69-23CF-44E3-9099-C40C66FF867C}">
                  <a14:compatExt spid="_x0000_s21937157"/>
                </a:ext>
                <a:ext uri="{FF2B5EF4-FFF2-40B4-BE49-F238E27FC236}">
                  <a16:creationId xmlns:a16="http://schemas.microsoft.com/office/drawing/2014/main" id="{00000000-0008-0000-4300-000005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937158" name="Check Box 6" hidden="1">
              <a:extLst>
                <a:ext uri="{63B3BB69-23CF-44E3-9099-C40C66FF867C}">
                  <a14:compatExt spid="_x0000_s21937158"/>
                </a:ext>
                <a:ext uri="{FF2B5EF4-FFF2-40B4-BE49-F238E27FC236}">
                  <a16:creationId xmlns:a16="http://schemas.microsoft.com/office/drawing/2014/main" id="{00000000-0008-0000-4300-000006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937159" name="Check Box 7" hidden="1">
              <a:extLst>
                <a:ext uri="{63B3BB69-23CF-44E3-9099-C40C66FF867C}">
                  <a14:compatExt spid="_x0000_s21937159"/>
                </a:ext>
                <a:ext uri="{FF2B5EF4-FFF2-40B4-BE49-F238E27FC236}">
                  <a16:creationId xmlns:a16="http://schemas.microsoft.com/office/drawing/2014/main" id="{00000000-0008-0000-4300-000007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937160" name="Button 8" hidden="1">
              <a:extLst>
                <a:ext uri="{63B3BB69-23CF-44E3-9099-C40C66FF867C}">
                  <a14:compatExt spid="_x0000_s21937160"/>
                </a:ext>
                <a:ext uri="{FF2B5EF4-FFF2-40B4-BE49-F238E27FC236}">
                  <a16:creationId xmlns:a16="http://schemas.microsoft.com/office/drawing/2014/main" id="{00000000-0008-0000-4300-000008BC4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937161" name="Button 9" hidden="1">
              <a:extLst>
                <a:ext uri="{63B3BB69-23CF-44E3-9099-C40C66FF867C}">
                  <a14:compatExt spid="_x0000_s21937161"/>
                </a:ext>
                <a:ext uri="{FF2B5EF4-FFF2-40B4-BE49-F238E27FC236}">
                  <a16:creationId xmlns:a16="http://schemas.microsoft.com/office/drawing/2014/main" id="{00000000-0008-0000-4300-000009BC4E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937162" name="Check Box 10" hidden="1">
              <a:extLst>
                <a:ext uri="{63B3BB69-23CF-44E3-9099-C40C66FF867C}">
                  <a14:compatExt spid="_x0000_s21937162"/>
                </a:ext>
                <a:ext uri="{FF2B5EF4-FFF2-40B4-BE49-F238E27FC236}">
                  <a16:creationId xmlns:a16="http://schemas.microsoft.com/office/drawing/2014/main" id="{00000000-0008-0000-4300-00000A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937163" name="Button 11" hidden="1">
              <a:extLst>
                <a:ext uri="{63B3BB69-23CF-44E3-9099-C40C66FF867C}">
                  <a14:compatExt spid="_x0000_s21937163"/>
                </a:ext>
                <a:ext uri="{FF2B5EF4-FFF2-40B4-BE49-F238E27FC236}">
                  <a16:creationId xmlns:a16="http://schemas.microsoft.com/office/drawing/2014/main" id="{00000000-0008-0000-4300-00000B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937164" name="Button 12" hidden="1">
              <a:extLst>
                <a:ext uri="{63B3BB69-23CF-44E3-9099-C40C66FF867C}">
                  <a14:compatExt spid="_x0000_s21937164"/>
                </a:ext>
                <a:ext uri="{FF2B5EF4-FFF2-40B4-BE49-F238E27FC236}">
                  <a16:creationId xmlns:a16="http://schemas.microsoft.com/office/drawing/2014/main" id="{00000000-0008-0000-4300-00000C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937165" name="Button 13" hidden="1">
              <a:extLst>
                <a:ext uri="{63B3BB69-23CF-44E3-9099-C40C66FF867C}">
                  <a14:compatExt spid="_x0000_s21937165"/>
                </a:ext>
                <a:ext uri="{FF2B5EF4-FFF2-40B4-BE49-F238E27FC236}">
                  <a16:creationId xmlns:a16="http://schemas.microsoft.com/office/drawing/2014/main" id="{00000000-0008-0000-4300-00000D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937166" name="Button 14" hidden="1">
              <a:extLst>
                <a:ext uri="{63B3BB69-23CF-44E3-9099-C40C66FF867C}">
                  <a14:compatExt spid="_x0000_s21937166"/>
                </a:ext>
                <a:ext uri="{FF2B5EF4-FFF2-40B4-BE49-F238E27FC236}">
                  <a16:creationId xmlns:a16="http://schemas.microsoft.com/office/drawing/2014/main" id="{00000000-0008-0000-4300-00000E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937167" name="Check Box 15" hidden="1">
              <a:extLst>
                <a:ext uri="{63B3BB69-23CF-44E3-9099-C40C66FF867C}">
                  <a14:compatExt spid="_x0000_s21937167"/>
                </a:ext>
                <a:ext uri="{FF2B5EF4-FFF2-40B4-BE49-F238E27FC236}">
                  <a16:creationId xmlns:a16="http://schemas.microsoft.com/office/drawing/2014/main" id="{00000000-0008-0000-4300-00000F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937168" name="Check Box 16" hidden="1">
              <a:extLst>
                <a:ext uri="{63B3BB69-23CF-44E3-9099-C40C66FF867C}">
                  <a14:compatExt spid="_x0000_s21937168"/>
                </a:ext>
                <a:ext uri="{FF2B5EF4-FFF2-40B4-BE49-F238E27FC236}">
                  <a16:creationId xmlns:a16="http://schemas.microsoft.com/office/drawing/2014/main" id="{00000000-0008-0000-4300-000010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937169" name="Check Box 17" hidden="1">
              <a:extLst>
                <a:ext uri="{63B3BB69-23CF-44E3-9099-C40C66FF867C}">
                  <a14:compatExt spid="_x0000_s21937169"/>
                </a:ext>
                <a:ext uri="{FF2B5EF4-FFF2-40B4-BE49-F238E27FC236}">
                  <a16:creationId xmlns:a16="http://schemas.microsoft.com/office/drawing/2014/main" id="{00000000-0008-0000-4300-000011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937170" name="Check Box 18" hidden="1">
              <a:extLst>
                <a:ext uri="{63B3BB69-23CF-44E3-9099-C40C66FF867C}">
                  <a14:compatExt spid="_x0000_s21937170"/>
                </a:ext>
                <a:ext uri="{FF2B5EF4-FFF2-40B4-BE49-F238E27FC236}">
                  <a16:creationId xmlns:a16="http://schemas.microsoft.com/office/drawing/2014/main" id="{00000000-0008-0000-4300-000012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937171" name="Check Box 19" hidden="1">
              <a:extLst>
                <a:ext uri="{63B3BB69-23CF-44E3-9099-C40C66FF867C}">
                  <a14:compatExt spid="_x0000_s21937171"/>
                </a:ext>
                <a:ext uri="{FF2B5EF4-FFF2-40B4-BE49-F238E27FC236}">
                  <a16:creationId xmlns:a16="http://schemas.microsoft.com/office/drawing/2014/main" id="{00000000-0008-0000-4300-000013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937172" name="Check Box 20" hidden="1">
              <a:extLst>
                <a:ext uri="{63B3BB69-23CF-44E3-9099-C40C66FF867C}">
                  <a14:compatExt spid="_x0000_s21937172"/>
                </a:ext>
                <a:ext uri="{FF2B5EF4-FFF2-40B4-BE49-F238E27FC236}">
                  <a16:creationId xmlns:a16="http://schemas.microsoft.com/office/drawing/2014/main" id="{00000000-0008-0000-4300-000014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937173" name="Check Box 21" hidden="1">
              <a:extLst>
                <a:ext uri="{63B3BB69-23CF-44E3-9099-C40C66FF867C}">
                  <a14:compatExt spid="_x0000_s21937173"/>
                </a:ext>
                <a:ext uri="{FF2B5EF4-FFF2-40B4-BE49-F238E27FC236}">
                  <a16:creationId xmlns:a16="http://schemas.microsoft.com/office/drawing/2014/main" id="{00000000-0008-0000-4300-000015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937174" name="Check Box 22" hidden="1">
              <a:extLst>
                <a:ext uri="{63B3BB69-23CF-44E3-9099-C40C66FF867C}">
                  <a14:compatExt spid="_x0000_s21937174"/>
                </a:ext>
                <a:ext uri="{FF2B5EF4-FFF2-40B4-BE49-F238E27FC236}">
                  <a16:creationId xmlns:a16="http://schemas.microsoft.com/office/drawing/2014/main" id="{00000000-0008-0000-4300-000016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937175" name="Check Box 23" hidden="1">
              <a:extLst>
                <a:ext uri="{63B3BB69-23CF-44E3-9099-C40C66FF867C}">
                  <a14:compatExt spid="_x0000_s21937175"/>
                </a:ext>
                <a:ext uri="{FF2B5EF4-FFF2-40B4-BE49-F238E27FC236}">
                  <a16:creationId xmlns:a16="http://schemas.microsoft.com/office/drawing/2014/main" id="{00000000-0008-0000-4300-000017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937176" name="Check Box 24" hidden="1">
              <a:extLst>
                <a:ext uri="{63B3BB69-23CF-44E3-9099-C40C66FF867C}">
                  <a14:compatExt spid="_x0000_s21937176"/>
                </a:ext>
                <a:ext uri="{FF2B5EF4-FFF2-40B4-BE49-F238E27FC236}">
                  <a16:creationId xmlns:a16="http://schemas.microsoft.com/office/drawing/2014/main" id="{00000000-0008-0000-4300-000018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937177" name="Check Box 25" hidden="1">
              <a:extLst>
                <a:ext uri="{63B3BB69-23CF-44E3-9099-C40C66FF867C}">
                  <a14:compatExt spid="_x0000_s21937177"/>
                </a:ext>
                <a:ext uri="{FF2B5EF4-FFF2-40B4-BE49-F238E27FC236}">
                  <a16:creationId xmlns:a16="http://schemas.microsoft.com/office/drawing/2014/main" id="{00000000-0008-0000-4300-000019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937178" name="Check Box 26" hidden="1">
              <a:extLst>
                <a:ext uri="{63B3BB69-23CF-44E3-9099-C40C66FF867C}">
                  <a14:compatExt spid="_x0000_s21937178"/>
                </a:ext>
                <a:ext uri="{FF2B5EF4-FFF2-40B4-BE49-F238E27FC236}">
                  <a16:creationId xmlns:a16="http://schemas.microsoft.com/office/drawing/2014/main" id="{00000000-0008-0000-4300-00001A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937179" name="Check Box 27" hidden="1">
              <a:extLst>
                <a:ext uri="{63B3BB69-23CF-44E3-9099-C40C66FF867C}">
                  <a14:compatExt spid="_x0000_s21937179"/>
                </a:ext>
                <a:ext uri="{FF2B5EF4-FFF2-40B4-BE49-F238E27FC236}">
                  <a16:creationId xmlns:a16="http://schemas.microsoft.com/office/drawing/2014/main" id="{00000000-0008-0000-4300-00001B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937180" name="Button 28" hidden="1">
              <a:extLst>
                <a:ext uri="{63B3BB69-23CF-44E3-9099-C40C66FF867C}">
                  <a14:compatExt spid="_x0000_s21937180"/>
                </a:ext>
                <a:ext uri="{FF2B5EF4-FFF2-40B4-BE49-F238E27FC236}">
                  <a16:creationId xmlns:a16="http://schemas.microsoft.com/office/drawing/2014/main" id="{00000000-0008-0000-4300-00001C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937181" name="Button 29" hidden="1">
              <a:extLst>
                <a:ext uri="{63B3BB69-23CF-44E3-9099-C40C66FF867C}">
                  <a14:compatExt spid="_x0000_s21937181"/>
                </a:ext>
                <a:ext uri="{FF2B5EF4-FFF2-40B4-BE49-F238E27FC236}">
                  <a16:creationId xmlns:a16="http://schemas.microsoft.com/office/drawing/2014/main" id="{00000000-0008-0000-4300-00001DBC4E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937182" name="Check Box 30" hidden="1">
              <a:extLst>
                <a:ext uri="{63B3BB69-23CF-44E3-9099-C40C66FF867C}">
                  <a14:compatExt spid="_x0000_s21937182"/>
                </a:ext>
                <a:ext uri="{FF2B5EF4-FFF2-40B4-BE49-F238E27FC236}">
                  <a16:creationId xmlns:a16="http://schemas.microsoft.com/office/drawing/2014/main" id="{00000000-0008-0000-4300-00001E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937183" name="Check Box 31" hidden="1">
              <a:extLst>
                <a:ext uri="{63B3BB69-23CF-44E3-9099-C40C66FF867C}">
                  <a14:compatExt spid="_x0000_s21937183"/>
                </a:ext>
                <a:ext uri="{FF2B5EF4-FFF2-40B4-BE49-F238E27FC236}">
                  <a16:creationId xmlns:a16="http://schemas.microsoft.com/office/drawing/2014/main" id="{00000000-0008-0000-4300-00001F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937184" name="Check Box 32" hidden="1">
              <a:extLst>
                <a:ext uri="{63B3BB69-23CF-44E3-9099-C40C66FF867C}">
                  <a14:compatExt spid="_x0000_s21937184"/>
                </a:ext>
                <a:ext uri="{FF2B5EF4-FFF2-40B4-BE49-F238E27FC236}">
                  <a16:creationId xmlns:a16="http://schemas.microsoft.com/office/drawing/2014/main" id="{00000000-0008-0000-4300-000020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937185" name="Check Box 33" hidden="1">
              <a:extLst>
                <a:ext uri="{63B3BB69-23CF-44E3-9099-C40C66FF867C}">
                  <a14:compatExt spid="_x0000_s21937185"/>
                </a:ext>
                <a:ext uri="{FF2B5EF4-FFF2-40B4-BE49-F238E27FC236}">
                  <a16:creationId xmlns:a16="http://schemas.microsoft.com/office/drawing/2014/main" id="{00000000-0008-0000-4300-000021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937186" name="Check Box 34" hidden="1">
              <a:extLst>
                <a:ext uri="{63B3BB69-23CF-44E3-9099-C40C66FF867C}">
                  <a14:compatExt spid="_x0000_s21937186"/>
                </a:ext>
                <a:ext uri="{FF2B5EF4-FFF2-40B4-BE49-F238E27FC236}">
                  <a16:creationId xmlns:a16="http://schemas.microsoft.com/office/drawing/2014/main" id="{00000000-0008-0000-4300-000022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937187" name="Check Box 35" hidden="1">
              <a:extLst>
                <a:ext uri="{63B3BB69-23CF-44E3-9099-C40C66FF867C}">
                  <a14:compatExt spid="_x0000_s21937187"/>
                </a:ext>
                <a:ext uri="{FF2B5EF4-FFF2-40B4-BE49-F238E27FC236}">
                  <a16:creationId xmlns:a16="http://schemas.microsoft.com/office/drawing/2014/main" id="{00000000-0008-0000-4300-000023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937188" name="Check Box 36" hidden="1">
              <a:extLst>
                <a:ext uri="{63B3BB69-23CF-44E3-9099-C40C66FF867C}">
                  <a14:compatExt spid="_x0000_s21937188"/>
                </a:ext>
                <a:ext uri="{FF2B5EF4-FFF2-40B4-BE49-F238E27FC236}">
                  <a16:creationId xmlns:a16="http://schemas.microsoft.com/office/drawing/2014/main" id="{00000000-0008-0000-4300-000024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937189" name="Check Box 37" hidden="1">
              <a:extLst>
                <a:ext uri="{63B3BB69-23CF-44E3-9099-C40C66FF867C}">
                  <a14:compatExt spid="_x0000_s21937189"/>
                </a:ext>
                <a:ext uri="{FF2B5EF4-FFF2-40B4-BE49-F238E27FC236}">
                  <a16:creationId xmlns:a16="http://schemas.microsoft.com/office/drawing/2014/main" id="{00000000-0008-0000-4300-000025BC4E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8A3331F-7838-423E-8A2E-33C8AE5AE6E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25B9CF6-A72E-488A-91F8-322E2EED8A8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640193" name="Check Box 1" hidden="1">
              <a:extLst>
                <a:ext uri="{63B3BB69-23CF-44E3-9099-C40C66FF867C}">
                  <a14:compatExt spid="_x0000_s21640193"/>
                </a:ext>
                <a:ext uri="{FF2B5EF4-FFF2-40B4-BE49-F238E27FC236}">
                  <a16:creationId xmlns:a16="http://schemas.microsoft.com/office/drawing/2014/main" id="{00000000-0008-0000-4400-000001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640194" name="Check Box 2" hidden="1">
              <a:extLst>
                <a:ext uri="{63B3BB69-23CF-44E3-9099-C40C66FF867C}">
                  <a14:compatExt spid="_x0000_s21640194"/>
                </a:ext>
                <a:ext uri="{FF2B5EF4-FFF2-40B4-BE49-F238E27FC236}">
                  <a16:creationId xmlns:a16="http://schemas.microsoft.com/office/drawing/2014/main" id="{00000000-0008-0000-4400-000002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640195" name="Check Box 3" hidden="1">
              <a:extLst>
                <a:ext uri="{63B3BB69-23CF-44E3-9099-C40C66FF867C}">
                  <a14:compatExt spid="_x0000_s21640195"/>
                </a:ext>
                <a:ext uri="{FF2B5EF4-FFF2-40B4-BE49-F238E27FC236}">
                  <a16:creationId xmlns:a16="http://schemas.microsoft.com/office/drawing/2014/main" id="{00000000-0008-0000-4400-000003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640196" name="Check Box 4" hidden="1">
              <a:extLst>
                <a:ext uri="{63B3BB69-23CF-44E3-9099-C40C66FF867C}">
                  <a14:compatExt spid="_x0000_s21640196"/>
                </a:ext>
                <a:ext uri="{FF2B5EF4-FFF2-40B4-BE49-F238E27FC236}">
                  <a16:creationId xmlns:a16="http://schemas.microsoft.com/office/drawing/2014/main" id="{00000000-0008-0000-4400-000004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640197" name="Check Box 5" hidden="1">
              <a:extLst>
                <a:ext uri="{63B3BB69-23CF-44E3-9099-C40C66FF867C}">
                  <a14:compatExt spid="_x0000_s21640197"/>
                </a:ext>
                <a:ext uri="{FF2B5EF4-FFF2-40B4-BE49-F238E27FC236}">
                  <a16:creationId xmlns:a16="http://schemas.microsoft.com/office/drawing/2014/main" id="{00000000-0008-0000-4400-000005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640198" name="Check Box 6" hidden="1">
              <a:extLst>
                <a:ext uri="{63B3BB69-23CF-44E3-9099-C40C66FF867C}">
                  <a14:compatExt spid="_x0000_s21640198"/>
                </a:ext>
                <a:ext uri="{FF2B5EF4-FFF2-40B4-BE49-F238E27FC236}">
                  <a16:creationId xmlns:a16="http://schemas.microsoft.com/office/drawing/2014/main" id="{00000000-0008-0000-4400-000006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640199" name="Check Box 7" hidden="1">
              <a:extLst>
                <a:ext uri="{63B3BB69-23CF-44E3-9099-C40C66FF867C}">
                  <a14:compatExt spid="_x0000_s21640199"/>
                </a:ext>
                <a:ext uri="{FF2B5EF4-FFF2-40B4-BE49-F238E27FC236}">
                  <a16:creationId xmlns:a16="http://schemas.microsoft.com/office/drawing/2014/main" id="{00000000-0008-0000-4400-000007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640200" name="Button 8" hidden="1">
              <a:extLst>
                <a:ext uri="{63B3BB69-23CF-44E3-9099-C40C66FF867C}">
                  <a14:compatExt spid="_x0000_s21640200"/>
                </a:ext>
                <a:ext uri="{FF2B5EF4-FFF2-40B4-BE49-F238E27FC236}">
                  <a16:creationId xmlns:a16="http://schemas.microsoft.com/office/drawing/2014/main" id="{00000000-0008-0000-4400-000008344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640201" name="Button 9" hidden="1">
              <a:extLst>
                <a:ext uri="{63B3BB69-23CF-44E3-9099-C40C66FF867C}">
                  <a14:compatExt spid="_x0000_s21640201"/>
                </a:ext>
                <a:ext uri="{FF2B5EF4-FFF2-40B4-BE49-F238E27FC236}">
                  <a16:creationId xmlns:a16="http://schemas.microsoft.com/office/drawing/2014/main" id="{00000000-0008-0000-4400-000009344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640202" name="Check Box 10" hidden="1">
              <a:extLst>
                <a:ext uri="{63B3BB69-23CF-44E3-9099-C40C66FF867C}">
                  <a14:compatExt spid="_x0000_s21640202"/>
                </a:ext>
                <a:ext uri="{FF2B5EF4-FFF2-40B4-BE49-F238E27FC236}">
                  <a16:creationId xmlns:a16="http://schemas.microsoft.com/office/drawing/2014/main" id="{00000000-0008-0000-4400-00000A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640203" name="Button 11" hidden="1">
              <a:extLst>
                <a:ext uri="{63B3BB69-23CF-44E3-9099-C40C66FF867C}">
                  <a14:compatExt spid="_x0000_s21640203"/>
                </a:ext>
                <a:ext uri="{FF2B5EF4-FFF2-40B4-BE49-F238E27FC236}">
                  <a16:creationId xmlns:a16="http://schemas.microsoft.com/office/drawing/2014/main" id="{00000000-0008-0000-4400-00000B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640204" name="Button 12" hidden="1">
              <a:extLst>
                <a:ext uri="{63B3BB69-23CF-44E3-9099-C40C66FF867C}">
                  <a14:compatExt spid="_x0000_s21640204"/>
                </a:ext>
                <a:ext uri="{FF2B5EF4-FFF2-40B4-BE49-F238E27FC236}">
                  <a16:creationId xmlns:a16="http://schemas.microsoft.com/office/drawing/2014/main" id="{00000000-0008-0000-4400-00000C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640205" name="Button 13" hidden="1">
              <a:extLst>
                <a:ext uri="{63B3BB69-23CF-44E3-9099-C40C66FF867C}">
                  <a14:compatExt spid="_x0000_s21640205"/>
                </a:ext>
                <a:ext uri="{FF2B5EF4-FFF2-40B4-BE49-F238E27FC236}">
                  <a16:creationId xmlns:a16="http://schemas.microsoft.com/office/drawing/2014/main" id="{00000000-0008-0000-4400-00000D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640206" name="Button 14" hidden="1">
              <a:extLst>
                <a:ext uri="{63B3BB69-23CF-44E3-9099-C40C66FF867C}">
                  <a14:compatExt spid="_x0000_s21640206"/>
                </a:ext>
                <a:ext uri="{FF2B5EF4-FFF2-40B4-BE49-F238E27FC236}">
                  <a16:creationId xmlns:a16="http://schemas.microsoft.com/office/drawing/2014/main" id="{00000000-0008-0000-4400-00000E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640207" name="Check Box 15" hidden="1">
              <a:extLst>
                <a:ext uri="{63B3BB69-23CF-44E3-9099-C40C66FF867C}">
                  <a14:compatExt spid="_x0000_s21640207"/>
                </a:ext>
                <a:ext uri="{FF2B5EF4-FFF2-40B4-BE49-F238E27FC236}">
                  <a16:creationId xmlns:a16="http://schemas.microsoft.com/office/drawing/2014/main" id="{00000000-0008-0000-4400-00000F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640208" name="Check Box 16" hidden="1">
              <a:extLst>
                <a:ext uri="{63B3BB69-23CF-44E3-9099-C40C66FF867C}">
                  <a14:compatExt spid="_x0000_s21640208"/>
                </a:ext>
                <a:ext uri="{FF2B5EF4-FFF2-40B4-BE49-F238E27FC236}">
                  <a16:creationId xmlns:a16="http://schemas.microsoft.com/office/drawing/2014/main" id="{00000000-0008-0000-4400-000010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640209" name="Check Box 17" hidden="1">
              <a:extLst>
                <a:ext uri="{63B3BB69-23CF-44E3-9099-C40C66FF867C}">
                  <a14:compatExt spid="_x0000_s21640209"/>
                </a:ext>
                <a:ext uri="{FF2B5EF4-FFF2-40B4-BE49-F238E27FC236}">
                  <a16:creationId xmlns:a16="http://schemas.microsoft.com/office/drawing/2014/main" id="{00000000-0008-0000-4400-000011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640210" name="Check Box 18" hidden="1">
              <a:extLst>
                <a:ext uri="{63B3BB69-23CF-44E3-9099-C40C66FF867C}">
                  <a14:compatExt spid="_x0000_s21640210"/>
                </a:ext>
                <a:ext uri="{FF2B5EF4-FFF2-40B4-BE49-F238E27FC236}">
                  <a16:creationId xmlns:a16="http://schemas.microsoft.com/office/drawing/2014/main" id="{00000000-0008-0000-4400-000012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640211" name="Check Box 19" hidden="1">
              <a:extLst>
                <a:ext uri="{63B3BB69-23CF-44E3-9099-C40C66FF867C}">
                  <a14:compatExt spid="_x0000_s21640211"/>
                </a:ext>
                <a:ext uri="{FF2B5EF4-FFF2-40B4-BE49-F238E27FC236}">
                  <a16:creationId xmlns:a16="http://schemas.microsoft.com/office/drawing/2014/main" id="{00000000-0008-0000-4400-000013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640212" name="Check Box 20" hidden="1">
              <a:extLst>
                <a:ext uri="{63B3BB69-23CF-44E3-9099-C40C66FF867C}">
                  <a14:compatExt spid="_x0000_s21640212"/>
                </a:ext>
                <a:ext uri="{FF2B5EF4-FFF2-40B4-BE49-F238E27FC236}">
                  <a16:creationId xmlns:a16="http://schemas.microsoft.com/office/drawing/2014/main" id="{00000000-0008-0000-4400-000014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640213" name="Check Box 21" hidden="1">
              <a:extLst>
                <a:ext uri="{63B3BB69-23CF-44E3-9099-C40C66FF867C}">
                  <a14:compatExt spid="_x0000_s21640213"/>
                </a:ext>
                <a:ext uri="{FF2B5EF4-FFF2-40B4-BE49-F238E27FC236}">
                  <a16:creationId xmlns:a16="http://schemas.microsoft.com/office/drawing/2014/main" id="{00000000-0008-0000-4400-000015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640214" name="Check Box 22" hidden="1">
              <a:extLst>
                <a:ext uri="{63B3BB69-23CF-44E3-9099-C40C66FF867C}">
                  <a14:compatExt spid="_x0000_s21640214"/>
                </a:ext>
                <a:ext uri="{FF2B5EF4-FFF2-40B4-BE49-F238E27FC236}">
                  <a16:creationId xmlns:a16="http://schemas.microsoft.com/office/drawing/2014/main" id="{00000000-0008-0000-4400-000016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640215" name="Check Box 23" hidden="1">
              <a:extLst>
                <a:ext uri="{63B3BB69-23CF-44E3-9099-C40C66FF867C}">
                  <a14:compatExt spid="_x0000_s21640215"/>
                </a:ext>
                <a:ext uri="{FF2B5EF4-FFF2-40B4-BE49-F238E27FC236}">
                  <a16:creationId xmlns:a16="http://schemas.microsoft.com/office/drawing/2014/main" id="{00000000-0008-0000-4400-000017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640216" name="Check Box 24" hidden="1">
              <a:extLst>
                <a:ext uri="{63B3BB69-23CF-44E3-9099-C40C66FF867C}">
                  <a14:compatExt spid="_x0000_s21640216"/>
                </a:ext>
                <a:ext uri="{FF2B5EF4-FFF2-40B4-BE49-F238E27FC236}">
                  <a16:creationId xmlns:a16="http://schemas.microsoft.com/office/drawing/2014/main" id="{00000000-0008-0000-4400-000018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640217" name="Check Box 25" hidden="1">
              <a:extLst>
                <a:ext uri="{63B3BB69-23CF-44E3-9099-C40C66FF867C}">
                  <a14:compatExt spid="_x0000_s21640217"/>
                </a:ext>
                <a:ext uri="{FF2B5EF4-FFF2-40B4-BE49-F238E27FC236}">
                  <a16:creationId xmlns:a16="http://schemas.microsoft.com/office/drawing/2014/main" id="{00000000-0008-0000-4400-000019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640218" name="Check Box 26" hidden="1">
              <a:extLst>
                <a:ext uri="{63B3BB69-23CF-44E3-9099-C40C66FF867C}">
                  <a14:compatExt spid="_x0000_s21640218"/>
                </a:ext>
                <a:ext uri="{FF2B5EF4-FFF2-40B4-BE49-F238E27FC236}">
                  <a16:creationId xmlns:a16="http://schemas.microsoft.com/office/drawing/2014/main" id="{00000000-0008-0000-4400-00001A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640219" name="Check Box 27" hidden="1">
              <a:extLst>
                <a:ext uri="{63B3BB69-23CF-44E3-9099-C40C66FF867C}">
                  <a14:compatExt spid="_x0000_s21640219"/>
                </a:ext>
                <a:ext uri="{FF2B5EF4-FFF2-40B4-BE49-F238E27FC236}">
                  <a16:creationId xmlns:a16="http://schemas.microsoft.com/office/drawing/2014/main" id="{00000000-0008-0000-4400-00001B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640220" name="Button 28" hidden="1">
              <a:extLst>
                <a:ext uri="{63B3BB69-23CF-44E3-9099-C40C66FF867C}">
                  <a14:compatExt spid="_x0000_s21640220"/>
                </a:ext>
                <a:ext uri="{FF2B5EF4-FFF2-40B4-BE49-F238E27FC236}">
                  <a16:creationId xmlns:a16="http://schemas.microsoft.com/office/drawing/2014/main" id="{00000000-0008-0000-4400-00001C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640221" name="Button 29" hidden="1">
              <a:extLst>
                <a:ext uri="{63B3BB69-23CF-44E3-9099-C40C66FF867C}">
                  <a14:compatExt spid="_x0000_s21640221"/>
                </a:ext>
                <a:ext uri="{FF2B5EF4-FFF2-40B4-BE49-F238E27FC236}">
                  <a16:creationId xmlns:a16="http://schemas.microsoft.com/office/drawing/2014/main" id="{00000000-0008-0000-4400-00001D344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640222" name="Check Box 30" hidden="1">
              <a:extLst>
                <a:ext uri="{63B3BB69-23CF-44E3-9099-C40C66FF867C}">
                  <a14:compatExt spid="_x0000_s21640222"/>
                </a:ext>
                <a:ext uri="{FF2B5EF4-FFF2-40B4-BE49-F238E27FC236}">
                  <a16:creationId xmlns:a16="http://schemas.microsoft.com/office/drawing/2014/main" id="{00000000-0008-0000-4400-00001E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640223" name="Check Box 31" hidden="1">
              <a:extLst>
                <a:ext uri="{63B3BB69-23CF-44E3-9099-C40C66FF867C}">
                  <a14:compatExt spid="_x0000_s21640223"/>
                </a:ext>
                <a:ext uri="{FF2B5EF4-FFF2-40B4-BE49-F238E27FC236}">
                  <a16:creationId xmlns:a16="http://schemas.microsoft.com/office/drawing/2014/main" id="{00000000-0008-0000-4400-00001F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640224" name="Check Box 32" hidden="1">
              <a:extLst>
                <a:ext uri="{63B3BB69-23CF-44E3-9099-C40C66FF867C}">
                  <a14:compatExt spid="_x0000_s21640224"/>
                </a:ext>
                <a:ext uri="{FF2B5EF4-FFF2-40B4-BE49-F238E27FC236}">
                  <a16:creationId xmlns:a16="http://schemas.microsoft.com/office/drawing/2014/main" id="{00000000-0008-0000-4400-000020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640225" name="Check Box 33" hidden="1">
              <a:extLst>
                <a:ext uri="{63B3BB69-23CF-44E3-9099-C40C66FF867C}">
                  <a14:compatExt spid="_x0000_s21640225"/>
                </a:ext>
                <a:ext uri="{FF2B5EF4-FFF2-40B4-BE49-F238E27FC236}">
                  <a16:creationId xmlns:a16="http://schemas.microsoft.com/office/drawing/2014/main" id="{00000000-0008-0000-4400-000021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640226" name="Check Box 34" hidden="1">
              <a:extLst>
                <a:ext uri="{63B3BB69-23CF-44E3-9099-C40C66FF867C}">
                  <a14:compatExt spid="_x0000_s21640226"/>
                </a:ext>
                <a:ext uri="{FF2B5EF4-FFF2-40B4-BE49-F238E27FC236}">
                  <a16:creationId xmlns:a16="http://schemas.microsoft.com/office/drawing/2014/main" id="{00000000-0008-0000-4400-000022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640227" name="Check Box 35" hidden="1">
              <a:extLst>
                <a:ext uri="{63B3BB69-23CF-44E3-9099-C40C66FF867C}">
                  <a14:compatExt spid="_x0000_s21640227"/>
                </a:ext>
                <a:ext uri="{FF2B5EF4-FFF2-40B4-BE49-F238E27FC236}">
                  <a16:creationId xmlns:a16="http://schemas.microsoft.com/office/drawing/2014/main" id="{00000000-0008-0000-4400-000023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640228" name="Check Box 36" hidden="1">
              <a:extLst>
                <a:ext uri="{63B3BB69-23CF-44E3-9099-C40C66FF867C}">
                  <a14:compatExt spid="_x0000_s21640228"/>
                </a:ext>
                <a:ext uri="{FF2B5EF4-FFF2-40B4-BE49-F238E27FC236}">
                  <a16:creationId xmlns:a16="http://schemas.microsoft.com/office/drawing/2014/main" id="{00000000-0008-0000-4400-000024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640229" name="Check Box 37" hidden="1">
              <a:extLst>
                <a:ext uri="{63B3BB69-23CF-44E3-9099-C40C66FF867C}">
                  <a14:compatExt spid="_x0000_s21640229"/>
                </a:ext>
                <a:ext uri="{FF2B5EF4-FFF2-40B4-BE49-F238E27FC236}">
                  <a16:creationId xmlns:a16="http://schemas.microsoft.com/office/drawing/2014/main" id="{00000000-0008-0000-4400-000025344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D6544C6-7E96-4C8D-A88B-9C4CEC16197D}"/>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rgbClr val="FF0000"/>
              </a:solidFill>
            </a:rPr>
            <a:t>08.04.2025:</a:t>
          </a:r>
          <a:r>
            <a:rPr lang="en-AU" sz="1100" baseline="0">
              <a:solidFill>
                <a:srgbClr val="FF0000"/>
              </a:solidFill>
            </a:rPr>
            <a:t> Restrictive covenant - no shed greater than 60m² or taller than 3.3m </a:t>
          </a:r>
          <a:br>
            <a:rPr lang="en-AU" sz="1100" baseline="0">
              <a:solidFill>
                <a:srgbClr val="FF0000"/>
              </a:solidFill>
            </a:rPr>
          </a:br>
          <a:br>
            <a:rPr lang="en-AU" sz="1100" baseline="0">
              <a:solidFill>
                <a:srgbClr val="FF0000"/>
              </a:solidFill>
            </a:rPr>
          </a:br>
          <a:r>
            <a:rPr lang="en-AU" sz="1100" b="0" i="0" u="none" strike="noStrike" baseline="0">
              <a:solidFill>
                <a:schemeClr val="dk1"/>
              </a:solidFill>
              <a:latin typeface="+mn-lt"/>
              <a:ea typeface="+mn-ea"/>
              <a:cs typeface="+mn-cs"/>
            </a:rPr>
            <a:t>1. Provide restrictive covenant response letter from owner</a:t>
          </a:r>
        </a:p>
        <a:p>
          <a:r>
            <a:rPr lang="en-AU" sz="1100" b="0" i="0" u="none" strike="noStrike" baseline="0">
              <a:solidFill>
                <a:schemeClr val="dk1"/>
              </a:solidFill>
              <a:latin typeface="+mn-lt"/>
              <a:ea typeface="+mn-ea"/>
              <a:cs typeface="+mn-cs"/>
            </a:rPr>
            <a:t>2. Provide completed building surveyor appointment form.</a:t>
          </a:r>
        </a:p>
        <a:p>
          <a:r>
            <a:rPr lang="en-AU" sz="1100" b="0" i="0" u="none" strike="noStrike" baseline="0">
              <a:solidFill>
                <a:schemeClr val="dk1"/>
              </a:solidFill>
              <a:latin typeface="+mn-lt"/>
              <a:ea typeface="+mn-ea"/>
              <a:cs typeface="+mn-cs"/>
            </a:rPr>
            <a:t>3. Statement of Use response letter to be completed by owner and returned.</a:t>
          </a:r>
        </a:p>
        <a:p>
          <a:r>
            <a:rPr lang="en-AU" sz="1100" b="0" i="0" u="none" strike="noStrike" baseline="0">
              <a:solidFill>
                <a:schemeClr val="dk1"/>
              </a:solidFill>
              <a:latin typeface="+mn-lt"/>
              <a:ea typeface="+mn-ea"/>
              <a:cs typeface="+mn-cs"/>
            </a:rPr>
            <a:t>4. Provide owner builder certificate as issued by the VBA.</a:t>
          </a:r>
        </a:p>
        <a:p>
          <a:r>
            <a:rPr lang="en-AU" sz="1100" b="0" i="0" u="none" strike="noStrike" baseline="0">
              <a:solidFill>
                <a:schemeClr val="dk1"/>
              </a:solidFill>
              <a:latin typeface="+mn-lt"/>
              <a:ea typeface="+mn-ea"/>
              <a:cs typeface="+mn-cs"/>
            </a:rPr>
            <a:t>5. Provide engineering documents.</a:t>
          </a:r>
        </a:p>
        <a:p>
          <a:r>
            <a:rPr lang="en-AU" sz="1100" b="0" i="0" u="none" strike="noStrike" baseline="0">
              <a:solidFill>
                <a:schemeClr val="dk1"/>
              </a:solidFill>
              <a:latin typeface="+mn-lt"/>
              <a:ea typeface="+mn-ea"/>
              <a:cs typeface="+mn-cs"/>
            </a:rPr>
            <a:t>6. Provide engineers certificate of compliance Reg. 126 with Michael Harvey noted as the RBS.</a:t>
          </a:r>
          <a:endParaRPr lang="en-AU" sz="1100">
            <a:solidFill>
              <a:srgbClr val="FF0000"/>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091B8B1-E0C5-489B-BBB8-663D27254CD3}"/>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789697" name="Check Box 1" hidden="1">
              <a:extLst>
                <a:ext uri="{63B3BB69-23CF-44E3-9099-C40C66FF867C}">
                  <a14:compatExt spid="_x0000_s21789697"/>
                </a:ext>
                <a:ext uri="{FF2B5EF4-FFF2-40B4-BE49-F238E27FC236}">
                  <a16:creationId xmlns:a16="http://schemas.microsoft.com/office/drawing/2014/main" id="{00000000-0008-0000-4500-000001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789698" name="Check Box 2" hidden="1">
              <a:extLst>
                <a:ext uri="{63B3BB69-23CF-44E3-9099-C40C66FF867C}">
                  <a14:compatExt spid="_x0000_s21789698"/>
                </a:ext>
                <a:ext uri="{FF2B5EF4-FFF2-40B4-BE49-F238E27FC236}">
                  <a16:creationId xmlns:a16="http://schemas.microsoft.com/office/drawing/2014/main" id="{00000000-0008-0000-4500-000002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789699" name="Check Box 3" hidden="1">
              <a:extLst>
                <a:ext uri="{63B3BB69-23CF-44E3-9099-C40C66FF867C}">
                  <a14:compatExt spid="_x0000_s21789699"/>
                </a:ext>
                <a:ext uri="{FF2B5EF4-FFF2-40B4-BE49-F238E27FC236}">
                  <a16:creationId xmlns:a16="http://schemas.microsoft.com/office/drawing/2014/main" id="{00000000-0008-0000-4500-000003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789700" name="Check Box 4" hidden="1">
              <a:extLst>
                <a:ext uri="{63B3BB69-23CF-44E3-9099-C40C66FF867C}">
                  <a14:compatExt spid="_x0000_s21789700"/>
                </a:ext>
                <a:ext uri="{FF2B5EF4-FFF2-40B4-BE49-F238E27FC236}">
                  <a16:creationId xmlns:a16="http://schemas.microsoft.com/office/drawing/2014/main" id="{00000000-0008-0000-4500-000004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789701" name="Check Box 5" hidden="1">
              <a:extLst>
                <a:ext uri="{63B3BB69-23CF-44E3-9099-C40C66FF867C}">
                  <a14:compatExt spid="_x0000_s21789701"/>
                </a:ext>
                <a:ext uri="{FF2B5EF4-FFF2-40B4-BE49-F238E27FC236}">
                  <a16:creationId xmlns:a16="http://schemas.microsoft.com/office/drawing/2014/main" id="{00000000-0008-0000-4500-000005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789702" name="Check Box 6" hidden="1">
              <a:extLst>
                <a:ext uri="{63B3BB69-23CF-44E3-9099-C40C66FF867C}">
                  <a14:compatExt spid="_x0000_s21789702"/>
                </a:ext>
                <a:ext uri="{FF2B5EF4-FFF2-40B4-BE49-F238E27FC236}">
                  <a16:creationId xmlns:a16="http://schemas.microsoft.com/office/drawing/2014/main" id="{00000000-0008-0000-4500-000006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789703" name="Check Box 7" hidden="1">
              <a:extLst>
                <a:ext uri="{63B3BB69-23CF-44E3-9099-C40C66FF867C}">
                  <a14:compatExt spid="_x0000_s21789703"/>
                </a:ext>
                <a:ext uri="{FF2B5EF4-FFF2-40B4-BE49-F238E27FC236}">
                  <a16:creationId xmlns:a16="http://schemas.microsoft.com/office/drawing/2014/main" id="{00000000-0008-0000-4500-000007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789704" name="Button 8" hidden="1">
              <a:extLst>
                <a:ext uri="{63B3BB69-23CF-44E3-9099-C40C66FF867C}">
                  <a14:compatExt spid="_x0000_s21789704"/>
                </a:ext>
                <a:ext uri="{FF2B5EF4-FFF2-40B4-BE49-F238E27FC236}">
                  <a16:creationId xmlns:a16="http://schemas.microsoft.com/office/drawing/2014/main" id="{00000000-0008-0000-4500-0000087C4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789705" name="Button 9" hidden="1">
              <a:extLst>
                <a:ext uri="{63B3BB69-23CF-44E3-9099-C40C66FF867C}">
                  <a14:compatExt spid="_x0000_s21789705"/>
                </a:ext>
                <a:ext uri="{FF2B5EF4-FFF2-40B4-BE49-F238E27FC236}">
                  <a16:creationId xmlns:a16="http://schemas.microsoft.com/office/drawing/2014/main" id="{00000000-0008-0000-4500-0000097C4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789706" name="Check Box 10" hidden="1">
              <a:extLst>
                <a:ext uri="{63B3BB69-23CF-44E3-9099-C40C66FF867C}">
                  <a14:compatExt spid="_x0000_s21789706"/>
                </a:ext>
                <a:ext uri="{FF2B5EF4-FFF2-40B4-BE49-F238E27FC236}">
                  <a16:creationId xmlns:a16="http://schemas.microsoft.com/office/drawing/2014/main" id="{00000000-0008-0000-4500-00000A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789707" name="Button 11" hidden="1">
              <a:extLst>
                <a:ext uri="{63B3BB69-23CF-44E3-9099-C40C66FF867C}">
                  <a14:compatExt spid="_x0000_s21789707"/>
                </a:ext>
                <a:ext uri="{FF2B5EF4-FFF2-40B4-BE49-F238E27FC236}">
                  <a16:creationId xmlns:a16="http://schemas.microsoft.com/office/drawing/2014/main" id="{00000000-0008-0000-4500-00000B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789708" name="Button 12" hidden="1">
              <a:extLst>
                <a:ext uri="{63B3BB69-23CF-44E3-9099-C40C66FF867C}">
                  <a14:compatExt spid="_x0000_s21789708"/>
                </a:ext>
                <a:ext uri="{FF2B5EF4-FFF2-40B4-BE49-F238E27FC236}">
                  <a16:creationId xmlns:a16="http://schemas.microsoft.com/office/drawing/2014/main" id="{00000000-0008-0000-4500-00000C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789709" name="Button 13" hidden="1">
              <a:extLst>
                <a:ext uri="{63B3BB69-23CF-44E3-9099-C40C66FF867C}">
                  <a14:compatExt spid="_x0000_s21789709"/>
                </a:ext>
                <a:ext uri="{FF2B5EF4-FFF2-40B4-BE49-F238E27FC236}">
                  <a16:creationId xmlns:a16="http://schemas.microsoft.com/office/drawing/2014/main" id="{00000000-0008-0000-4500-00000D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789710" name="Button 14" hidden="1">
              <a:extLst>
                <a:ext uri="{63B3BB69-23CF-44E3-9099-C40C66FF867C}">
                  <a14:compatExt spid="_x0000_s21789710"/>
                </a:ext>
                <a:ext uri="{FF2B5EF4-FFF2-40B4-BE49-F238E27FC236}">
                  <a16:creationId xmlns:a16="http://schemas.microsoft.com/office/drawing/2014/main" id="{00000000-0008-0000-4500-00000E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789711" name="Check Box 15" hidden="1">
              <a:extLst>
                <a:ext uri="{63B3BB69-23CF-44E3-9099-C40C66FF867C}">
                  <a14:compatExt spid="_x0000_s21789711"/>
                </a:ext>
                <a:ext uri="{FF2B5EF4-FFF2-40B4-BE49-F238E27FC236}">
                  <a16:creationId xmlns:a16="http://schemas.microsoft.com/office/drawing/2014/main" id="{00000000-0008-0000-4500-00000F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789712" name="Check Box 16" hidden="1">
              <a:extLst>
                <a:ext uri="{63B3BB69-23CF-44E3-9099-C40C66FF867C}">
                  <a14:compatExt spid="_x0000_s21789712"/>
                </a:ext>
                <a:ext uri="{FF2B5EF4-FFF2-40B4-BE49-F238E27FC236}">
                  <a16:creationId xmlns:a16="http://schemas.microsoft.com/office/drawing/2014/main" id="{00000000-0008-0000-4500-000010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789713" name="Check Box 17" hidden="1">
              <a:extLst>
                <a:ext uri="{63B3BB69-23CF-44E3-9099-C40C66FF867C}">
                  <a14:compatExt spid="_x0000_s21789713"/>
                </a:ext>
                <a:ext uri="{FF2B5EF4-FFF2-40B4-BE49-F238E27FC236}">
                  <a16:creationId xmlns:a16="http://schemas.microsoft.com/office/drawing/2014/main" id="{00000000-0008-0000-4500-000011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789714" name="Check Box 18" hidden="1">
              <a:extLst>
                <a:ext uri="{63B3BB69-23CF-44E3-9099-C40C66FF867C}">
                  <a14:compatExt spid="_x0000_s21789714"/>
                </a:ext>
                <a:ext uri="{FF2B5EF4-FFF2-40B4-BE49-F238E27FC236}">
                  <a16:creationId xmlns:a16="http://schemas.microsoft.com/office/drawing/2014/main" id="{00000000-0008-0000-4500-000012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789715" name="Check Box 19" hidden="1">
              <a:extLst>
                <a:ext uri="{63B3BB69-23CF-44E3-9099-C40C66FF867C}">
                  <a14:compatExt spid="_x0000_s21789715"/>
                </a:ext>
                <a:ext uri="{FF2B5EF4-FFF2-40B4-BE49-F238E27FC236}">
                  <a16:creationId xmlns:a16="http://schemas.microsoft.com/office/drawing/2014/main" id="{00000000-0008-0000-4500-000013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789716" name="Check Box 20" hidden="1">
              <a:extLst>
                <a:ext uri="{63B3BB69-23CF-44E3-9099-C40C66FF867C}">
                  <a14:compatExt spid="_x0000_s21789716"/>
                </a:ext>
                <a:ext uri="{FF2B5EF4-FFF2-40B4-BE49-F238E27FC236}">
                  <a16:creationId xmlns:a16="http://schemas.microsoft.com/office/drawing/2014/main" id="{00000000-0008-0000-4500-000014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789717" name="Check Box 21" hidden="1">
              <a:extLst>
                <a:ext uri="{63B3BB69-23CF-44E3-9099-C40C66FF867C}">
                  <a14:compatExt spid="_x0000_s21789717"/>
                </a:ext>
                <a:ext uri="{FF2B5EF4-FFF2-40B4-BE49-F238E27FC236}">
                  <a16:creationId xmlns:a16="http://schemas.microsoft.com/office/drawing/2014/main" id="{00000000-0008-0000-4500-000015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789718" name="Check Box 22" hidden="1">
              <a:extLst>
                <a:ext uri="{63B3BB69-23CF-44E3-9099-C40C66FF867C}">
                  <a14:compatExt spid="_x0000_s21789718"/>
                </a:ext>
                <a:ext uri="{FF2B5EF4-FFF2-40B4-BE49-F238E27FC236}">
                  <a16:creationId xmlns:a16="http://schemas.microsoft.com/office/drawing/2014/main" id="{00000000-0008-0000-4500-000016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789719" name="Check Box 23" hidden="1">
              <a:extLst>
                <a:ext uri="{63B3BB69-23CF-44E3-9099-C40C66FF867C}">
                  <a14:compatExt spid="_x0000_s21789719"/>
                </a:ext>
                <a:ext uri="{FF2B5EF4-FFF2-40B4-BE49-F238E27FC236}">
                  <a16:creationId xmlns:a16="http://schemas.microsoft.com/office/drawing/2014/main" id="{00000000-0008-0000-4500-000017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789720" name="Check Box 24" hidden="1">
              <a:extLst>
                <a:ext uri="{63B3BB69-23CF-44E3-9099-C40C66FF867C}">
                  <a14:compatExt spid="_x0000_s21789720"/>
                </a:ext>
                <a:ext uri="{FF2B5EF4-FFF2-40B4-BE49-F238E27FC236}">
                  <a16:creationId xmlns:a16="http://schemas.microsoft.com/office/drawing/2014/main" id="{00000000-0008-0000-4500-000018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789721" name="Check Box 25" hidden="1">
              <a:extLst>
                <a:ext uri="{63B3BB69-23CF-44E3-9099-C40C66FF867C}">
                  <a14:compatExt spid="_x0000_s21789721"/>
                </a:ext>
                <a:ext uri="{FF2B5EF4-FFF2-40B4-BE49-F238E27FC236}">
                  <a16:creationId xmlns:a16="http://schemas.microsoft.com/office/drawing/2014/main" id="{00000000-0008-0000-4500-000019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789722" name="Check Box 26" hidden="1">
              <a:extLst>
                <a:ext uri="{63B3BB69-23CF-44E3-9099-C40C66FF867C}">
                  <a14:compatExt spid="_x0000_s21789722"/>
                </a:ext>
                <a:ext uri="{FF2B5EF4-FFF2-40B4-BE49-F238E27FC236}">
                  <a16:creationId xmlns:a16="http://schemas.microsoft.com/office/drawing/2014/main" id="{00000000-0008-0000-4500-00001A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789723" name="Check Box 27" hidden="1">
              <a:extLst>
                <a:ext uri="{63B3BB69-23CF-44E3-9099-C40C66FF867C}">
                  <a14:compatExt spid="_x0000_s21789723"/>
                </a:ext>
                <a:ext uri="{FF2B5EF4-FFF2-40B4-BE49-F238E27FC236}">
                  <a16:creationId xmlns:a16="http://schemas.microsoft.com/office/drawing/2014/main" id="{00000000-0008-0000-4500-00001B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789724" name="Button 28" hidden="1">
              <a:extLst>
                <a:ext uri="{63B3BB69-23CF-44E3-9099-C40C66FF867C}">
                  <a14:compatExt spid="_x0000_s21789724"/>
                </a:ext>
                <a:ext uri="{FF2B5EF4-FFF2-40B4-BE49-F238E27FC236}">
                  <a16:creationId xmlns:a16="http://schemas.microsoft.com/office/drawing/2014/main" id="{00000000-0008-0000-4500-00001C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789725" name="Button 29" hidden="1">
              <a:extLst>
                <a:ext uri="{63B3BB69-23CF-44E3-9099-C40C66FF867C}">
                  <a14:compatExt spid="_x0000_s21789725"/>
                </a:ext>
                <a:ext uri="{FF2B5EF4-FFF2-40B4-BE49-F238E27FC236}">
                  <a16:creationId xmlns:a16="http://schemas.microsoft.com/office/drawing/2014/main" id="{00000000-0008-0000-4500-00001D7C4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789726" name="Check Box 30" hidden="1">
              <a:extLst>
                <a:ext uri="{63B3BB69-23CF-44E3-9099-C40C66FF867C}">
                  <a14:compatExt spid="_x0000_s21789726"/>
                </a:ext>
                <a:ext uri="{FF2B5EF4-FFF2-40B4-BE49-F238E27FC236}">
                  <a16:creationId xmlns:a16="http://schemas.microsoft.com/office/drawing/2014/main" id="{00000000-0008-0000-4500-00001E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789727" name="Check Box 31" hidden="1">
              <a:extLst>
                <a:ext uri="{63B3BB69-23CF-44E3-9099-C40C66FF867C}">
                  <a14:compatExt spid="_x0000_s21789727"/>
                </a:ext>
                <a:ext uri="{FF2B5EF4-FFF2-40B4-BE49-F238E27FC236}">
                  <a16:creationId xmlns:a16="http://schemas.microsoft.com/office/drawing/2014/main" id="{00000000-0008-0000-4500-00001F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789728" name="Check Box 32" hidden="1">
              <a:extLst>
                <a:ext uri="{63B3BB69-23CF-44E3-9099-C40C66FF867C}">
                  <a14:compatExt spid="_x0000_s21789728"/>
                </a:ext>
                <a:ext uri="{FF2B5EF4-FFF2-40B4-BE49-F238E27FC236}">
                  <a16:creationId xmlns:a16="http://schemas.microsoft.com/office/drawing/2014/main" id="{00000000-0008-0000-4500-000020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789729" name="Check Box 33" hidden="1">
              <a:extLst>
                <a:ext uri="{63B3BB69-23CF-44E3-9099-C40C66FF867C}">
                  <a14:compatExt spid="_x0000_s21789729"/>
                </a:ext>
                <a:ext uri="{FF2B5EF4-FFF2-40B4-BE49-F238E27FC236}">
                  <a16:creationId xmlns:a16="http://schemas.microsoft.com/office/drawing/2014/main" id="{00000000-0008-0000-4500-000021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789730" name="Check Box 34" hidden="1">
              <a:extLst>
                <a:ext uri="{63B3BB69-23CF-44E3-9099-C40C66FF867C}">
                  <a14:compatExt spid="_x0000_s21789730"/>
                </a:ext>
                <a:ext uri="{FF2B5EF4-FFF2-40B4-BE49-F238E27FC236}">
                  <a16:creationId xmlns:a16="http://schemas.microsoft.com/office/drawing/2014/main" id="{00000000-0008-0000-4500-000022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789731" name="Check Box 35" hidden="1">
              <a:extLst>
                <a:ext uri="{63B3BB69-23CF-44E3-9099-C40C66FF867C}">
                  <a14:compatExt spid="_x0000_s21789731"/>
                </a:ext>
                <a:ext uri="{FF2B5EF4-FFF2-40B4-BE49-F238E27FC236}">
                  <a16:creationId xmlns:a16="http://schemas.microsoft.com/office/drawing/2014/main" id="{00000000-0008-0000-4500-000023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789732" name="Check Box 36" hidden="1">
              <a:extLst>
                <a:ext uri="{63B3BB69-23CF-44E3-9099-C40C66FF867C}">
                  <a14:compatExt spid="_x0000_s21789732"/>
                </a:ext>
                <a:ext uri="{FF2B5EF4-FFF2-40B4-BE49-F238E27FC236}">
                  <a16:creationId xmlns:a16="http://schemas.microsoft.com/office/drawing/2014/main" id="{00000000-0008-0000-4500-000024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789733" name="Check Box 37" hidden="1">
              <a:extLst>
                <a:ext uri="{63B3BB69-23CF-44E3-9099-C40C66FF867C}">
                  <a14:compatExt spid="_x0000_s21789733"/>
                </a:ext>
                <a:ext uri="{FF2B5EF4-FFF2-40B4-BE49-F238E27FC236}">
                  <a16:creationId xmlns:a16="http://schemas.microsoft.com/office/drawing/2014/main" id="{00000000-0008-0000-4500-0000257C4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F71FCDC-A25F-4F12-9622-023202C1BEF3}"/>
            </a:ext>
          </a:extLst>
        </xdr:cNvPr>
        <xdr:cNvSpPr txBox="1"/>
      </xdr:nvSpPr>
      <xdr:spPr>
        <a:xfrm>
          <a:off x="28574" y="2019300"/>
          <a:ext cx="5715001" cy="161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6197469-B54D-4C61-8E35-BDD7EAA80F18}"/>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490689" name="Check Box 1" hidden="1">
              <a:extLst>
                <a:ext uri="{63B3BB69-23CF-44E3-9099-C40C66FF867C}">
                  <a14:compatExt spid="_x0000_s21490689"/>
                </a:ext>
                <a:ext uri="{FF2B5EF4-FFF2-40B4-BE49-F238E27FC236}">
                  <a16:creationId xmlns:a16="http://schemas.microsoft.com/office/drawing/2014/main" id="{00000000-0008-0000-4600-000001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490690" name="Check Box 2" hidden="1">
              <a:extLst>
                <a:ext uri="{63B3BB69-23CF-44E3-9099-C40C66FF867C}">
                  <a14:compatExt spid="_x0000_s21490690"/>
                </a:ext>
                <a:ext uri="{FF2B5EF4-FFF2-40B4-BE49-F238E27FC236}">
                  <a16:creationId xmlns:a16="http://schemas.microsoft.com/office/drawing/2014/main" id="{00000000-0008-0000-4600-000002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490691" name="Check Box 3" hidden="1">
              <a:extLst>
                <a:ext uri="{63B3BB69-23CF-44E3-9099-C40C66FF867C}">
                  <a14:compatExt spid="_x0000_s21490691"/>
                </a:ext>
                <a:ext uri="{FF2B5EF4-FFF2-40B4-BE49-F238E27FC236}">
                  <a16:creationId xmlns:a16="http://schemas.microsoft.com/office/drawing/2014/main" id="{00000000-0008-0000-4600-000003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490692" name="Check Box 4" hidden="1">
              <a:extLst>
                <a:ext uri="{63B3BB69-23CF-44E3-9099-C40C66FF867C}">
                  <a14:compatExt spid="_x0000_s21490692"/>
                </a:ext>
                <a:ext uri="{FF2B5EF4-FFF2-40B4-BE49-F238E27FC236}">
                  <a16:creationId xmlns:a16="http://schemas.microsoft.com/office/drawing/2014/main" id="{00000000-0008-0000-4600-000004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490693" name="Check Box 5" hidden="1">
              <a:extLst>
                <a:ext uri="{63B3BB69-23CF-44E3-9099-C40C66FF867C}">
                  <a14:compatExt spid="_x0000_s21490693"/>
                </a:ext>
                <a:ext uri="{FF2B5EF4-FFF2-40B4-BE49-F238E27FC236}">
                  <a16:creationId xmlns:a16="http://schemas.microsoft.com/office/drawing/2014/main" id="{00000000-0008-0000-4600-000005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490694" name="Check Box 6" hidden="1">
              <a:extLst>
                <a:ext uri="{63B3BB69-23CF-44E3-9099-C40C66FF867C}">
                  <a14:compatExt spid="_x0000_s21490694"/>
                </a:ext>
                <a:ext uri="{FF2B5EF4-FFF2-40B4-BE49-F238E27FC236}">
                  <a16:creationId xmlns:a16="http://schemas.microsoft.com/office/drawing/2014/main" id="{00000000-0008-0000-4600-000006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490695" name="Check Box 7" hidden="1">
              <a:extLst>
                <a:ext uri="{63B3BB69-23CF-44E3-9099-C40C66FF867C}">
                  <a14:compatExt spid="_x0000_s21490695"/>
                </a:ext>
                <a:ext uri="{FF2B5EF4-FFF2-40B4-BE49-F238E27FC236}">
                  <a16:creationId xmlns:a16="http://schemas.microsoft.com/office/drawing/2014/main" id="{00000000-0008-0000-4600-000007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490696" name="Button 8" hidden="1">
              <a:extLst>
                <a:ext uri="{63B3BB69-23CF-44E3-9099-C40C66FF867C}">
                  <a14:compatExt spid="_x0000_s21490696"/>
                </a:ext>
                <a:ext uri="{FF2B5EF4-FFF2-40B4-BE49-F238E27FC236}">
                  <a16:creationId xmlns:a16="http://schemas.microsoft.com/office/drawing/2014/main" id="{00000000-0008-0000-4600-000008EC4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490697" name="Button 9" hidden="1">
              <a:extLst>
                <a:ext uri="{63B3BB69-23CF-44E3-9099-C40C66FF867C}">
                  <a14:compatExt spid="_x0000_s21490697"/>
                </a:ext>
                <a:ext uri="{FF2B5EF4-FFF2-40B4-BE49-F238E27FC236}">
                  <a16:creationId xmlns:a16="http://schemas.microsoft.com/office/drawing/2014/main" id="{00000000-0008-0000-4600-000009EC4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490698" name="Check Box 10" hidden="1">
              <a:extLst>
                <a:ext uri="{63B3BB69-23CF-44E3-9099-C40C66FF867C}">
                  <a14:compatExt spid="_x0000_s21490698"/>
                </a:ext>
                <a:ext uri="{FF2B5EF4-FFF2-40B4-BE49-F238E27FC236}">
                  <a16:creationId xmlns:a16="http://schemas.microsoft.com/office/drawing/2014/main" id="{00000000-0008-0000-4600-00000A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490699" name="Button 11" hidden="1">
              <a:extLst>
                <a:ext uri="{63B3BB69-23CF-44E3-9099-C40C66FF867C}">
                  <a14:compatExt spid="_x0000_s21490699"/>
                </a:ext>
                <a:ext uri="{FF2B5EF4-FFF2-40B4-BE49-F238E27FC236}">
                  <a16:creationId xmlns:a16="http://schemas.microsoft.com/office/drawing/2014/main" id="{00000000-0008-0000-4600-00000B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490700" name="Button 12" hidden="1">
              <a:extLst>
                <a:ext uri="{63B3BB69-23CF-44E3-9099-C40C66FF867C}">
                  <a14:compatExt spid="_x0000_s21490700"/>
                </a:ext>
                <a:ext uri="{FF2B5EF4-FFF2-40B4-BE49-F238E27FC236}">
                  <a16:creationId xmlns:a16="http://schemas.microsoft.com/office/drawing/2014/main" id="{00000000-0008-0000-4600-00000C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490701" name="Button 13" hidden="1">
              <a:extLst>
                <a:ext uri="{63B3BB69-23CF-44E3-9099-C40C66FF867C}">
                  <a14:compatExt spid="_x0000_s21490701"/>
                </a:ext>
                <a:ext uri="{FF2B5EF4-FFF2-40B4-BE49-F238E27FC236}">
                  <a16:creationId xmlns:a16="http://schemas.microsoft.com/office/drawing/2014/main" id="{00000000-0008-0000-4600-00000D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490702" name="Button 14" hidden="1">
              <a:extLst>
                <a:ext uri="{63B3BB69-23CF-44E3-9099-C40C66FF867C}">
                  <a14:compatExt spid="_x0000_s21490702"/>
                </a:ext>
                <a:ext uri="{FF2B5EF4-FFF2-40B4-BE49-F238E27FC236}">
                  <a16:creationId xmlns:a16="http://schemas.microsoft.com/office/drawing/2014/main" id="{00000000-0008-0000-4600-00000E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490703" name="Check Box 15" hidden="1">
              <a:extLst>
                <a:ext uri="{63B3BB69-23CF-44E3-9099-C40C66FF867C}">
                  <a14:compatExt spid="_x0000_s21490703"/>
                </a:ext>
                <a:ext uri="{FF2B5EF4-FFF2-40B4-BE49-F238E27FC236}">
                  <a16:creationId xmlns:a16="http://schemas.microsoft.com/office/drawing/2014/main" id="{00000000-0008-0000-4600-00000F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490704" name="Check Box 16" hidden="1">
              <a:extLst>
                <a:ext uri="{63B3BB69-23CF-44E3-9099-C40C66FF867C}">
                  <a14:compatExt spid="_x0000_s21490704"/>
                </a:ext>
                <a:ext uri="{FF2B5EF4-FFF2-40B4-BE49-F238E27FC236}">
                  <a16:creationId xmlns:a16="http://schemas.microsoft.com/office/drawing/2014/main" id="{00000000-0008-0000-4600-000010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490705" name="Check Box 17" hidden="1">
              <a:extLst>
                <a:ext uri="{63B3BB69-23CF-44E3-9099-C40C66FF867C}">
                  <a14:compatExt spid="_x0000_s21490705"/>
                </a:ext>
                <a:ext uri="{FF2B5EF4-FFF2-40B4-BE49-F238E27FC236}">
                  <a16:creationId xmlns:a16="http://schemas.microsoft.com/office/drawing/2014/main" id="{00000000-0008-0000-4600-000011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490706" name="Check Box 18" hidden="1">
              <a:extLst>
                <a:ext uri="{63B3BB69-23CF-44E3-9099-C40C66FF867C}">
                  <a14:compatExt spid="_x0000_s21490706"/>
                </a:ext>
                <a:ext uri="{FF2B5EF4-FFF2-40B4-BE49-F238E27FC236}">
                  <a16:creationId xmlns:a16="http://schemas.microsoft.com/office/drawing/2014/main" id="{00000000-0008-0000-4600-000012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490707" name="Check Box 19" hidden="1">
              <a:extLst>
                <a:ext uri="{63B3BB69-23CF-44E3-9099-C40C66FF867C}">
                  <a14:compatExt spid="_x0000_s21490707"/>
                </a:ext>
                <a:ext uri="{FF2B5EF4-FFF2-40B4-BE49-F238E27FC236}">
                  <a16:creationId xmlns:a16="http://schemas.microsoft.com/office/drawing/2014/main" id="{00000000-0008-0000-4600-000013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490708" name="Check Box 20" hidden="1">
              <a:extLst>
                <a:ext uri="{63B3BB69-23CF-44E3-9099-C40C66FF867C}">
                  <a14:compatExt spid="_x0000_s21490708"/>
                </a:ext>
                <a:ext uri="{FF2B5EF4-FFF2-40B4-BE49-F238E27FC236}">
                  <a16:creationId xmlns:a16="http://schemas.microsoft.com/office/drawing/2014/main" id="{00000000-0008-0000-4600-000014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490709" name="Check Box 21" hidden="1">
              <a:extLst>
                <a:ext uri="{63B3BB69-23CF-44E3-9099-C40C66FF867C}">
                  <a14:compatExt spid="_x0000_s21490709"/>
                </a:ext>
                <a:ext uri="{FF2B5EF4-FFF2-40B4-BE49-F238E27FC236}">
                  <a16:creationId xmlns:a16="http://schemas.microsoft.com/office/drawing/2014/main" id="{00000000-0008-0000-4600-000015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490710" name="Check Box 22" hidden="1">
              <a:extLst>
                <a:ext uri="{63B3BB69-23CF-44E3-9099-C40C66FF867C}">
                  <a14:compatExt spid="_x0000_s21490710"/>
                </a:ext>
                <a:ext uri="{FF2B5EF4-FFF2-40B4-BE49-F238E27FC236}">
                  <a16:creationId xmlns:a16="http://schemas.microsoft.com/office/drawing/2014/main" id="{00000000-0008-0000-4600-000016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490711" name="Check Box 23" hidden="1">
              <a:extLst>
                <a:ext uri="{63B3BB69-23CF-44E3-9099-C40C66FF867C}">
                  <a14:compatExt spid="_x0000_s21490711"/>
                </a:ext>
                <a:ext uri="{FF2B5EF4-FFF2-40B4-BE49-F238E27FC236}">
                  <a16:creationId xmlns:a16="http://schemas.microsoft.com/office/drawing/2014/main" id="{00000000-0008-0000-4600-000017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490712" name="Check Box 24" hidden="1">
              <a:extLst>
                <a:ext uri="{63B3BB69-23CF-44E3-9099-C40C66FF867C}">
                  <a14:compatExt spid="_x0000_s21490712"/>
                </a:ext>
                <a:ext uri="{FF2B5EF4-FFF2-40B4-BE49-F238E27FC236}">
                  <a16:creationId xmlns:a16="http://schemas.microsoft.com/office/drawing/2014/main" id="{00000000-0008-0000-4600-000018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490713" name="Check Box 25" hidden="1">
              <a:extLst>
                <a:ext uri="{63B3BB69-23CF-44E3-9099-C40C66FF867C}">
                  <a14:compatExt spid="_x0000_s21490713"/>
                </a:ext>
                <a:ext uri="{FF2B5EF4-FFF2-40B4-BE49-F238E27FC236}">
                  <a16:creationId xmlns:a16="http://schemas.microsoft.com/office/drawing/2014/main" id="{00000000-0008-0000-4600-000019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490714" name="Check Box 26" hidden="1">
              <a:extLst>
                <a:ext uri="{63B3BB69-23CF-44E3-9099-C40C66FF867C}">
                  <a14:compatExt spid="_x0000_s21490714"/>
                </a:ext>
                <a:ext uri="{FF2B5EF4-FFF2-40B4-BE49-F238E27FC236}">
                  <a16:creationId xmlns:a16="http://schemas.microsoft.com/office/drawing/2014/main" id="{00000000-0008-0000-4600-00001A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490715" name="Check Box 27" hidden="1">
              <a:extLst>
                <a:ext uri="{63B3BB69-23CF-44E3-9099-C40C66FF867C}">
                  <a14:compatExt spid="_x0000_s21490715"/>
                </a:ext>
                <a:ext uri="{FF2B5EF4-FFF2-40B4-BE49-F238E27FC236}">
                  <a16:creationId xmlns:a16="http://schemas.microsoft.com/office/drawing/2014/main" id="{00000000-0008-0000-4600-00001B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490716" name="Button 28" hidden="1">
              <a:extLst>
                <a:ext uri="{63B3BB69-23CF-44E3-9099-C40C66FF867C}">
                  <a14:compatExt spid="_x0000_s21490716"/>
                </a:ext>
                <a:ext uri="{FF2B5EF4-FFF2-40B4-BE49-F238E27FC236}">
                  <a16:creationId xmlns:a16="http://schemas.microsoft.com/office/drawing/2014/main" id="{00000000-0008-0000-4600-00001C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490717" name="Button 29" hidden="1">
              <a:extLst>
                <a:ext uri="{63B3BB69-23CF-44E3-9099-C40C66FF867C}">
                  <a14:compatExt spid="_x0000_s21490717"/>
                </a:ext>
                <a:ext uri="{FF2B5EF4-FFF2-40B4-BE49-F238E27FC236}">
                  <a16:creationId xmlns:a16="http://schemas.microsoft.com/office/drawing/2014/main" id="{00000000-0008-0000-4600-00001DEC4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490718" name="Check Box 30" hidden="1">
              <a:extLst>
                <a:ext uri="{63B3BB69-23CF-44E3-9099-C40C66FF867C}">
                  <a14:compatExt spid="_x0000_s21490718"/>
                </a:ext>
                <a:ext uri="{FF2B5EF4-FFF2-40B4-BE49-F238E27FC236}">
                  <a16:creationId xmlns:a16="http://schemas.microsoft.com/office/drawing/2014/main" id="{00000000-0008-0000-4600-00001E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490719" name="Check Box 31" hidden="1">
              <a:extLst>
                <a:ext uri="{63B3BB69-23CF-44E3-9099-C40C66FF867C}">
                  <a14:compatExt spid="_x0000_s21490719"/>
                </a:ext>
                <a:ext uri="{FF2B5EF4-FFF2-40B4-BE49-F238E27FC236}">
                  <a16:creationId xmlns:a16="http://schemas.microsoft.com/office/drawing/2014/main" id="{00000000-0008-0000-4600-00001F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490720" name="Check Box 32" hidden="1">
              <a:extLst>
                <a:ext uri="{63B3BB69-23CF-44E3-9099-C40C66FF867C}">
                  <a14:compatExt spid="_x0000_s21490720"/>
                </a:ext>
                <a:ext uri="{FF2B5EF4-FFF2-40B4-BE49-F238E27FC236}">
                  <a16:creationId xmlns:a16="http://schemas.microsoft.com/office/drawing/2014/main" id="{00000000-0008-0000-4600-000020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490721" name="Check Box 33" hidden="1">
              <a:extLst>
                <a:ext uri="{63B3BB69-23CF-44E3-9099-C40C66FF867C}">
                  <a14:compatExt spid="_x0000_s21490721"/>
                </a:ext>
                <a:ext uri="{FF2B5EF4-FFF2-40B4-BE49-F238E27FC236}">
                  <a16:creationId xmlns:a16="http://schemas.microsoft.com/office/drawing/2014/main" id="{00000000-0008-0000-4600-000021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490722" name="Check Box 34" hidden="1">
              <a:extLst>
                <a:ext uri="{63B3BB69-23CF-44E3-9099-C40C66FF867C}">
                  <a14:compatExt spid="_x0000_s21490722"/>
                </a:ext>
                <a:ext uri="{FF2B5EF4-FFF2-40B4-BE49-F238E27FC236}">
                  <a16:creationId xmlns:a16="http://schemas.microsoft.com/office/drawing/2014/main" id="{00000000-0008-0000-4600-000022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490723" name="Check Box 35" hidden="1">
              <a:extLst>
                <a:ext uri="{63B3BB69-23CF-44E3-9099-C40C66FF867C}">
                  <a14:compatExt spid="_x0000_s21490723"/>
                </a:ext>
                <a:ext uri="{FF2B5EF4-FFF2-40B4-BE49-F238E27FC236}">
                  <a16:creationId xmlns:a16="http://schemas.microsoft.com/office/drawing/2014/main" id="{00000000-0008-0000-4600-000023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490724" name="Check Box 36" hidden="1">
              <a:extLst>
                <a:ext uri="{63B3BB69-23CF-44E3-9099-C40C66FF867C}">
                  <a14:compatExt spid="_x0000_s21490724"/>
                </a:ext>
                <a:ext uri="{FF2B5EF4-FFF2-40B4-BE49-F238E27FC236}">
                  <a16:creationId xmlns:a16="http://schemas.microsoft.com/office/drawing/2014/main" id="{00000000-0008-0000-4600-000024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490725" name="Check Box 37" hidden="1">
              <a:extLst>
                <a:ext uri="{63B3BB69-23CF-44E3-9099-C40C66FF867C}">
                  <a14:compatExt spid="_x0000_s21490725"/>
                </a:ext>
                <a:ext uri="{FF2B5EF4-FFF2-40B4-BE49-F238E27FC236}">
                  <a16:creationId xmlns:a16="http://schemas.microsoft.com/office/drawing/2014/main" id="{00000000-0008-0000-4600-000025EC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1DA612D5-71AF-4D7C-9213-4519104CF8DD}"/>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2CCEDEE-18B5-4816-B7BF-06439146C226}"/>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335041" name="Check Box 1" hidden="1">
              <a:extLst>
                <a:ext uri="{63B3BB69-23CF-44E3-9099-C40C66FF867C}">
                  <a14:compatExt spid="_x0000_s21335041"/>
                </a:ext>
                <a:ext uri="{FF2B5EF4-FFF2-40B4-BE49-F238E27FC236}">
                  <a16:creationId xmlns:a16="http://schemas.microsoft.com/office/drawing/2014/main" id="{00000000-0008-0000-4700-000001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335042" name="Check Box 2" hidden="1">
              <a:extLst>
                <a:ext uri="{63B3BB69-23CF-44E3-9099-C40C66FF867C}">
                  <a14:compatExt spid="_x0000_s21335042"/>
                </a:ext>
                <a:ext uri="{FF2B5EF4-FFF2-40B4-BE49-F238E27FC236}">
                  <a16:creationId xmlns:a16="http://schemas.microsoft.com/office/drawing/2014/main" id="{00000000-0008-0000-4700-000002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335043" name="Check Box 3" hidden="1">
              <a:extLst>
                <a:ext uri="{63B3BB69-23CF-44E3-9099-C40C66FF867C}">
                  <a14:compatExt spid="_x0000_s21335043"/>
                </a:ext>
                <a:ext uri="{FF2B5EF4-FFF2-40B4-BE49-F238E27FC236}">
                  <a16:creationId xmlns:a16="http://schemas.microsoft.com/office/drawing/2014/main" id="{00000000-0008-0000-4700-000003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335044" name="Check Box 4" hidden="1">
              <a:extLst>
                <a:ext uri="{63B3BB69-23CF-44E3-9099-C40C66FF867C}">
                  <a14:compatExt spid="_x0000_s21335044"/>
                </a:ext>
                <a:ext uri="{FF2B5EF4-FFF2-40B4-BE49-F238E27FC236}">
                  <a16:creationId xmlns:a16="http://schemas.microsoft.com/office/drawing/2014/main" id="{00000000-0008-0000-4700-000004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335045" name="Check Box 5" hidden="1">
              <a:extLst>
                <a:ext uri="{63B3BB69-23CF-44E3-9099-C40C66FF867C}">
                  <a14:compatExt spid="_x0000_s21335045"/>
                </a:ext>
                <a:ext uri="{FF2B5EF4-FFF2-40B4-BE49-F238E27FC236}">
                  <a16:creationId xmlns:a16="http://schemas.microsoft.com/office/drawing/2014/main" id="{00000000-0008-0000-4700-000005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335046" name="Check Box 6" hidden="1">
              <a:extLst>
                <a:ext uri="{63B3BB69-23CF-44E3-9099-C40C66FF867C}">
                  <a14:compatExt spid="_x0000_s21335046"/>
                </a:ext>
                <a:ext uri="{FF2B5EF4-FFF2-40B4-BE49-F238E27FC236}">
                  <a16:creationId xmlns:a16="http://schemas.microsoft.com/office/drawing/2014/main" id="{00000000-0008-0000-4700-000006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335047" name="Check Box 7" hidden="1">
              <a:extLst>
                <a:ext uri="{63B3BB69-23CF-44E3-9099-C40C66FF867C}">
                  <a14:compatExt spid="_x0000_s21335047"/>
                </a:ext>
                <a:ext uri="{FF2B5EF4-FFF2-40B4-BE49-F238E27FC236}">
                  <a16:creationId xmlns:a16="http://schemas.microsoft.com/office/drawing/2014/main" id="{00000000-0008-0000-4700-000007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335048" name="Button 8" hidden="1">
              <a:extLst>
                <a:ext uri="{63B3BB69-23CF-44E3-9099-C40C66FF867C}">
                  <a14:compatExt spid="_x0000_s21335048"/>
                </a:ext>
                <a:ext uri="{FF2B5EF4-FFF2-40B4-BE49-F238E27FC236}">
                  <a16:creationId xmlns:a16="http://schemas.microsoft.com/office/drawing/2014/main" id="{00000000-0008-0000-4700-0000088C4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335049" name="Button 9" hidden="1">
              <a:extLst>
                <a:ext uri="{63B3BB69-23CF-44E3-9099-C40C66FF867C}">
                  <a14:compatExt spid="_x0000_s21335049"/>
                </a:ext>
                <a:ext uri="{FF2B5EF4-FFF2-40B4-BE49-F238E27FC236}">
                  <a16:creationId xmlns:a16="http://schemas.microsoft.com/office/drawing/2014/main" id="{00000000-0008-0000-4700-0000098C4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335050" name="Check Box 10" hidden="1">
              <a:extLst>
                <a:ext uri="{63B3BB69-23CF-44E3-9099-C40C66FF867C}">
                  <a14:compatExt spid="_x0000_s21335050"/>
                </a:ext>
                <a:ext uri="{FF2B5EF4-FFF2-40B4-BE49-F238E27FC236}">
                  <a16:creationId xmlns:a16="http://schemas.microsoft.com/office/drawing/2014/main" id="{00000000-0008-0000-4700-00000A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335051" name="Button 11" hidden="1">
              <a:extLst>
                <a:ext uri="{63B3BB69-23CF-44E3-9099-C40C66FF867C}">
                  <a14:compatExt spid="_x0000_s21335051"/>
                </a:ext>
                <a:ext uri="{FF2B5EF4-FFF2-40B4-BE49-F238E27FC236}">
                  <a16:creationId xmlns:a16="http://schemas.microsoft.com/office/drawing/2014/main" id="{00000000-0008-0000-4700-00000B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335052" name="Button 12" hidden="1">
              <a:extLst>
                <a:ext uri="{63B3BB69-23CF-44E3-9099-C40C66FF867C}">
                  <a14:compatExt spid="_x0000_s21335052"/>
                </a:ext>
                <a:ext uri="{FF2B5EF4-FFF2-40B4-BE49-F238E27FC236}">
                  <a16:creationId xmlns:a16="http://schemas.microsoft.com/office/drawing/2014/main" id="{00000000-0008-0000-4700-00000C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335053" name="Button 13" hidden="1">
              <a:extLst>
                <a:ext uri="{63B3BB69-23CF-44E3-9099-C40C66FF867C}">
                  <a14:compatExt spid="_x0000_s21335053"/>
                </a:ext>
                <a:ext uri="{FF2B5EF4-FFF2-40B4-BE49-F238E27FC236}">
                  <a16:creationId xmlns:a16="http://schemas.microsoft.com/office/drawing/2014/main" id="{00000000-0008-0000-4700-00000D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335054" name="Button 14" hidden="1">
              <a:extLst>
                <a:ext uri="{63B3BB69-23CF-44E3-9099-C40C66FF867C}">
                  <a14:compatExt spid="_x0000_s21335054"/>
                </a:ext>
                <a:ext uri="{FF2B5EF4-FFF2-40B4-BE49-F238E27FC236}">
                  <a16:creationId xmlns:a16="http://schemas.microsoft.com/office/drawing/2014/main" id="{00000000-0008-0000-4700-00000E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335055" name="Check Box 15" hidden="1">
              <a:extLst>
                <a:ext uri="{63B3BB69-23CF-44E3-9099-C40C66FF867C}">
                  <a14:compatExt spid="_x0000_s21335055"/>
                </a:ext>
                <a:ext uri="{FF2B5EF4-FFF2-40B4-BE49-F238E27FC236}">
                  <a16:creationId xmlns:a16="http://schemas.microsoft.com/office/drawing/2014/main" id="{00000000-0008-0000-4700-00000F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335056" name="Check Box 16" hidden="1">
              <a:extLst>
                <a:ext uri="{63B3BB69-23CF-44E3-9099-C40C66FF867C}">
                  <a14:compatExt spid="_x0000_s21335056"/>
                </a:ext>
                <a:ext uri="{FF2B5EF4-FFF2-40B4-BE49-F238E27FC236}">
                  <a16:creationId xmlns:a16="http://schemas.microsoft.com/office/drawing/2014/main" id="{00000000-0008-0000-4700-000010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1335057" name="Check Box 17" hidden="1">
              <a:extLst>
                <a:ext uri="{63B3BB69-23CF-44E3-9099-C40C66FF867C}">
                  <a14:compatExt spid="_x0000_s21335057"/>
                </a:ext>
                <a:ext uri="{FF2B5EF4-FFF2-40B4-BE49-F238E27FC236}">
                  <a16:creationId xmlns:a16="http://schemas.microsoft.com/office/drawing/2014/main" id="{00000000-0008-0000-4700-000011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335058" name="Check Box 18" hidden="1">
              <a:extLst>
                <a:ext uri="{63B3BB69-23CF-44E3-9099-C40C66FF867C}">
                  <a14:compatExt spid="_x0000_s21335058"/>
                </a:ext>
                <a:ext uri="{FF2B5EF4-FFF2-40B4-BE49-F238E27FC236}">
                  <a16:creationId xmlns:a16="http://schemas.microsoft.com/office/drawing/2014/main" id="{00000000-0008-0000-4700-000012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335059" name="Check Box 19" hidden="1">
              <a:extLst>
                <a:ext uri="{63B3BB69-23CF-44E3-9099-C40C66FF867C}">
                  <a14:compatExt spid="_x0000_s21335059"/>
                </a:ext>
                <a:ext uri="{FF2B5EF4-FFF2-40B4-BE49-F238E27FC236}">
                  <a16:creationId xmlns:a16="http://schemas.microsoft.com/office/drawing/2014/main" id="{00000000-0008-0000-4700-000013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335060" name="Check Box 20" hidden="1">
              <a:extLst>
                <a:ext uri="{63B3BB69-23CF-44E3-9099-C40C66FF867C}">
                  <a14:compatExt spid="_x0000_s21335060"/>
                </a:ext>
                <a:ext uri="{FF2B5EF4-FFF2-40B4-BE49-F238E27FC236}">
                  <a16:creationId xmlns:a16="http://schemas.microsoft.com/office/drawing/2014/main" id="{00000000-0008-0000-4700-000014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1335061" name="Check Box 21" hidden="1">
              <a:extLst>
                <a:ext uri="{63B3BB69-23CF-44E3-9099-C40C66FF867C}">
                  <a14:compatExt spid="_x0000_s21335061"/>
                </a:ext>
                <a:ext uri="{FF2B5EF4-FFF2-40B4-BE49-F238E27FC236}">
                  <a16:creationId xmlns:a16="http://schemas.microsoft.com/office/drawing/2014/main" id="{00000000-0008-0000-4700-000015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1335062" name="Check Box 22" hidden="1">
              <a:extLst>
                <a:ext uri="{63B3BB69-23CF-44E3-9099-C40C66FF867C}">
                  <a14:compatExt spid="_x0000_s21335062"/>
                </a:ext>
                <a:ext uri="{FF2B5EF4-FFF2-40B4-BE49-F238E27FC236}">
                  <a16:creationId xmlns:a16="http://schemas.microsoft.com/office/drawing/2014/main" id="{00000000-0008-0000-4700-000016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335063" name="Check Box 23" hidden="1">
              <a:extLst>
                <a:ext uri="{63B3BB69-23CF-44E3-9099-C40C66FF867C}">
                  <a14:compatExt spid="_x0000_s21335063"/>
                </a:ext>
                <a:ext uri="{FF2B5EF4-FFF2-40B4-BE49-F238E27FC236}">
                  <a16:creationId xmlns:a16="http://schemas.microsoft.com/office/drawing/2014/main" id="{00000000-0008-0000-4700-000017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335064" name="Check Box 24" hidden="1">
              <a:extLst>
                <a:ext uri="{63B3BB69-23CF-44E3-9099-C40C66FF867C}">
                  <a14:compatExt spid="_x0000_s21335064"/>
                </a:ext>
                <a:ext uri="{FF2B5EF4-FFF2-40B4-BE49-F238E27FC236}">
                  <a16:creationId xmlns:a16="http://schemas.microsoft.com/office/drawing/2014/main" id="{00000000-0008-0000-4700-000018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335065" name="Check Box 25" hidden="1">
              <a:extLst>
                <a:ext uri="{63B3BB69-23CF-44E3-9099-C40C66FF867C}">
                  <a14:compatExt spid="_x0000_s21335065"/>
                </a:ext>
                <a:ext uri="{FF2B5EF4-FFF2-40B4-BE49-F238E27FC236}">
                  <a16:creationId xmlns:a16="http://schemas.microsoft.com/office/drawing/2014/main" id="{00000000-0008-0000-4700-000019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335066" name="Check Box 26" hidden="1">
              <a:extLst>
                <a:ext uri="{63B3BB69-23CF-44E3-9099-C40C66FF867C}">
                  <a14:compatExt spid="_x0000_s21335066"/>
                </a:ext>
                <a:ext uri="{FF2B5EF4-FFF2-40B4-BE49-F238E27FC236}">
                  <a16:creationId xmlns:a16="http://schemas.microsoft.com/office/drawing/2014/main" id="{00000000-0008-0000-4700-00001A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335067" name="Check Box 27" hidden="1">
              <a:extLst>
                <a:ext uri="{63B3BB69-23CF-44E3-9099-C40C66FF867C}">
                  <a14:compatExt spid="_x0000_s21335067"/>
                </a:ext>
                <a:ext uri="{FF2B5EF4-FFF2-40B4-BE49-F238E27FC236}">
                  <a16:creationId xmlns:a16="http://schemas.microsoft.com/office/drawing/2014/main" id="{00000000-0008-0000-4700-00001B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335068" name="Button 28" hidden="1">
              <a:extLst>
                <a:ext uri="{63B3BB69-23CF-44E3-9099-C40C66FF867C}">
                  <a14:compatExt spid="_x0000_s21335068"/>
                </a:ext>
                <a:ext uri="{FF2B5EF4-FFF2-40B4-BE49-F238E27FC236}">
                  <a16:creationId xmlns:a16="http://schemas.microsoft.com/office/drawing/2014/main" id="{00000000-0008-0000-4700-00001C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335069" name="Button 29" hidden="1">
              <a:extLst>
                <a:ext uri="{63B3BB69-23CF-44E3-9099-C40C66FF867C}">
                  <a14:compatExt spid="_x0000_s21335069"/>
                </a:ext>
                <a:ext uri="{FF2B5EF4-FFF2-40B4-BE49-F238E27FC236}">
                  <a16:creationId xmlns:a16="http://schemas.microsoft.com/office/drawing/2014/main" id="{00000000-0008-0000-4700-00001D8C4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335070" name="Check Box 30" hidden="1">
              <a:extLst>
                <a:ext uri="{63B3BB69-23CF-44E3-9099-C40C66FF867C}">
                  <a14:compatExt spid="_x0000_s21335070"/>
                </a:ext>
                <a:ext uri="{FF2B5EF4-FFF2-40B4-BE49-F238E27FC236}">
                  <a16:creationId xmlns:a16="http://schemas.microsoft.com/office/drawing/2014/main" id="{00000000-0008-0000-4700-00001E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335071" name="Check Box 31" hidden="1">
              <a:extLst>
                <a:ext uri="{63B3BB69-23CF-44E3-9099-C40C66FF867C}">
                  <a14:compatExt spid="_x0000_s21335071"/>
                </a:ext>
                <a:ext uri="{FF2B5EF4-FFF2-40B4-BE49-F238E27FC236}">
                  <a16:creationId xmlns:a16="http://schemas.microsoft.com/office/drawing/2014/main" id="{00000000-0008-0000-4700-00001F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335072" name="Check Box 32" hidden="1">
              <a:extLst>
                <a:ext uri="{63B3BB69-23CF-44E3-9099-C40C66FF867C}">
                  <a14:compatExt spid="_x0000_s21335072"/>
                </a:ext>
                <a:ext uri="{FF2B5EF4-FFF2-40B4-BE49-F238E27FC236}">
                  <a16:creationId xmlns:a16="http://schemas.microsoft.com/office/drawing/2014/main" id="{00000000-0008-0000-4700-000020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335073" name="Check Box 33" hidden="1">
              <a:extLst>
                <a:ext uri="{63B3BB69-23CF-44E3-9099-C40C66FF867C}">
                  <a14:compatExt spid="_x0000_s21335073"/>
                </a:ext>
                <a:ext uri="{FF2B5EF4-FFF2-40B4-BE49-F238E27FC236}">
                  <a16:creationId xmlns:a16="http://schemas.microsoft.com/office/drawing/2014/main" id="{00000000-0008-0000-4700-000021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335074" name="Check Box 34" hidden="1">
              <a:extLst>
                <a:ext uri="{63B3BB69-23CF-44E3-9099-C40C66FF867C}">
                  <a14:compatExt spid="_x0000_s21335074"/>
                </a:ext>
                <a:ext uri="{FF2B5EF4-FFF2-40B4-BE49-F238E27FC236}">
                  <a16:creationId xmlns:a16="http://schemas.microsoft.com/office/drawing/2014/main" id="{00000000-0008-0000-4700-000022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335075" name="Check Box 35" hidden="1">
              <a:extLst>
                <a:ext uri="{63B3BB69-23CF-44E3-9099-C40C66FF867C}">
                  <a14:compatExt spid="_x0000_s21335075"/>
                </a:ext>
                <a:ext uri="{FF2B5EF4-FFF2-40B4-BE49-F238E27FC236}">
                  <a16:creationId xmlns:a16="http://schemas.microsoft.com/office/drawing/2014/main" id="{00000000-0008-0000-4700-000023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335076" name="Check Box 36" hidden="1">
              <a:extLst>
                <a:ext uri="{63B3BB69-23CF-44E3-9099-C40C66FF867C}">
                  <a14:compatExt spid="_x0000_s21335076"/>
                </a:ext>
                <a:ext uri="{FF2B5EF4-FFF2-40B4-BE49-F238E27FC236}">
                  <a16:creationId xmlns:a16="http://schemas.microsoft.com/office/drawing/2014/main" id="{00000000-0008-0000-4700-000024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335077" name="Check Box 37" hidden="1">
              <a:extLst>
                <a:ext uri="{63B3BB69-23CF-44E3-9099-C40C66FF867C}">
                  <a14:compatExt spid="_x0000_s21335077"/>
                </a:ext>
                <a:ext uri="{FF2B5EF4-FFF2-40B4-BE49-F238E27FC236}">
                  <a16:creationId xmlns:a16="http://schemas.microsoft.com/office/drawing/2014/main" id="{00000000-0008-0000-4700-0000258C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F5A869F-7CEF-47BB-A6AB-952428007A42}"/>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6199A34-CD0F-4FA1-BB2A-A48533A55CB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180417" name="Check Box 1" hidden="1">
              <a:extLst>
                <a:ext uri="{63B3BB69-23CF-44E3-9099-C40C66FF867C}">
                  <a14:compatExt spid="_x0000_s21180417"/>
                </a:ext>
                <a:ext uri="{FF2B5EF4-FFF2-40B4-BE49-F238E27FC236}">
                  <a16:creationId xmlns:a16="http://schemas.microsoft.com/office/drawing/2014/main" id="{00000000-0008-0000-4800-000001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180418" name="Check Box 2" hidden="1">
              <a:extLst>
                <a:ext uri="{63B3BB69-23CF-44E3-9099-C40C66FF867C}">
                  <a14:compatExt spid="_x0000_s21180418"/>
                </a:ext>
                <a:ext uri="{FF2B5EF4-FFF2-40B4-BE49-F238E27FC236}">
                  <a16:creationId xmlns:a16="http://schemas.microsoft.com/office/drawing/2014/main" id="{00000000-0008-0000-4800-000002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180419" name="Check Box 3" hidden="1">
              <a:extLst>
                <a:ext uri="{63B3BB69-23CF-44E3-9099-C40C66FF867C}">
                  <a14:compatExt spid="_x0000_s21180419"/>
                </a:ext>
                <a:ext uri="{FF2B5EF4-FFF2-40B4-BE49-F238E27FC236}">
                  <a16:creationId xmlns:a16="http://schemas.microsoft.com/office/drawing/2014/main" id="{00000000-0008-0000-4800-000003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180420" name="Check Box 4" hidden="1">
              <a:extLst>
                <a:ext uri="{63B3BB69-23CF-44E3-9099-C40C66FF867C}">
                  <a14:compatExt spid="_x0000_s21180420"/>
                </a:ext>
                <a:ext uri="{FF2B5EF4-FFF2-40B4-BE49-F238E27FC236}">
                  <a16:creationId xmlns:a16="http://schemas.microsoft.com/office/drawing/2014/main" id="{00000000-0008-0000-4800-000004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180421" name="Check Box 5" hidden="1">
              <a:extLst>
                <a:ext uri="{63B3BB69-23CF-44E3-9099-C40C66FF867C}">
                  <a14:compatExt spid="_x0000_s21180421"/>
                </a:ext>
                <a:ext uri="{FF2B5EF4-FFF2-40B4-BE49-F238E27FC236}">
                  <a16:creationId xmlns:a16="http://schemas.microsoft.com/office/drawing/2014/main" id="{00000000-0008-0000-4800-000005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180422" name="Check Box 6" hidden="1">
              <a:extLst>
                <a:ext uri="{63B3BB69-23CF-44E3-9099-C40C66FF867C}">
                  <a14:compatExt spid="_x0000_s21180422"/>
                </a:ext>
                <a:ext uri="{FF2B5EF4-FFF2-40B4-BE49-F238E27FC236}">
                  <a16:creationId xmlns:a16="http://schemas.microsoft.com/office/drawing/2014/main" id="{00000000-0008-0000-4800-000006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180423" name="Check Box 7" hidden="1">
              <a:extLst>
                <a:ext uri="{63B3BB69-23CF-44E3-9099-C40C66FF867C}">
                  <a14:compatExt spid="_x0000_s21180423"/>
                </a:ext>
                <a:ext uri="{FF2B5EF4-FFF2-40B4-BE49-F238E27FC236}">
                  <a16:creationId xmlns:a16="http://schemas.microsoft.com/office/drawing/2014/main" id="{00000000-0008-0000-4800-000007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180424" name="Button 8" hidden="1">
              <a:extLst>
                <a:ext uri="{63B3BB69-23CF-44E3-9099-C40C66FF867C}">
                  <a14:compatExt spid="_x0000_s21180424"/>
                </a:ext>
                <a:ext uri="{FF2B5EF4-FFF2-40B4-BE49-F238E27FC236}">
                  <a16:creationId xmlns:a16="http://schemas.microsoft.com/office/drawing/2014/main" id="{00000000-0008-0000-4800-000008304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180425" name="Button 9" hidden="1">
              <a:extLst>
                <a:ext uri="{63B3BB69-23CF-44E3-9099-C40C66FF867C}">
                  <a14:compatExt spid="_x0000_s21180425"/>
                </a:ext>
                <a:ext uri="{FF2B5EF4-FFF2-40B4-BE49-F238E27FC236}">
                  <a16:creationId xmlns:a16="http://schemas.microsoft.com/office/drawing/2014/main" id="{00000000-0008-0000-4800-000009304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180426" name="Check Box 10" hidden="1">
              <a:extLst>
                <a:ext uri="{63B3BB69-23CF-44E3-9099-C40C66FF867C}">
                  <a14:compatExt spid="_x0000_s21180426"/>
                </a:ext>
                <a:ext uri="{FF2B5EF4-FFF2-40B4-BE49-F238E27FC236}">
                  <a16:creationId xmlns:a16="http://schemas.microsoft.com/office/drawing/2014/main" id="{00000000-0008-0000-4800-00000A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180427" name="Button 11" hidden="1">
              <a:extLst>
                <a:ext uri="{63B3BB69-23CF-44E3-9099-C40C66FF867C}">
                  <a14:compatExt spid="_x0000_s21180427"/>
                </a:ext>
                <a:ext uri="{FF2B5EF4-FFF2-40B4-BE49-F238E27FC236}">
                  <a16:creationId xmlns:a16="http://schemas.microsoft.com/office/drawing/2014/main" id="{00000000-0008-0000-4800-00000B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180428" name="Button 12" hidden="1">
              <a:extLst>
                <a:ext uri="{63B3BB69-23CF-44E3-9099-C40C66FF867C}">
                  <a14:compatExt spid="_x0000_s21180428"/>
                </a:ext>
                <a:ext uri="{FF2B5EF4-FFF2-40B4-BE49-F238E27FC236}">
                  <a16:creationId xmlns:a16="http://schemas.microsoft.com/office/drawing/2014/main" id="{00000000-0008-0000-4800-00000C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180429" name="Button 13" hidden="1">
              <a:extLst>
                <a:ext uri="{63B3BB69-23CF-44E3-9099-C40C66FF867C}">
                  <a14:compatExt spid="_x0000_s21180429"/>
                </a:ext>
                <a:ext uri="{FF2B5EF4-FFF2-40B4-BE49-F238E27FC236}">
                  <a16:creationId xmlns:a16="http://schemas.microsoft.com/office/drawing/2014/main" id="{00000000-0008-0000-4800-00000D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180430" name="Button 14" hidden="1">
              <a:extLst>
                <a:ext uri="{63B3BB69-23CF-44E3-9099-C40C66FF867C}">
                  <a14:compatExt spid="_x0000_s21180430"/>
                </a:ext>
                <a:ext uri="{FF2B5EF4-FFF2-40B4-BE49-F238E27FC236}">
                  <a16:creationId xmlns:a16="http://schemas.microsoft.com/office/drawing/2014/main" id="{00000000-0008-0000-4800-00000E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180431" name="Check Box 15" hidden="1">
              <a:extLst>
                <a:ext uri="{63B3BB69-23CF-44E3-9099-C40C66FF867C}">
                  <a14:compatExt spid="_x0000_s21180431"/>
                </a:ext>
                <a:ext uri="{FF2B5EF4-FFF2-40B4-BE49-F238E27FC236}">
                  <a16:creationId xmlns:a16="http://schemas.microsoft.com/office/drawing/2014/main" id="{00000000-0008-0000-4800-00000F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180432" name="Check Box 16" hidden="1">
              <a:extLst>
                <a:ext uri="{63B3BB69-23CF-44E3-9099-C40C66FF867C}">
                  <a14:compatExt spid="_x0000_s21180432"/>
                </a:ext>
                <a:ext uri="{FF2B5EF4-FFF2-40B4-BE49-F238E27FC236}">
                  <a16:creationId xmlns:a16="http://schemas.microsoft.com/office/drawing/2014/main" id="{00000000-0008-0000-4800-000010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1180433" name="Check Box 17" hidden="1">
              <a:extLst>
                <a:ext uri="{63B3BB69-23CF-44E3-9099-C40C66FF867C}">
                  <a14:compatExt spid="_x0000_s21180433"/>
                </a:ext>
                <a:ext uri="{FF2B5EF4-FFF2-40B4-BE49-F238E27FC236}">
                  <a16:creationId xmlns:a16="http://schemas.microsoft.com/office/drawing/2014/main" id="{00000000-0008-0000-4800-000011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180434" name="Check Box 18" hidden="1">
              <a:extLst>
                <a:ext uri="{63B3BB69-23CF-44E3-9099-C40C66FF867C}">
                  <a14:compatExt spid="_x0000_s21180434"/>
                </a:ext>
                <a:ext uri="{FF2B5EF4-FFF2-40B4-BE49-F238E27FC236}">
                  <a16:creationId xmlns:a16="http://schemas.microsoft.com/office/drawing/2014/main" id="{00000000-0008-0000-4800-000012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180435" name="Check Box 19" hidden="1">
              <a:extLst>
                <a:ext uri="{63B3BB69-23CF-44E3-9099-C40C66FF867C}">
                  <a14:compatExt spid="_x0000_s21180435"/>
                </a:ext>
                <a:ext uri="{FF2B5EF4-FFF2-40B4-BE49-F238E27FC236}">
                  <a16:creationId xmlns:a16="http://schemas.microsoft.com/office/drawing/2014/main" id="{00000000-0008-0000-4800-000013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180436" name="Check Box 20" hidden="1">
              <a:extLst>
                <a:ext uri="{63B3BB69-23CF-44E3-9099-C40C66FF867C}">
                  <a14:compatExt spid="_x0000_s21180436"/>
                </a:ext>
                <a:ext uri="{FF2B5EF4-FFF2-40B4-BE49-F238E27FC236}">
                  <a16:creationId xmlns:a16="http://schemas.microsoft.com/office/drawing/2014/main" id="{00000000-0008-0000-4800-000014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1180437" name="Check Box 21" hidden="1">
              <a:extLst>
                <a:ext uri="{63B3BB69-23CF-44E3-9099-C40C66FF867C}">
                  <a14:compatExt spid="_x0000_s21180437"/>
                </a:ext>
                <a:ext uri="{FF2B5EF4-FFF2-40B4-BE49-F238E27FC236}">
                  <a16:creationId xmlns:a16="http://schemas.microsoft.com/office/drawing/2014/main" id="{00000000-0008-0000-4800-000015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1180438" name="Check Box 22" hidden="1">
              <a:extLst>
                <a:ext uri="{63B3BB69-23CF-44E3-9099-C40C66FF867C}">
                  <a14:compatExt spid="_x0000_s21180438"/>
                </a:ext>
                <a:ext uri="{FF2B5EF4-FFF2-40B4-BE49-F238E27FC236}">
                  <a16:creationId xmlns:a16="http://schemas.microsoft.com/office/drawing/2014/main" id="{00000000-0008-0000-4800-000016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180439" name="Check Box 23" hidden="1">
              <a:extLst>
                <a:ext uri="{63B3BB69-23CF-44E3-9099-C40C66FF867C}">
                  <a14:compatExt spid="_x0000_s21180439"/>
                </a:ext>
                <a:ext uri="{FF2B5EF4-FFF2-40B4-BE49-F238E27FC236}">
                  <a16:creationId xmlns:a16="http://schemas.microsoft.com/office/drawing/2014/main" id="{00000000-0008-0000-4800-000017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180440" name="Check Box 24" hidden="1">
              <a:extLst>
                <a:ext uri="{63B3BB69-23CF-44E3-9099-C40C66FF867C}">
                  <a14:compatExt spid="_x0000_s21180440"/>
                </a:ext>
                <a:ext uri="{FF2B5EF4-FFF2-40B4-BE49-F238E27FC236}">
                  <a16:creationId xmlns:a16="http://schemas.microsoft.com/office/drawing/2014/main" id="{00000000-0008-0000-4800-000018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180441" name="Check Box 25" hidden="1">
              <a:extLst>
                <a:ext uri="{63B3BB69-23CF-44E3-9099-C40C66FF867C}">
                  <a14:compatExt spid="_x0000_s21180441"/>
                </a:ext>
                <a:ext uri="{FF2B5EF4-FFF2-40B4-BE49-F238E27FC236}">
                  <a16:creationId xmlns:a16="http://schemas.microsoft.com/office/drawing/2014/main" id="{00000000-0008-0000-4800-000019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180442" name="Check Box 26" hidden="1">
              <a:extLst>
                <a:ext uri="{63B3BB69-23CF-44E3-9099-C40C66FF867C}">
                  <a14:compatExt spid="_x0000_s21180442"/>
                </a:ext>
                <a:ext uri="{FF2B5EF4-FFF2-40B4-BE49-F238E27FC236}">
                  <a16:creationId xmlns:a16="http://schemas.microsoft.com/office/drawing/2014/main" id="{00000000-0008-0000-4800-00001A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180443" name="Check Box 27" hidden="1">
              <a:extLst>
                <a:ext uri="{63B3BB69-23CF-44E3-9099-C40C66FF867C}">
                  <a14:compatExt spid="_x0000_s21180443"/>
                </a:ext>
                <a:ext uri="{FF2B5EF4-FFF2-40B4-BE49-F238E27FC236}">
                  <a16:creationId xmlns:a16="http://schemas.microsoft.com/office/drawing/2014/main" id="{00000000-0008-0000-4800-00001B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180444" name="Button 28" hidden="1">
              <a:extLst>
                <a:ext uri="{63B3BB69-23CF-44E3-9099-C40C66FF867C}">
                  <a14:compatExt spid="_x0000_s21180444"/>
                </a:ext>
                <a:ext uri="{FF2B5EF4-FFF2-40B4-BE49-F238E27FC236}">
                  <a16:creationId xmlns:a16="http://schemas.microsoft.com/office/drawing/2014/main" id="{00000000-0008-0000-4800-00001C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180445" name="Button 29" hidden="1">
              <a:extLst>
                <a:ext uri="{63B3BB69-23CF-44E3-9099-C40C66FF867C}">
                  <a14:compatExt spid="_x0000_s21180445"/>
                </a:ext>
                <a:ext uri="{FF2B5EF4-FFF2-40B4-BE49-F238E27FC236}">
                  <a16:creationId xmlns:a16="http://schemas.microsoft.com/office/drawing/2014/main" id="{00000000-0008-0000-4800-00001D304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180446" name="Check Box 30" hidden="1">
              <a:extLst>
                <a:ext uri="{63B3BB69-23CF-44E3-9099-C40C66FF867C}">
                  <a14:compatExt spid="_x0000_s21180446"/>
                </a:ext>
                <a:ext uri="{FF2B5EF4-FFF2-40B4-BE49-F238E27FC236}">
                  <a16:creationId xmlns:a16="http://schemas.microsoft.com/office/drawing/2014/main" id="{00000000-0008-0000-4800-00001E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180447" name="Check Box 31" hidden="1">
              <a:extLst>
                <a:ext uri="{63B3BB69-23CF-44E3-9099-C40C66FF867C}">
                  <a14:compatExt spid="_x0000_s21180447"/>
                </a:ext>
                <a:ext uri="{FF2B5EF4-FFF2-40B4-BE49-F238E27FC236}">
                  <a16:creationId xmlns:a16="http://schemas.microsoft.com/office/drawing/2014/main" id="{00000000-0008-0000-4800-00001F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180448" name="Check Box 32" hidden="1">
              <a:extLst>
                <a:ext uri="{63B3BB69-23CF-44E3-9099-C40C66FF867C}">
                  <a14:compatExt spid="_x0000_s21180448"/>
                </a:ext>
                <a:ext uri="{FF2B5EF4-FFF2-40B4-BE49-F238E27FC236}">
                  <a16:creationId xmlns:a16="http://schemas.microsoft.com/office/drawing/2014/main" id="{00000000-0008-0000-4800-000020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180449" name="Check Box 33" hidden="1">
              <a:extLst>
                <a:ext uri="{63B3BB69-23CF-44E3-9099-C40C66FF867C}">
                  <a14:compatExt spid="_x0000_s21180449"/>
                </a:ext>
                <a:ext uri="{FF2B5EF4-FFF2-40B4-BE49-F238E27FC236}">
                  <a16:creationId xmlns:a16="http://schemas.microsoft.com/office/drawing/2014/main" id="{00000000-0008-0000-4800-000021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180450" name="Check Box 34" hidden="1">
              <a:extLst>
                <a:ext uri="{63B3BB69-23CF-44E3-9099-C40C66FF867C}">
                  <a14:compatExt spid="_x0000_s21180450"/>
                </a:ext>
                <a:ext uri="{FF2B5EF4-FFF2-40B4-BE49-F238E27FC236}">
                  <a16:creationId xmlns:a16="http://schemas.microsoft.com/office/drawing/2014/main" id="{00000000-0008-0000-4800-000022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180451" name="Check Box 35" hidden="1">
              <a:extLst>
                <a:ext uri="{63B3BB69-23CF-44E3-9099-C40C66FF867C}">
                  <a14:compatExt spid="_x0000_s21180451"/>
                </a:ext>
                <a:ext uri="{FF2B5EF4-FFF2-40B4-BE49-F238E27FC236}">
                  <a16:creationId xmlns:a16="http://schemas.microsoft.com/office/drawing/2014/main" id="{00000000-0008-0000-4800-000023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180452" name="Check Box 36" hidden="1">
              <a:extLst>
                <a:ext uri="{63B3BB69-23CF-44E3-9099-C40C66FF867C}">
                  <a14:compatExt spid="_x0000_s21180452"/>
                </a:ext>
                <a:ext uri="{FF2B5EF4-FFF2-40B4-BE49-F238E27FC236}">
                  <a16:creationId xmlns:a16="http://schemas.microsoft.com/office/drawing/2014/main" id="{00000000-0008-0000-4800-000024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180453" name="Check Box 37" hidden="1">
              <a:extLst>
                <a:ext uri="{63B3BB69-23CF-44E3-9099-C40C66FF867C}">
                  <a14:compatExt spid="_x0000_s21180453"/>
                </a:ext>
                <a:ext uri="{FF2B5EF4-FFF2-40B4-BE49-F238E27FC236}">
                  <a16:creationId xmlns:a16="http://schemas.microsoft.com/office/drawing/2014/main" id="{00000000-0008-0000-4800-00002530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143BF28-EA3C-41C1-89E0-80F4D9D7D4BB}"/>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0031F19-3BFD-4B81-A1DC-B4E7DC36BDE6}"/>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037057" name="Check Box 1" hidden="1">
              <a:extLst>
                <a:ext uri="{63B3BB69-23CF-44E3-9099-C40C66FF867C}">
                  <a14:compatExt spid="_x0000_s21037057"/>
                </a:ext>
                <a:ext uri="{FF2B5EF4-FFF2-40B4-BE49-F238E27FC236}">
                  <a16:creationId xmlns:a16="http://schemas.microsoft.com/office/drawing/2014/main" id="{00000000-0008-0000-4900-000001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037058" name="Check Box 2" hidden="1">
              <a:extLst>
                <a:ext uri="{63B3BB69-23CF-44E3-9099-C40C66FF867C}">
                  <a14:compatExt spid="_x0000_s21037058"/>
                </a:ext>
                <a:ext uri="{FF2B5EF4-FFF2-40B4-BE49-F238E27FC236}">
                  <a16:creationId xmlns:a16="http://schemas.microsoft.com/office/drawing/2014/main" id="{00000000-0008-0000-4900-000002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037059" name="Check Box 3" hidden="1">
              <a:extLst>
                <a:ext uri="{63B3BB69-23CF-44E3-9099-C40C66FF867C}">
                  <a14:compatExt spid="_x0000_s21037059"/>
                </a:ext>
                <a:ext uri="{FF2B5EF4-FFF2-40B4-BE49-F238E27FC236}">
                  <a16:creationId xmlns:a16="http://schemas.microsoft.com/office/drawing/2014/main" id="{00000000-0008-0000-4900-000003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037060" name="Check Box 4" hidden="1">
              <a:extLst>
                <a:ext uri="{63B3BB69-23CF-44E3-9099-C40C66FF867C}">
                  <a14:compatExt spid="_x0000_s21037060"/>
                </a:ext>
                <a:ext uri="{FF2B5EF4-FFF2-40B4-BE49-F238E27FC236}">
                  <a16:creationId xmlns:a16="http://schemas.microsoft.com/office/drawing/2014/main" id="{00000000-0008-0000-4900-000004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037061" name="Check Box 5" hidden="1">
              <a:extLst>
                <a:ext uri="{63B3BB69-23CF-44E3-9099-C40C66FF867C}">
                  <a14:compatExt spid="_x0000_s21037061"/>
                </a:ext>
                <a:ext uri="{FF2B5EF4-FFF2-40B4-BE49-F238E27FC236}">
                  <a16:creationId xmlns:a16="http://schemas.microsoft.com/office/drawing/2014/main" id="{00000000-0008-0000-4900-000005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037062" name="Check Box 6" hidden="1">
              <a:extLst>
                <a:ext uri="{63B3BB69-23CF-44E3-9099-C40C66FF867C}">
                  <a14:compatExt spid="_x0000_s21037062"/>
                </a:ext>
                <a:ext uri="{FF2B5EF4-FFF2-40B4-BE49-F238E27FC236}">
                  <a16:creationId xmlns:a16="http://schemas.microsoft.com/office/drawing/2014/main" id="{00000000-0008-0000-4900-000006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037063" name="Check Box 7" hidden="1">
              <a:extLst>
                <a:ext uri="{63B3BB69-23CF-44E3-9099-C40C66FF867C}">
                  <a14:compatExt spid="_x0000_s21037063"/>
                </a:ext>
                <a:ext uri="{FF2B5EF4-FFF2-40B4-BE49-F238E27FC236}">
                  <a16:creationId xmlns:a16="http://schemas.microsoft.com/office/drawing/2014/main" id="{00000000-0008-0000-4900-000007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1037064" name="Button 8" hidden="1">
              <a:extLst>
                <a:ext uri="{63B3BB69-23CF-44E3-9099-C40C66FF867C}">
                  <a14:compatExt spid="_x0000_s21037064"/>
                </a:ext>
                <a:ext uri="{FF2B5EF4-FFF2-40B4-BE49-F238E27FC236}">
                  <a16:creationId xmlns:a16="http://schemas.microsoft.com/office/drawing/2014/main" id="{00000000-0008-0000-4900-00000800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037065" name="Button 9" hidden="1">
              <a:extLst>
                <a:ext uri="{63B3BB69-23CF-44E3-9099-C40C66FF867C}">
                  <a14:compatExt spid="_x0000_s21037065"/>
                </a:ext>
                <a:ext uri="{FF2B5EF4-FFF2-40B4-BE49-F238E27FC236}">
                  <a16:creationId xmlns:a16="http://schemas.microsoft.com/office/drawing/2014/main" id="{00000000-0008-0000-4900-00000900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037066" name="Check Box 10" hidden="1">
              <a:extLst>
                <a:ext uri="{63B3BB69-23CF-44E3-9099-C40C66FF867C}">
                  <a14:compatExt spid="_x0000_s21037066"/>
                </a:ext>
                <a:ext uri="{FF2B5EF4-FFF2-40B4-BE49-F238E27FC236}">
                  <a16:creationId xmlns:a16="http://schemas.microsoft.com/office/drawing/2014/main" id="{00000000-0008-0000-4900-00000A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037067" name="Button 11" hidden="1">
              <a:extLst>
                <a:ext uri="{63B3BB69-23CF-44E3-9099-C40C66FF867C}">
                  <a14:compatExt spid="_x0000_s21037067"/>
                </a:ext>
                <a:ext uri="{FF2B5EF4-FFF2-40B4-BE49-F238E27FC236}">
                  <a16:creationId xmlns:a16="http://schemas.microsoft.com/office/drawing/2014/main" id="{00000000-0008-0000-4900-00000B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037068" name="Button 12" hidden="1">
              <a:extLst>
                <a:ext uri="{63B3BB69-23CF-44E3-9099-C40C66FF867C}">
                  <a14:compatExt spid="_x0000_s21037068"/>
                </a:ext>
                <a:ext uri="{FF2B5EF4-FFF2-40B4-BE49-F238E27FC236}">
                  <a16:creationId xmlns:a16="http://schemas.microsoft.com/office/drawing/2014/main" id="{00000000-0008-0000-4900-00000C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037069" name="Button 13" hidden="1">
              <a:extLst>
                <a:ext uri="{63B3BB69-23CF-44E3-9099-C40C66FF867C}">
                  <a14:compatExt spid="_x0000_s21037069"/>
                </a:ext>
                <a:ext uri="{FF2B5EF4-FFF2-40B4-BE49-F238E27FC236}">
                  <a16:creationId xmlns:a16="http://schemas.microsoft.com/office/drawing/2014/main" id="{00000000-0008-0000-4900-00000D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037070" name="Button 14" hidden="1">
              <a:extLst>
                <a:ext uri="{63B3BB69-23CF-44E3-9099-C40C66FF867C}">
                  <a14:compatExt spid="_x0000_s21037070"/>
                </a:ext>
                <a:ext uri="{FF2B5EF4-FFF2-40B4-BE49-F238E27FC236}">
                  <a16:creationId xmlns:a16="http://schemas.microsoft.com/office/drawing/2014/main" id="{00000000-0008-0000-4900-00000E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037071" name="Check Box 15" hidden="1">
              <a:extLst>
                <a:ext uri="{63B3BB69-23CF-44E3-9099-C40C66FF867C}">
                  <a14:compatExt spid="_x0000_s21037071"/>
                </a:ext>
                <a:ext uri="{FF2B5EF4-FFF2-40B4-BE49-F238E27FC236}">
                  <a16:creationId xmlns:a16="http://schemas.microsoft.com/office/drawing/2014/main" id="{00000000-0008-0000-4900-00000F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037072" name="Check Box 16" hidden="1">
              <a:extLst>
                <a:ext uri="{63B3BB69-23CF-44E3-9099-C40C66FF867C}">
                  <a14:compatExt spid="_x0000_s21037072"/>
                </a:ext>
                <a:ext uri="{FF2B5EF4-FFF2-40B4-BE49-F238E27FC236}">
                  <a16:creationId xmlns:a16="http://schemas.microsoft.com/office/drawing/2014/main" id="{00000000-0008-0000-4900-000010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1037073" name="Check Box 17" hidden="1">
              <a:extLst>
                <a:ext uri="{63B3BB69-23CF-44E3-9099-C40C66FF867C}">
                  <a14:compatExt spid="_x0000_s21037073"/>
                </a:ext>
                <a:ext uri="{FF2B5EF4-FFF2-40B4-BE49-F238E27FC236}">
                  <a16:creationId xmlns:a16="http://schemas.microsoft.com/office/drawing/2014/main" id="{00000000-0008-0000-4900-000011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037074" name="Check Box 18" hidden="1">
              <a:extLst>
                <a:ext uri="{63B3BB69-23CF-44E3-9099-C40C66FF867C}">
                  <a14:compatExt spid="_x0000_s21037074"/>
                </a:ext>
                <a:ext uri="{FF2B5EF4-FFF2-40B4-BE49-F238E27FC236}">
                  <a16:creationId xmlns:a16="http://schemas.microsoft.com/office/drawing/2014/main" id="{00000000-0008-0000-4900-000012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037075" name="Check Box 19" hidden="1">
              <a:extLst>
                <a:ext uri="{63B3BB69-23CF-44E3-9099-C40C66FF867C}">
                  <a14:compatExt spid="_x0000_s21037075"/>
                </a:ext>
                <a:ext uri="{FF2B5EF4-FFF2-40B4-BE49-F238E27FC236}">
                  <a16:creationId xmlns:a16="http://schemas.microsoft.com/office/drawing/2014/main" id="{00000000-0008-0000-4900-000013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037076" name="Check Box 20" hidden="1">
              <a:extLst>
                <a:ext uri="{63B3BB69-23CF-44E3-9099-C40C66FF867C}">
                  <a14:compatExt spid="_x0000_s21037076"/>
                </a:ext>
                <a:ext uri="{FF2B5EF4-FFF2-40B4-BE49-F238E27FC236}">
                  <a16:creationId xmlns:a16="http://schemas.microsoft.com/office/drawing/2014/main" id="{00000000-0008-0000-4900-000014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1037077" name="Check Box 21" hidden="1">
              <a:extLst>
                <a:ext uri="{63B3BB69-23CF-44E3-9099-C40C66FF867C}">
                  <a14:compatExt spid="_x0000_s21037077"/>
                </a:ext>
                <a:ext uri="{FF2B5EF4-FFF2-40B4-BE49-F238E27FC236}">
                  <a16:creationId xmlns:a16="http://schemas.microsoft.com/office/drawing/2014/main" id="{00000000-0008-0000-4900-000015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1037078" name="Check Box 22" hidden="1">
              <a:extLst>
                <a:ext uri="{63B3BB69-23CF-44E3-9099-C40C66FF867C}">
                  <a14:compatExt spid="_x0000_s21037078"/>
                </a:ext>
                <a:ext uri="{FF2B5EF4-FFF2-40B4-BE49-F238E27FC236}">
                  <a16:creationId xmlns:a16="http://schemas.microsoft.com/office/drawing/2014/main" id="{00000000-0008-0000-4900-000016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037079" name="Check Box 23" hidden="1">
              <a:extLst>
                <a:ext uri="{63B3BB69-23CF-44E3-9099-C40C66FF867C}">
                  <a14:compatExt spid="_x0000_s21037079"/>
                </a:ext>
                <a:ext uri="{FF2B5EF4-FFF2-40B4-BE49-F238E27FC236}">
                  <a16:creationId xmlns:a16="http://schemas.microsoft.com/office/drawing/2014/main" id="{00000000-0008-0000-4900-000017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037080" name="Check Box 24" hidden="1">
              <a:extLst>
                <a:ext uri="{63B3BB69-23CF-44E3-9099-C40C66FF867C}">
                  <a14:compatExt spid="_x0000_s21037080"/>
                </a:ext>
                <a:ext uri="{FF2B5EF4-FFF2-40B4-BE49-F238E27FC236}">
                  <a16:creationId xmlns:a16="http://schemas.microsoft.com/office/drawing/2014/main" id="{00000000-0008-0000-4900-000018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037081" name="Check Box 25" hidden="1">
              <a:extLst>
                <a:ext uri="{63B3BB69-23CF-44E3-9099-C40C66FF867C}">
                  <a14:compatExt spid="_x0000_s21037081"/>
                </a:ext>
                <a:ext uri="{FF2B5EF4-FFF2-40B4-BE49-F238E27FC236}">
                  <a16:creationId xmlns:a16="http://schemas.microsoft.com/office/drawing/2014/main" id="{00000000-0008-0000-4900-000019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037082" name="Check Box 26" hidden="1">
              <a:extLst>
                <a:ext uri="{63B3BB69-23CF-44E3-9099-C40C66FF867C}">
                  <a14:compatExt spid="_x0000_s21037082"/>
                </a:ext>
                <a:ext uri="{FF2B5EF4-FFF2-40B4-BE49-F238E27FC236}">
                  <a16:creationId xmlns:a16="http://schemas.microsoft.com/office/drawing/2014/main" id="{00000000-0008-0000-4900-00001A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037083" name="Check Box 27" hidden="1">
              <a:extLst>
                <a:ext uri="{63B3BB69-23CF-44E3-9099-C40C66FF867C}">
                  <a14:compatExt spid="_x0000_s21037083"/>
                </a:ext>
                <a:ext uri="{FF2B5EF4-FFF2-40B4-BE49-F238E27FC236}">
                  <a16:creationId xmlns:a16="http://schemas.microsoft.com/office/drawing/2014/main" id="{00000000-0008-0000-4900-00001B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037084" name="Button 28" hidden="1">
              <a:extLst>
                <a:ext uri="{63B3BB69-23CF-44E3-9099-C40C66FF867C}">
                  <a14:compatExt spid="_x0000_s21037084"/>
                </a:ext>
                <a:ext uri="{FF2B5EF4-FFF2-40B4-BE49-F238E27FC236}">
                  <a16:creationId xmlns:a16="http://schemas.microsoft.com/office/drawing/2014/main" id="{00000000-0008-0000-4900-00001C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037085" name="Button 29" hidden="1">
              <a:extLst>
                <a:ext uri="{63B3BB69-23CF-44E3-9099-C40C66FF867C}">
                  <a14:compatExt spid="_x0000_s21037085"/>
                </a:ext>
                <a:ext uri="{FF2B5EF4-FFF2-40B4-BE49-F238E27FC236}">
                  <a16:creationId xmlns:a16="http://schemas.microsoft.com/office/drawing/2014/main" id="{00000000-0008-0000-4900-00001D004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1037086" name="Check Box 30" hidden="1">
              <a:extLst>
                <a:ext uri="{63B3BB69-23CF-44E3-9099-C40C66FF867C}">
                  <a14:compatExt spid="_x0000_s21037086"/>
                </a:ext>
                <a:ext uri="{FF2B5EF4-FFF2-40B4-BE49-F238E27FC236}">
                  <a16:creationId xmlns:a16="http://schemas.microsoft.com/office/drawing/2014/main" id="{00000000-0008-0000-4900-00001E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1037087" name="Check Box 31" hidden="1">
              <a:extLst>
                <a:ext uri="{63B3BB69-23CF-44E3-9099-C40C66FF867C}">
                  <a14:compatExt spid="_x0000_s21037087"/>
                </a:ext>
                <a:ext uri="{FF2B5EF4-FFF2-40B4-BE49-F238E27FC236}">
                  <a16:creationId xmlns:a16="http://schemas.microsoft.com/office/drawing/2014/main" id="{00000000-0008-0000-4900-00001F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1037088" name="Check Box 32" hidden="1">
              <a:extLst>
                <a:ext uri="{63B3BB69-23CF-44E3-9099-C40C66FF867C}">
                  <a14:compatExt spid="_x0000_s21037088"/>
                </a:ext>
                <a:ext uri="{FF2B5EF4-FFF2-40B4-BE49-F238E27FC236}">
                  <a16:creationId xmlns:a16="http://schemas.microsoft.com/office/drawing/2014/main" id="{00000000-0008-0000-4900-000020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1037089" name="Check Box 33" hidden="1">
              <a:extLst>
                <a:ext uri="{63B3BB69-23CF-44E3-9099-C40C66FF867C}">
                  <a14:compatExt spid="_x0000_s21037089"/>
                </a:ext>
                <a:ext uri="{FF2B5EF4-FFF2-40B4-BE49-F238E27FC236}">
                  <a16:creationId xmlns:a16="http://schemas.microsoft.com/office/drawing/2014/main" id="{00000000-0008-0000-4900-000021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1037090" name="Check Box 34" hidden="1">
              <a:extLst>
                <a:ext uri="{63B3BB69-23CF-44E3-9099-C40C66FF867C}">
                  <a14:compatExt spid="_x0000_s21037090"/>
                </a:ext>
                <a:ext uri="{FF2B5EF4-FFF2-40B4-BE49-F238E27FC236}">
                  <a16:creationId xmlns:a16="http://schemas.microsoft.com/office/drawing/2014/main" id="{00000000-0008-0000-4900-000022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1037091" name="Check Box 35" hidden="1">
              <a:extLst>
                <a:ext uri="{63B3BB69-23CF-44E3-9099-C40C66FF867C}">
                  <a14:compatExt spid="_x0000_s21037091"/>
                </a:ext>
                <a:ext uri="{FF2B5EF4-FFF2-40B4-BE49-F238E27FC236}">
                  <a16:creationId xmlns:a16="http://schemas.microsoft.com/office/drawing/2014/main" id="{00000000-0008-0000-4900-000023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1037092" name="Check Box 36" hidden="1">
              <a:extLst>
                <a:ext uri="{63B3BB69-23CF-44E3-9099-C40C66FF867C}">
                  <a14:compatExt spid="_x0000_s21037092"/>
                </a:ext>
                <a:ext uri="{FF2B5EF4-FFF2-40B4-BE49-F238E27FC236}">
                  <a16:creationId xmlns:a16="http://schemas.microsoft.com/office/drawing/2014/main" id="{00000000-0008-0000-4900-000024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1037093" name="Check Box 37" hidden="1">
              <a:extLst>
                <a:ext uri="{63B3BB69-23CF-44E3-9099-C40C66FF867C}">
                  <a14:compatExt spid="_x0000_s21037093"/>
                </a:ext>
                <a:ext uri="{FF2B5EF4-FFF2-40B4-BE49-F238E27FC236}">
                  <a16:creationId xmlns:a16="http://schemas.microsoft.com/office/drawing/2014/main" id="{00000000-0008-0000-4900-00002500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16C74A93-4262-481C-BF3C-127B5B9873D9}"/>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br>
            <a:rPr lang="en-AU" sz="1100"/>
          </a:br>
          <a:r>
            <a:rPr lang="en-AU" sz="1400" b="1">
              <a:solidFill>
                <a:srgbClr val="FF0000"/>
              </a:solidFill>
            </a:rPr>
            <a:t>ON APPLICATIONS</a:t>
          </a:r>
          <a:r>
            <a:rPr lang="en-AU" sz="1400" b="1" baseline="0">
              <a:solidFill>
                <a:srgbClr val="FF0000"/>
              </a:solidFill>
            </a:rPr>
            <a:t> NEVER MENTION CENTRAL VIC GARAGE DOORS.</a:t>
          </a:r>
          <a:br>
            <a:rPr lang="en-AU" sz="1400" b="1" baseline="0">
              <a:solidFill>
                <a:srgbClr val="FF0000"/>
              </a:solidFill>
            </a:rPr>
          </a:br>
          <a:r>
            <a:rPr lang="en-AU" sz="1400" b="1" baseline="0">
              <a:solidFill>
                <a:srgbClr val="FF0000"/>
              </a:solidFill>
            </a:rPr>
            <a:t>THIS IS A 10A DOMESTIC STRUCTURE NOT COMMERCIAL USE</a:t>
          </a:r>
          <a:endParaRPr lang="en-AU" sz="1100" b="1">
            <a:solidFill>
              <a:srgbClr val="FF0000"/>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EBAAD99D-BB29-4CAF-862D-83541A52B4D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750337" name="Check Box 1" hidden="1">
              <a:extLst>
                <a:ext uri="{63B3BB69-23CF-44E3-9099-C40C66FF867C}">
                  <a14:compatExt spid="_x0000_s20750337"/>
                </a:ext>
                <a:ext uri="{FF2B5EF4-FFF2-40B4-BE49-F238E27FC236}">
                  <a16:creationId xmlns:a16="http://schemas.microsoft.com/office/drawing/2014/main" id="{00000000-0008-0000-4A00-000001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750338" name="Check Box 2" hidden="1">
              <a:extLst>
                <a:ext uri="{63B3BB69-23CF-44E3-9099-C40C66FF867C}">
                  <a14:compatExt spid="_x0000_s20750338"/>
                </a:ext>
                <a:ext uri="{FF2B5EF4-FFF2-40B4-BE49-F238E27FC236}">
                  <a16:creationId xmlns:a16="http://schemas.microsoft.com/office/drawing/2014/main" id="{00000000-0008-0000-4A00-000002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750339" name="Check Box 3" hidden="1">
              <a:extLst>
                <a:ext uri="{63B3BB69-23CF-44E3-9099-C40C66FF867C}">
                  <a14:compatExt spid="_x0000_s20750339"/>
                </a:ext>
                <a:ext uri="{FF2B5EF4-FFF2-40B4-BE49-F238E27FC236}">
                  <a16:creationId xmlns:a16="http://schemas.microsoft.com/office/drawing/2014/main" id="{00000000-0008-0000-4A00-000003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750340" name="Check Box 4" hidden="1">
              <a:extLst>
                <a:ext uri="{63B3BB69-23CF-44E3-9099-C40C66FF867C}">
                  <a14:compatExt spid="_x0000_s20750340"/>
                </a:ext>
                <a:ext uri="{FF2B5EF4-FFF2-40B4-BE49-F238E27FC236}">
                  <a16:creationId xmlns:a16="http://schemas.microsoft.com/office/drawing/2014/main" id="{00000000-0008-0000-4A00-000004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750341" name="Check Box 5" hidden="1">
              <a:extLst>
                <a:ext uri="{63B3BB69-23CF-44E3-9099-C40C66FF867C}">
                  <a14:compatExt spid="_x0000_s20750341"/>
                </a:ext>
                <a:ext uri="{FF2B5EF4-FFF2-40B4-BE49-F238E27FC236}">
                  <a16:creationId xmlns:a16="http://schemas.microsoft.com/office/drawing/2014/main" id="{00000000-0008-0000-4A00-000005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750342" name="Check Box 6" hidden="1">
              <a:extLst>
                <a:ext uri="{63B3BB69-23CF-44E3-9099-C40C66FF867C}">
                  <a14:compatExt spid="_x0000_s20750342"/>
                </a:ext>
                <a:ext uri="{FF2B5EF4-FFF2-40B4-BE49-F238E27FC236}">
                  <a16:creationId xmlns:a16="http://schemas.microsoft.com/office/drawing/2014/main" id="{00000000-0008-0000-4A00-000006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750343" name="Check Box 7" hidden="1">
              <a:extLst>
                <a:ext uri="{63B3BB69-23CF-44E3-9099-C40C66FF867C}">
                  <a14:compatExt spid="_x0000_s20750343"/>
                </a:ext>
                <a:ext uri="{FF2B5EF4-FFF2-40B4-BE49-F238E27FC236}">
                  <a16:creationId xmlns:a16="http://schemas.microsoft.com/office/drawing/2014/main" id="{00000000-0008-0000-4A00-000007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750344" name="Button 8" hidden="1">
              <a:extLst>
                <a:ext uri="{63B3BB69-23CF-44E3-9099-C40C66FF867C}">
                  <a14:compatExt spid="_x0000_s20750344"/>
                </a:ext>
                <a:ext uri="{FF2B5EF4-FFF2-40B4-BE49-F238E27FC236}">
                  <a16:creationId xmlns:a16="http://schemas.microsoft.com/office/drawing/2014/main" id="{00000000-0008-0000-4A00-000008A0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750345" name="Button 9" hidden="1">
              <a:extLst>
                <a:ext uri="{63B3BB69-23CF-44E3-9099-C40C66FF867C}">
                  <a14:compatExt spid="_x0000_s20750345"/>
                </a:ext>
                <a:ext uri="{FF2B5EF4-FFF2-40B4-BE49-F238E27FC236}">
                  <a16:creationId xmlns:a16="http://schemas.microsoft.com/office/drawing/2014/main" id="{00000000-0008-0000-4A00-000009A0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750346" name="Check Box 10" hidden="1">
              <a:extLst>
                <a:ext uri="{63B3BB69-23CF-44E3-9099-C40C66FF867C}">
                  <a14:compatExt spid="_x0000_s20750346"/>
                </a:ext>
                <a:ext uri="{FF2B5EF4-FFF2-40B4-BE49-F238E27FC236}">
                  <a16:creationId xmlns:a16="http://schemas.microsoft.com/office/drawing/2014/main" id="{00000000-0008-0000-4A00-00000A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750347" name="Button 11" hidden="1">
              <a:extLst>
                <a:ext uri="{63B3BB69-23CF-44E3-9099-C40C66FF867C}">
                  <a14:compatExt spid="_x0000_s20750347"/>
                </a:ext>
                <a:ext uri="{FF2B5EF4-FFF2-40B4-BE49-F238E27FC236}">
                  <a16:creationId xmlns:a16="http://schemas.microsoft.com/office/drawing/2014/main" id="{00000000-0008-0000-4A00-00000B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750348" name="Button 12" hidden="1">
              <a:extLst>
                <a:ext uri="{63B3BB69-23CF-44E3-9099-C40C66FF867C}">
                  <a14:compatExt spid="_x0000_s20750348"/>
                </a:ext>
                <a:ext uri="{FF2B5EF4-FFF2-40B4-BE49-F238E27FC236}">
                  <a16:creationId xmlns:a16="http://schemas.microsoft.com/office/drawing/2014/main" id="{00000000-0008-0000-4A00-00000C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750349" name="Button 13" hidden="1">
              <a:extLst>
                <a:ext uri="{63B3BB69-23CF-44E3-9099-C40C66FF867C}">
                  <a14:compatExt spid="_x0000_s20750349"/>
                </a:ext>
                <a:ext uri="{FF2B5EF4-FFF2-40B4-BE49-F238E27FC236}">
                  <a16:creationId xmlns:a16="http://schemas.microsoft.com/office/drawing/2014/main" id="{00000000-0008-0000-4A00-00000D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750350" name="Button 14" hidden="1">
              <a:extLst>
                <a:ext uri="{63B3BB69-23CF-44E3-9099-C40C66FF867C}">
                  <a14:compatExt spid="_x0000_s20750350"/>
                </a:ext>
                <a:ext uri="{FF2B5EF4-FFF2-40B4-BE49-F238E27FC236}">
                  <a16:creationId xmlns:a16="http://schemas.microsoft.com/office/drawing/2014/main" id="{00000000-0008-0000-4A00-00000E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750351" name="Check Box 15" hidden="1">
              <a:extLst>
                <a:ext uri="{63B3BB69-23CF-44E3-9099-C40C66FF867C}">
                  <a14:compatExt spid="_x0000_s20750351"/>
                </a:ext>
                <a:ext uri="{FF2B5EF4-FFF2-40B4-BE49-F238E27FC236}">
                  <a16:creationId xmlns:a16="http://schemas.microsoft.com/office/drawing/2014/main" id="{00000000-0008-0000-4A00-00000F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750352" name="Check Box 16" hidden="1">
              <a:extLst>
                <a:ext uri="{63B3BB69-23CF-44E3-9099-C40C66FF867C}">
                  <a14:compatExt spid="_x0000_s20750352"/>
                </a:ext>
                <a:ext uri="{FF2B5EF4-FFF2-40B4-BE49-F238E27FC236}">
                  <a16:creationId xmlns:a16="http://schemas.microsoft.com/office/drawing/2014/main" id="{00000000-0008-0000-4A00-000010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750353" name="Check Box 17" hidden="1">
              <a:extLst>
                <a:ext uri="{63B3BB69-23CF-44E3-9099-C40C66FF867C}">
                  <a14:compatExt spid="_x0000_s20750353"/>
                </a:ext>
                <a:ext uri="{FF2B5EF4-FFF2-40B4-BE49-F238E27FC236}">
                  <a16:creationId xmlns:a16="http://schemas.microsoft.com/office/drawing/2014/main" id="{00000000-0008-0000-4A00-000011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750354" name="Check Box 18" hidden="1">
              <a:extLst>
                <a:ext uri="{63B3BB69-23CF-44E3-9099-C40C66FF867C}">
                  <a14:compatExt spid="_x0000_s20750354"/>
                </a:ext>
                <a:ext uri="{FF2B5EF4-FFF2-40B4-BE49-F238E27FC236}">
                  <a16:creationId xmlns:a16="http://schemas.microsoft.com/office/drawing/2014/main" id="{00000000-0008-0000-4A00-000012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750355" name="Check Box 19" hidden="1">
              <a:extLst>
                <a:ext uri="{63B3BB69-23CF-44E3-9099-C40C66FF867C}">
                  <a14:compatExt spid="_x0000_s20750355"/>
                </a:ext>
                <a:ext uri="{FF2B5EF4-FFF2-40B4-BE49-F238E27FC236}">
                  <a16:creationId xmlns:a16="http://schemas.microsoft.com/office/drawing/2014/main" id="{00000000-0008-0000-4A00-000013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750356" name="Check Box 20" hidden="1">
              <a:extLst>
                <a:ext uri="{63B3BB69-23CF-44E3-9099-C40C66FF867C}">
                  <a14:compatExt spid="_x0000_s20750356"/>
                </a:ext>
                <a:ext uri="{FF2B5EF4-FFF2-40B4-BE49-F238E27FC236}">
                  <a16:creationId xmlns:a16="http://schemas.microsoft.com/office/drawing/2014/main" id="{00000000-0008-0000-4A00-000014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750357" name="Check Box 21" hidden="1">
              <a:extLst>
                <a:ext uri="{63B3BB69-23CF-44E3-9099-C40C66FF867C}">
                  <a14:compatExt spid="_x0000_s20750357"/>
                </a:ext>
                <a:ext uri="{FF2B5EF4-FFF2-40B4-BE49-F238E27FC236}">
                  <a16:creationId xmlns:a16="http://schemas.microsoft.com/office/drawing/2014/main" id="{00000000-0008-0000-4A00-000015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750358" name="Check Box 22" hidden="1">
              <a:extLst>
                <a:ext uri="{63B3BB69-23CF-44E3-9099-C40C66FF867C}">
                  <a14:compatExt spid="_x0000_s20750358"/>
                </a:ext>
                <a:ext uri="{FF2B5EF4-FFF2-40B4-BE49-F238E27FC236}">
                  <a16:creationId xmlns:a16="http://schemas.microsoft.com/office/drawing/2014/main" id="{00000000-0008-0000-4A00-000016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750359" name="Check Box 23" hidden="1">
              <a:extLst>
                <a:ext uri="{63B3BB69-23CF-44E3-9099-C40C66FF867C}">
                  <a14:compatExt spid="_x0000_s20750359"/>
                </a:ext>
                <a:ext uri="{FF2B5EF4-FFF2-40B4-BE49-F238E27FC236}">
                  <a16:creationId xmlns:a16="http://schemas.microsoft.com/office/drawing/2014/main" id="{00000000-0008-0000-4A00-000017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750360" name="Check Box 24" hidden="1">
              <a:extLst>
                <a:ext uri="{63B3BB69-23CF-44E3-9099-C40C66FF867C}">
                  <a14:compatExt spid="_x0000_s20750360"/>
                </a:ext>
                <a:ext uri="{FF2B5EF4-FFF2-40B4-BE49-F238E27FC236}">
                  <a16:creationId xmlns:a16="http://schemas.microsoft.com/office/drawing/2014/main" id="{00000000-0008-0000-4A00-000018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750361" name="Check Box 25" hidden="1">
              <a:extLst>
                <a:ext uri="{63B3BB69-23CF-44E3-9099-C40C66FF867C}">
                  <a14:compatExt spid="_x0000_s20750361"/>
                </a:ext>
                <a:ext uri="{FF2B5EF4-FFF2-40B4-BE49-F238E27FC236}">
                  <a16:creationId xmlns:a16="http://schemas.microsoft.com/office/drawing/2014/main" id="{00000000-0008-0000-4A00-000019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750362" name="Check Box 26" hidden="1">
              <a:extLst>
                <a:ext uri="{63B3BB69-23CF-44E3-9099-C40C66FF867C}">
                  <a14:compatExt spid="_x0000_s20750362"/>
                </a:ext>
                <a:ext uri="{FF2B5EF4-FFF2-40B4-BE49-F238E27FC236}">
                  <a16:creationId xmlns:a16="http://schemas.microsoft.com/office/drawing/2014/main" id="{00000000-0008-0000-4A00-00001A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750363" name="Check Box 27" hidden="1">
              <a:extLst>
                <a:ext uri="{63B3BB69-23CF-44E3-9099-C40C66FF867C}">
                  <a14:compatExt spid="_x0000_s20750363"/>
                </a:ext>
                <a:ext uri="{FF2B5EF4-FFF2-40B4-BE49-F238E27FC236}">
                  <a16:creationId xmlns:a16="http://schemas.microsoft.com/office/drawing/2014/main" id="{00000000-0008-0000-4A00-00001B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750364" name="Button 28" hidden="1">
              <a:extLst>
                <a:ext uri="{63B3BB69-23CF-44E3-9099-C40C66FF867C}">
                  <a14:compatExt spid="_x0000_s20750364"/>
                </a:ext>
                <a:ext uri="{FF2B5EF4-FFF2-40B4-BE49-F238E27FC236}">
                  <a16:creationId xmlns:a16="http://schemas.microsoft.com/office/drawing/2014/main" id="{00000000-0008-0000-4A00-00001C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750365" name="Button 29" hidden="1">
              <a:extLst>
                <a:ext uri="{63B3BB69-23CF-44E3-9099-C40C66FF867C}">
                  <a14:compatExt spid="_x0000_s20750365"/>
                </a:ext>
                <a:ext uri="{FF2B5EF4-FFF2-40B4-BE49-F238E27FC236}">
                  <a16:creationId xmlns:a16="http://schemas.microsoft.com/office/drawing/2014/main" id="{00000000-0008-0000-4A00-00001DA0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750366" name="Check Box 30" hidden="1">
              <a:extLst>
                <a:ext uri="{63B3BB69-23CF-44E3-9099-C40C66FF867C}">
                  <a14:compatExt spid="_x0000_s20750366"/>
                </a:ext>
                <a:ext uri="{FF2B5EF4-FFF2-40B4-BE49-F238E27FC236}">
                  <a16:creationId xmlns:a16="http://schemas.microsoft.com/office/drawing/2014/main" id="{00000000-0008-0000-4A00-00001E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750367" name="Check Box 31" hidden="1">
              <a:extLst>
                <a:ext uri="{63B3BB69-23CF-44E3-9099-C40C66FF867C}">
                  <a14:compatExt spid="_x0000_s20750367"/>
                </a:ext>
                <a:ext uri="{FF2B5EF4-FFF2-40B4-BE49-F238E27FC236}">
                  <a16:creationId xmlns:a16="http://schemas.microsoft.com/office/drawing/2014/main" id="{00000000-0008-0000-4A00-00001F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750368" name="Check Box 32" hidden="1">
              <a:extLst>
                <a:ext uri="{63B3BB69-23CF-44E3-9099-C40C66FF867C}">
                  <a14:compatExt spid="_x0000_s20750368"/>
                </a:ext>
                <a:ext uri="{FF2B5EF4-FFF2-40B4-BE49-F238E27FC236}">
                  <a16:creationId xmlns:a16="http://schemas.microsoft.com/office/drawing/2014/main" id="{00000000-0008-0000-4A00-000020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750369" name="Check Box 33" hidden="1">
              <a:extLst>
                <a:ext uri="{63B3BB69-23CF-44E3-9099-C40C66FF867C}">
                  <a14:compatExt spid="_x0000_s20750369"/>
                </a:ext>
                <a:ext uri="{FF2B5EF4-FFF2-40B4-BE49-F238E27FC236}">
                  <a16:creationId xmlns:a16="http://schemas.microsoft.com/office/drawing/2014/main" id="{00000000-0008-0000-4A00-000021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750370" name="Check Box 34" hidden="1">
              <a:extLst>
                <a:ext uri="{63B3BB69-23CF-44E3-9099-C40C66FF867C}">
                  <a14:compatExt spid="_x0000_s20750370"/>
                </a:ext>
                <a:ext uri="{FF2B5EF4-FFF2-40B4-BE49-F238E27FC236}">
                  <a16:creationId xmlns:a16="http://schemas.microsoft.com/office/drawing/2014/main" id="{00000000-0008-0000-4A00-000022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750371" name="Check Box 35" hidden="1">
              <a:extLst>
                <a:ext uri="{63B3BB69-23CF-44E3-9099-C40C66FF867C}">
                  <a14:compatExt spid="_x0000_s20750371"/>
                </a:ext>
                <a:ext uri="{FF2B5EF4-FFF2-40B4-BE49-F238E27FC236}">
                  <a16:creationId xmlns:a16="http://schemas.microsoft.com/office/drawing/2014/main" id="{00000000-0008-0000-4A00-000023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750372" name="Check Box 36" hidden="1">
              <a:extLst>
                <a:ext uri="{63B3BB69-23CF-44E3-9099-C40C66FF867C}">
                  <a14:compatExt spid="_x0000_s20750372"/>
                </a:ext>
                <a:ext uri="{FF2B5EF4-FFF2-40B4-BE49-F238E27FC236}">
                  <a16:creationId xmlns:a16="http://schemas.microsoft.com/office/drawing/2014/main" id="{00000000-0008-0000-4A00-000024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750373" name="Check Box 37" hidden="1">
              <a:extLst>
                <a:ext uri="{63B3BB69-23CF-44E3-9099-C40C66FF867C}">
                  <a14:compatExt spid="_x0000_s20750373"/>
                </a:ext>
                <a:ext uri="{FF2B5EF4-FFF2-40B4-BE49-F238E27FC236}">
                  <a16:creationId xmlns:a16="http://schemas.microsoft.com/office/drawing/2014/main" id="{00000000-0008-0000-4A00-000025A0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4.xml><?xml version="1.0" encoding="utf-8"?>
<xdr:wsDr xmlns:xdr="http://schemas.openxmlformats.org/drawingml/2006/spreadsheetDrawing" xmlns:a="http://schemas.openxmlformats.org/drawingml/2006/main">
  <xdr:twoCellAnchor>
    <xdr:from>
      <xdr:col>0</xdr:col>
      <xdr:colOff>28574</xdr:colOff>
      <xdr:row>9</xdr:row>
      <xdr:rowOff>19050</xdr:rowOff>
    </xdr:from>
    <xdr:to>
      <xdr:col>8</xdr:col>
      <xdr:colOff>866775</xdr:colOff>
      <xdr:row>19</xdr:row>
      <xdr:rowOff>171450</xdr:rowOff>
    </xdr:to>
    <xdr:sp macro="" textlink="">
      <xdr:nvSpPr>
        <xdr:cNvPr id="2" name="TextBox 1">
          <a:extLst>
            <a:ext uri="{FF2B5EF4-FFF2-40B4-BE49-F238E27FC236}">
              <a16:creationId xmlns:a16="http://schemas.microsoft.com/office/drawing/2014/main" id="{75BA0267-169B-47D5-ADDF-CD09C1B77F58}"/>
            </a:ext>
          </a:extLst>
        </xdr:cNvPr>
        <xdr:cNvSpPr txBox="1"/>
      </xdr:nvSpPr>
      <xdr:spPr>
        <a:xfrm>
          <a:off x="28574" y="1771650"/>
          <a:ext cx="5715001" cy="2057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rgbClr val="FF0000"/>
              </a:solidFill>
              <a:latin typeface="+mn-lt"/>
              <a:ea typeface="+mn-ea"/>
              <a:cs typeface="+mn-cs"/>
            </a:rPr>
            <a:t>1. Provide owner builder certificate as issued by the VBA.</a:t>
          </a:r>
        </a:p>
        <a:p>
          <a:r>
            <a:rPr lang="en-AU" sz="800" b="0" i="0" u="none" strike="noStrike" baseline="0">
              <a:solidFill>
                <a:srgbClr val="FF0000"/>
              </a:solidFill>
              <a:latin typeface="+mn-lt"/>
              <a:ea typeface="+mn-ea"/>
              <a:cs typeface="+mn-cs"/>
            </a:rPr>
            <a:t>2. Provide engineering documents.</a:t>
          </a:r>
        </a:p>
        <a:p>
          <a:r>
            <a:rPr lang="en-AU" sz="800" b="0" i="0" u="none" strike="noStrike" baseline="0">
              <a:solidFill>
                <a:srgbClr val="FF0000"/>
              </a:solidFill>
              <a:latin typeface="+mn-lt"/>
              <a:ea typeface="+mn-ea"/>
              <a:cs typeface="+mn-cs"/>
            </a:rPr>
            <a:t>3. Provide engineers certificate of compliance Reg. 126 with Michael Harvey noted as the RBS.</a:t>
          </a:r>
        </a:p>
        <a:p>
          <a:r>
            <a:rPr lang="en-AU" sz="800" b="0" i="0" u="none" strike="noStrike" baseline="0">
              <a:solidFill>
                <a:srgbClr val="FF0000"/>
              </a:solidFill>
              <a:latin typeface="+mn-lt"/>
              <a:ea typeface="+mn-ea"/>
              <a:cs typeface="+mn-cs"/>
            </a:rPr>
            <a:t>4. Provide footing layout for pad footing/slab layout. Centre to centre and include mullions. Footing</a:t>
          </a:r>
        </a:p>
        <a:p>
          <a:r>
            <a:rPr lang="en-AU" sz="800" b="0" i="0" u="none" strike="noStrike" baseline="0">
              <a:solidFill>
                <a:srgbClr val="FF0000"/>
              </a:solidFill>
              <a:latin typeface="+mn-lt"/>
              <a:ea typeface="+mn-ea"/>
              <a:cs typeface="+mn-cs"/>
            </a:rPr>
            <a:t>inspection will not be booked if we do not have this prior to the booking.</a:t>
          </a:r>
        </a:p>
        <a:p>
          <a:r>
            <a:rPr lang="en-AU" sz="800" b="0" i="0" u="none" strike="noStrike" baseline="0">
              <a:solidFill>
                <a:schemeClr val="accent4"/>
              </a:solidFill>
              <a:latin typeface="+mn-lt"/>
              <a:ea typeface="+mn-ea"/>
              <a:cs typeface="+mn-cs"/>
            </a:rPr>
            <a:t>5. Provide details of applicable BAL rating for proposed works (Building permit for dwelling will have this</a:t>
          </a:r>
        </a:p>
        <a:p>
          <a:r>
            <a:rPr lang="en-AU" sz="800" b="0" i="0" u="none" strike="noStrike" baseline="0">
              <a:solidFill>
                <a:schemeClr val="accent4"/>
              </a:solidFill>
              <a:latin typeface="+mn-lt"/>
              <a:ea typeface="+mn-ea"/>
              <a:cs typeface="+mn-cs"/>
            </a:rPr>
            <a:t>information).</a:t>
          </a:r>
        </a:p>
        <a:p>
          <a:r>
            <a:rPr lang="en-AU" sz="800" b="0" i="0" u="none" strike="noStrike" baseline="0">
              <a:solidFill>
                <a:schemeClr val="accent4"/>
              </a:solidFill>
              <a:latin typeface="+mn-lt"/>
              <a:ea typeface="+mn-ea"/>
              <a:cs typeface="+mn-cs"/>
            </a:rPr>
            <a:t>6. OK - there is a pool in the neighbours - and our new shed is in close proximity to the pool, following a</a:t>
          </a:r>
        </a:p>
        <a:p>
          <a:r>
            <a:rPr lang="en-AU" sz="800" b="0" i="0" u="none" strike="noStrike" baseline="0">
              <a:solidFill>
                <a:schemeClr val="accent4"/>
              </a:solidFill>
              <a:latin typeface="+mn-lt"/>
              <a:ea typeface="+mn-ea"/>
              <a:cs typeface="+mn-cs"/>
            </a:rPr>
            <a:t>conversation with Mick and his discussion with the VBA this needs forms 7&amp;8 protection notices and a</a:t>
          </a:r>
        </a:p>
        <a:p>
          <a:r>
            <a:rPr lang="en-AU" sz="800" b="0" i="0" u="none" strike="noStrike" baseline="0">
              <a:solidFill>
                <a:schemeClr val="accent4"/>
              </a:solidFill>
              <a:latin typeface="+mn-lt"/>
              <a:ea typeface="+mn-ea"/>
              <a:cs typeface="+mn-cs"/>
            </a:rPr>
            <a:t>detail of how the footings of the shed will meet angle of repose of the pool OR move the shed min</a:t>
          </a:r>
        </a:p>
        <a:p>
          <a:r>
            <a:rPr lang="en-AU" sz="800" b="0" i="0" u="none" strike="noStrike" baseline="0">
              <a:solidFill>
                <a:schemeClr val="accent4"/>
              </a:solidFill>
              <a:latin typeface="+mn-lt"/>
              <a:ea typeface="+mn-ea"/>
              <a:cs typeface="+mn-cs"/>
            </a:rPr>
            <a:t>1.0m off the side boundary (note - the footing adjacent of the shed adjacent the pool will need to be</a:t>
          </a:r>
        </a:p>
        <a:p>
          <a:r>
            <a:rPr lang="en-AU" sz="800" b="0" i="0" u="none" strike="noStrike" baseline="0">
              <a:solidFill>
                <a:schemeClr val="accent4"/>
              </a:solidFill>
              <a:latin typeface="+mn-lt"/>
              <a:ea typeface="+mn-ea"/>
              <a:cs typeface="+mn-cs"/>
            </a:rPr>
            <a:t>approx 1.0m deep) - give him a buzz to discuss if needed.</a:t>
          </a:r>
          <a:endParaRPr lang="en-AU" sz="800">
            <a:solidFill>
              <a:schemeClr val="accent4"/>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B65F7F2-961C-49A1-BE68-422DF8CE7597}"/>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748289" name="Check Box 1" hidden="1">
              <a:extLst>
                <a:ext uri="{63B3BB69-23CF-44E3-9099-C40C66FF867C}">
                  <a14:compatExt spid="_x0000_s20748289"/>
                </a:ext>
                <a:ext uri="{FF2B5EF4-FFF2-40B4-BE49-F238E27FC236}">
                  <a16:creationId xmlns:a16="http://schemas.microsoft.com/office/drawing/2014/main" id="{00000000-0008-0000-4B00-000001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748290" name="Check Box 2" hidden="1">
              <a:extLst>
                <a:ext uri="{63B3BB69-23CF-44E3-9099-C40C66FF867C}">
                  <a14:compatExt spid="_x0000_s20748290"/>
                </a:ext>
                <a:ext uri="{FF2B5EF4-FFF2-40B4-BE49-F238E27FC236}">
                  <a16:creationId xmlns:a16="http://schemas.microsoft.com/office/drawing/2014/main" id="{00000000-0008-0000-4B00-000002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748291" name="Check Box 3" hidden="1">
              <a:extLst>
                <a:ext uri="{63B3BB69-23CF-44E3-9099-C40C66FF867C}">
                  <a14:compatExt spid="_x0000_s20748291"/>
                </a:ext>
                <a:ext uri="{FF2B5EF4-FFF2-40B4-BE49-F238E27FC236}">
                  <a16:creationId xmlns:a16="http://schemas.microsoft.com/office/drawing/2014/main" id="{00000000-0008-0000-4B00-000003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748292" name="Check Box 4" hidden="1">
              <a:extLst>
                <a:ext uri="{63B3BB69-23CF-44E3-9099-C40C66FF867C}">
                  <a14:compatExt spid="_x0000_s20748292"/>
                </a:ext>
                <a:ext uri="{FF2B5EF4-FFF2-40B4-BE49-F238E27FC236}">
                  <a16:creationId xmlns:a16="http://schemas.microsoft.com/office/drawing/2014/main" id="{00000000-0008-0000-4B00-000004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748293" name="Check Box 5" hidden="1">
              <a:extLst>
                <a:ext uri="{63B3BB69-23CF-44E3-9099-C40C66FF867C}">
                  <a14:compatExt spid="_x0000_s20748293"/>
                </a:ext>
                <a:ext uri="{FF2B5EF4-FFF2-40B4-BE49-F238E27FC236}">
                  <a16:creationId xmlns:a16="http://schemas.microsoft.com/office/drawing/2014/main" id="{00000000-0008-0000-4B00-000005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748294" name="Check Box 6" hidden="1">
              <a:extLst>
                <a:ext uri="{63B3BB69-23CF-44E3-9099-C40C66FF867C}">
                  <a14:compatExt spid="_x0000_s20748294"/>
                </a:ext>
                <a:ext uri="{FF2B5EF4-FFF2-40B4-BE49-F238E27FC236}">
                  <a16:creationId xmlns:a16="http://schemas.microsoft.com/office/drawing/2014/main" id="{00000000-0008-0000-4B00-000006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748295" name="Check Box 7" hidden="1">
              <a:extLst>
                <a:ext uri="{63B3BB69-23CF-44E3-9099-C40C66FF867C}">
                  <a14:compatExt spid="_x0000_s20748295"/>
                </a:ext>
                <a:ext uri="{FF2B5EF4-FFF2-40B4-BE49-F238E27FC236}">
                  <a16:creationId xmlns:a16="http://schemas.microsoft.com/office/drawing/2014/main" id="{00000000-0008-0000-4B00-000007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748296" name="Button 8" hidden="1">
              <a:extLst>
                <a:ext uri="{63B3BB69-23CF-44E3-9099-C40C66FF867C}">
                  <a14:compatExt spid="_x0000_s20748296"/>
                </a:ext>
                <a:ext uri="{FF2B5EF4-FFF2-40B4-BE49-F238E27FC236}">
                  <a16:creationId xmlns:a16="http://schemas.microsoft.com/office/drawing/2014/main" id="{00000000-0008-0000-4B00-00000898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748297" name="Button 9" hidden="1">
              <a:extLst>
                <a:ext uri="{63B3BB69-23CF-44E3-9099-C40C66FF867C}">
                  <a14:compatExt spid="_x0000_s20748297"/>
                </a:ext>
                <a:ext uri="{FF2B5EF4-FFF2-40B4-BE49-F238E27FC236}">
                  <a16:creationId xmlns:a16="http://schemas.microsoft.com/office/drawing/2014/main" id="{00000000-0008-0000-4B00-000009983C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748298" name="Check Box 10" hidden="1">
              <a:extLst>
                <a:ext uri="{63B3BB69-23CF-44E3-9099-C40C66FF867C}">
                  <a14:compatExt spid="_x0000_s20748298"/>
                </a:ext>
                <a:ext uri="{FF2B5EF4-FFF2-40B4-BE49-F238E27FC236}">
                  <a16:creationId xmlns:a16="http://schemas.microsoft.com/office/drawing/2014/main" id="{00000000-0008-0000-4B00-00000A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748299" name="Button 11" hidden="1">
              <a:extLst>
                <a:ext uri="{63B3BB69-23CF-44E3-9099-C40C66FF867C}">
                  <a14:compatExt spid="_x0000_s20748299"/>
                </a:ext>
                <a:ext uri="{FF2B5EF4-FFF2-40B4-BE49-F238E27FC236}">
                  <a16:creationId xmlns:a16="http://schemas.microsoft.com/office/drawing/2014/main" id="{00000000-0008-0000-4B00-00000B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748300" name="Button 12" hidden="1">
              <a:extLst>
                <a:ext uri="{63B3BB69-23CF-44E3-9099-C40C66FF867C}">
                  <a14:compatExt spid="_x0000_s20748300"/>
                </a:ext>
                <a:ext uri="{FF2B5EF4-FFF2-40B4-BE49-F238E27FC236}">
                  <a16:creationId xmlns:a16="http://schemas.microsoft.com/office/drawing/2014/main" id="{00000000-0008-0000-4B00-00000C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748301" name="Button 13" hidden="1">
              <a:extLst>
                <a:ext uri="{63B3BB69-23CF-44E3-9099-C40C66FF867C}">
                  <a14:compatExt spid="_x0000_s20748301"/>
                </a:ext>
                <a:ext uri="{FF2B5EF4-FFF2-40B4-BE49-F238E27FC236}">
                  <a16:creationId xmlns:a16="http://schemas.microsoft.com/office/drawing/2014/main" id="{00000000-0008-0000-4B00-00000D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748302" name="Button 14" hidden="1">
              <a:extLst>
                <a:ext uri="{63B3BB69-23CF-44E3-9099-C40C66FF867C}">
                  <a14:compatExt spid="_x0000_s20748302"/>
                </a:ext>
                <a:ext uri="{FF2B5EF4-FFF2-40B4-BE49-F238E27FC236}">
                  <a16:creationId xmlns:a16="http://schemas.microsoft.com/office/drawing/2014/main" id="{00000000-0008-0000-4B00-00000E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748303" name="Check Box 15" hidden="1">
              <a:extLst>
                <a:ext uri="{63B3BB69-23CF-44E3-9099-C40C66FF867C}">
                  <a14:compatExt spid="_x0000_s20748303"/>
                </a:ext>
                <a:ext uri="{FF2B5EF4-FFF2-40B4-BE49-F238E27FC236}">
                  <a16:creationId xmlns:a16="http://schemas.microsoft.com/office/drawing/2014/main" id="{00000000-0008-0000-4B00-00000F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748304" name="Check Box 16" hidden="1">
              <a:extLst>
                <a:ext uri="{63B3BB69-23CF-44E3-9099-C40C66FF867C}">
                  <a14:compatExt spid="_x0000_s20748304"/>
                </a:ext>
                <a:ext uri="{FF2B5EF4-FFF2-40B4-BE49-F238E27FC236}">
                  <a16:creationId xmlns:a16="http://schemas.microsoft.com/office/drawing/2014/main" id="{00000000-0008-0000-4B00-000010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748305" name="Check Box 17" hidden="1">
              <a:extLst>
                <a:ext uri="{63B3BB69-23CF-44E3-9099-C40C66FF867C}">
                  <a14:compatExt spid="_x0000_s20748305"/>
                </a:ext>
                <a:ext uri="{FF2B5EF4-FFF2-40B4-BE49-F238E27FC236}">
                  <a16:creationId xmlns:a16="http://schemas.microsoft.com/office/drawing/2014/main" id="{00000000-0008-0000-4B00-000011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748306" name="Check Box 18" hidden="1">
              <a:extLst>
                <a:ext uri="{63B3BB69-23CF-44E3-9099-C40C66FF867C}">
                  <a14:compatExt spid="_x0000_s20748306"/>
                </a:ext>
                <a:ext uri="{FF2B5EF4-FFF2-40B4-BE49-F238E27FC236}">
                  <a16:creationId xmlns:a16="http://schemas.microsoft.com/office/drawing/2014/main" id="{00000000-0008-0000-4B00-000012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748307" name="Check Box 19" hidden="1">
              <a:extLst>
                <a:ext uri="{63B3BB69-23CF-44E3-9099-C40C66FF867C}">
                  <a14:compatExt spid="_x0000_s20748307"/>
                </a:ext>
                <a:ext uri="{FF2B5EF4-FFF2-40B4-BE49-F238E27FC236}">
                  <a16:creationId xmlns:a16="http://schemas.microsoft.com/office/drawing/2014/main" id="{00000000-0008-0000-4B00-000013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748308" name="Check Box 20" hidden="1">
              <a:extLst>
                <a:ext uri="{63B3BB69-23CF-44E3-9099-C40C66FF867C}">
                  <a14:compatExt spid="_x0000_s20748308"/>
                </a:ext>
                <a:ext uri="{FF2B5EF4-FFF2-40B4-BE49-F238E27FC236}">
                  <a16:creationId xmlns:a16="http://schemas.microsoft.com/office/drawing/2014/main" id="{00000000-0008-0000-4B00-000014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748309" name="Check Box 21" hidden="1">
              <a:extLst>
                <a:ext uri="{63B3BB69-23CF-44E3-9099-C40C66FF867C}">
                  <a14:compatExt spid="_x0000_s20748309"/>
                </a:ext>
                <a:ext uri="{FF2B5EF4-FFF2-40B4-BE49-F238E27FC236}">
                  <a16:creationId xmlns:a16="http://schemas.microsoft.com/office/drawing/2014/main" id="{00000000-0008-0000-4B00-000015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748310" name="Check Box 22" hidden="1">
              <a:extLst>
                <a:ext uri="{63B3BB69-23CF-44E3-9099-C40C66FF867C}">
                  <a14:compatExt spid="_x0000_s20748310"/>
                </a:ext>
                <a:ext uri="{FF2B5EF4-FFF2-40B4-BE49-F238E27FC236}">
                  <a16:creationId xmlns:a16="http://schemas.microsoft.com/office/drawing/2014/main" id="{00000000-0008-0000-4B00-000016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748311" name="Check Box 23" hidden="1">
              <a:extLst>
                <a:ext uri="{63B3BB69-23CF-44E3-9099-C40C66FF867C}">
                  <a14:compatExt spid="_x0000_s20748311"/>
                </a:ext>
                <a:ext uri="{FF2B5EF4-FFF2-40B4-BE49-F238E27FC236}">
                  <a16:creationId xmlns:a16="http://schemas.microsoft.com/office/drawing/2014/main" id="{00000000-0008-0000-4B00-000017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748312" name="Check Box 24" hidden="1">
              <a:extLst>
                <a:ext uri="{63B3BB69-23CF-44E3-9099-C40C66FF867C}">
                  <a14:compatExt spid="_x0000_s20748312"/>
                </a:ext>
                <a:ext uri="{FF2B5EF4-FFF2-40B4-BE49-F238E27FC236}">
                  <a16:creationId xmlns:a16="http://schemas.microsoft.com/office/drawing/2014/main" id="{00000000-0008-0000-4B00-000018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748313" name="Check Box 25" hidden="1">
              <a:extLst>
                <a:ext uri="{63B3BB69-23CF-44E3-9099-C40C66FF867C}">
                  <a14:compatExt spid="_x0000_s20748313"/>
                </a:ext>
                <a:ext uri="{FF2B5EF4-FFF2-40B4-BE49-F238E27FC236}">
                  <a16:creationId xmlns:a16="http://schemas.microsoft.com/office/drawing/2014/main" id="{00000000-0008-0000-4B00-000019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748314" name="Check Box 26" hidden="1">
              <a:extLst>
                <a:ext uri="{63B3BB69-23CF-44E3-9099-C40C66FF867C}">
                  <a14:compatExt spid="_x0000_s20748314"/>
                </a:ext>
                <a:ext uri="{FF2B5EF4-FFF2-40B4-BE49-F238E27FC236}">
                  <a16:creationId xmlns:a16="http://schemas.microsoft.com/office/drawing/2014/main" id="{00000000-0008-0000-4B00-00001A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748315" name="Check Box 27" hidden="1">
              <a:extLst>
                <a:ext uri="{63B3BB69-23CF-44E3-9099-C40C66FF867C}">
                  <a14:compatExt spid="_x0000_s20748315"/>
                </a:ext>
                <a:ext uri="{FF2B5EF4-FFF2-40B4-BE49-F238E27FC236}">
                  <a16:creationId xmlns:a16="http://schemas.microsoft.com/office/drawing/2014/main" id="{00000000-0008-0000-4B00-00001B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748316" name="Button 28" hidden="1">
              <a:extLst>
                <a:ext uri="{63B3BB69-23CF-44E3-9099-C40C66FF867C}">
                  <a14:compatExt spid="_x0000_s20748316"/>
                </a:ext>
                <a:ext uri="{FF2B5EF4-FFF2-40B4-BE49-F238E27FC236}">
                  <a16:creationId xmlns:a16="http://schemas.microsoft.com/office/drawing/2014/main" id="{00000000-0008-0000-4B00-00001C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748317" name="Button 29" hidden="1">
              <a:extLst>
                <a:ext uri="{63B3BB69-23CF-44E3-9099-C40C66FF867C}">
                  <a14:compatExt spid="_x0000_s20748317"/>
                </a:ext>
                <a:ext uri="{FF2B5EF4-FFF2-40B4-BE49-F238E27FC236}">
                  <a16:creationId xmlns:a16="http://schemas.microsoft.com/office/drawing/2014/main" id="{00000000-0008-0000-4B00-00001D983C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748318" name="Check Box 30" hidden="1">
              <a:extLst>
                <a:ext uri="{63B3BB69-23CF-44E3-9099-C40C66FF867C}">
                  <a14:compatExt spid="_x0000_s20748318"/>
                </a:ext>
                <a:ext uri="{FF2B5EF4-FFF2-40B4-BE49-F238E27FC236}">
                  <a16:creationId xmlns:a16="http://schemas.microsoft.com/office/drawing/2014/main" id="{00000000-0008-0000-4B00-00001E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748319" name="Check Box 31" hidden="1">
              <a:extLst>
                <a:ext uri="{63B3BB69-23CF-44E3-9099-C40C66FF867C}">
                  <a14:compatExt spid="_x0000_s20748319"/>
                </a:ext>
                <a:ext uri="{FF2B5EF4-FFF2-40B4-BE49-F238E27FC236}">
                  <a16:creationId xmlns:a16="http://schemas.microsoft.com/office/drawing/2014/main" id="{00000000-0008-0000-4B00-00001F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748320" name="Check Box 32" hidden="1">
              <a:extLst>
                <a:ext uri="{63B3BB69-23CF-44E3-9099-C40C66FF867C}">
                  <a14:compatExt spid="_x0000_s20748320"/>
                </a:ext>
                <a:ext uri="{FF2B5EF4-FFF2-40B4-BE49-F238E27FC236}">
                  <a16:creationId xmlns:a16="http://schemas.microsoft.com/office/drawing/2014/main" id="{00000000-0008-0000-4B00-000020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748321" name="Check Box 33" hidden="1">
              <a:extLst>
                <a:ext uri="{63B3BB69-23CF-44E3-9099-C40C66FF867C}">
                  <a14:compatExt spid="_x0000_s20748321"/>
                </a:ext>
                <a:ext uri="{FF2B5EF4-FFF2-40B4-BE49-F238E27FC236}">
                  <a16:creationId xmlns:a16="http://schemas.microsoft.com/office/drawing/2014/main" id="{00000000-0008-0000-4B00-000021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748322" name="Check Box 34" hidden="1">
              <a:extLst>
                <a:ext uri="{63B3BB69-23CF-44E3-9099-C40C66FF867C}">
                  <a14:compatExt spid="_x0000_s20748322"/>
                </a:ext>
                <a:ext uri="{FF2B5EF4-FFF2-40B4-BE49-F238E27FC236}">
                  <a16:creationId xmlns:a16="http://schemas.microsoft.com/office/drawing/2014/main" id="{00000000-0008-0000-4B00-000022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748323" name="Check Box 35" hidden="1">
              <a:extLst>
                <a:ext uri="{63B3BB69-23CF-44E3-9099-C40C66FF867C}">
                  <a14:compatExt spid="_x0000_s20748323"/>
                </a:ext>
                <a:ext uri="{FF2B5EF4-FFF2-40B4-BE49-F238E27FC236}">
                  <a16:creationId xmlns:a16="http://schemas.microsoft.com/office/drawing/2014/main" id="{00000000-0008-0000-4B00-000023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748324" name="Check Box 36" hidden="1">
              <a:extLst>
                <a:ext uri="{63B3BB69-23CF-44E3-9099-C40C66FF867C}">
                  <a14:compatExt spid="_x0000_s20748324"/>
                </a:ext>
                <a:ext uri="{FF2B5EF4-FFF2-40B4-BE49-F238E27FC236}">
                  <a16:creationId xmlns:a16="http://schemas.microsoft.com/office/drawing/2014/main" id="{00000000-0008-0000-4B00-000024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748325" name="Check Box 37" hidden="1">
              <a:extLst>
                <a:ext uri="{63B3BB69-23CF-44E3-9099-C40C66FF867C}">
                  <a14:compatExt spid="_x0000_s20748325"/>
                </a:ext>
                <a:ext uri="{FF2B5EF4-FFF2-40B4-BE49-F238E27FC236}">
                  <a16:creationId xmlns:a16="http://schemas.microsoft.com/office/drawing/2014/main" id="{00000000-0008-0000-4B00-000025983C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40D46EF-3AB7-4D38-84D4-483B240AC0C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206B78C6-8E8E-4E9A-AB9F-D1FCC13038B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604929" name="Check Box 1" hidden="1">
              <a:extLst>
                <a:ext uri="{63B3BB69-23CF-44E3-9099-C40C66FF867C}">
                  <a14:compatExt spid="_x0000_s20604929"/>
                </a:ext>
                <a:ext uri="{FF2B5EF4-FFF2-40B4-BE49-F238E27FC236}">
                  <a16:creationId xmlns:a16="http://schemas.microsoft.com/office/drawing/2014/main" id="{00000000-0008-0000-4C00-000001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604930" name="Check Box 2" hidden="1">
              <a:extLst>
                <a:ext uri="{63B3BB69-23CF-44E3-9099-C40C66FF867C}">
                  <a14:compatExt spid="_x0000_s20604930"/>
                </a:ext>
                <a:ext uri="{FF2B5EF4-FFF2-40B4-BE49-F238E27FC236}">
                  <a16:creationId xmlns:a16="http://schemas.microsoft.com/office/drawing/2014/main" id="{00000000-0008-0000-4C00-000002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604931" name="Check Box 3" hidden="1">
              <a:extLst>
                <a:ext uri="{63B3BB69-23CF-44E3-9099-C40C66FF867C}">
                  <a14:compatExt spid="_x0000_s20604931"/>
                </a:ext>
                <a:ext uri="{FF2B5EF4-FFF2-40B4-BE49-F238E27FC236}">
                  <a16:creationId xmlns:a16="http://schemas.microsoft.com/office/drawing/2014/main" id="{00000000-0008-0000-4C00-000003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604932" name="Check Box 4" hidden="1">
              <a:extLst>
                <a:ext uri="{63B3BB69-23CF-44E3-9099-C40C66FF867C}">
                  <a14:compatExt spid="_x0000_s20604932"/>
                </a:ext>
                <a:ext uri="{FF2B5EF4-FFF2-40B4-BE49-F238E27FC236}">
                  <a16:creationId xmlns:a16="http://schemas.microsoft.com/office/drawing/2014/main" id="{00000000-0008-0000-4C00-000004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604933" name="Check Box 5" hidden="1">
              <a:extLst>
                <a:ext uri="{63B3BB69-23CF-44E3-9099-C40C66FF867C}">
                  <a14:compatExt spid="_x0000_s20604933"/>
                </a:ext>
                <a:ext uri="{FF2B5EF4-FFF2-40B4-BE49-F238E27FC236}">
                  <a16:creationId xmlns:a16="http://schemas.microsoft.com/office/drawing/2014/main" id="{00000000-0008-0000-4C00-000005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604934" name="Check Box 6" hidden="1">
              <a:extLst>
                <a:ext uri="{63B3BB69-23CF-44E3-9099-C40C66FF867C}">
                  <a14:compatExt spid="_x0000_s20604934"/>
                </a:ext>
                <a:ext uri="{FF2B5EF4-FFF2-40B4-BE49-F238E27FC236}">
                  <a16:creationId xmlns:a16="http://schemas.microsoft.com/office/drawing/2014/main" id="{00000000-0008-0000-4C00-000006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604935" name="Check Box 7" hidden="1">
              <a:extLst>
                <a:ext uri="{63B3BB69-23CF-44E3-9099-C40C66FF867C}">
                  <a14:compatExt spid="_x0000_s20604935"/>
                </a:ext>
                <a:ext uri="{FF2B5EF4-FFF2-40B4-BE49-F238E27FC236}">
                  <a16:creationId xmlns:a16="http://schemas.microsoft.com/office/drawing/2014/main" id="{00000000-0008-0000-4C00-000007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604936" name="Button 8" hidden="1">
              <a:extLst>
                <a:ext uri="{63B3BB69-23CF-44E3-9099-C40C66FF867C}">
                  <a14:compatExt spid="_x0000_s20604936"/>
                </a:ext>
                <a:ext uri="{FF2B5EF4-FFF2-40B4-BE49-F238E27FC236}">
                  <a16:creationId xmlns:a16="http://schemas.microsoft.com/office/drawing/2014/main" id="{00000000-0008-0000-4C00-000008683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604937" name="Button 9" hidden="1">
              <a:extLst>
                <a:ext uri="{63B3BB69-23CF-44E3-9099-C40C66FF867C}">
                  <a14:compatExt spid="_x0000_s20604937"/>
                </a:ext>
                <a:ext uri="{FF2B5EF4-FFF2-40B4-BE49-F238E27FC236}">
                  <a16:creationId xmlns:a16="http://schemas.microsoft.com/office/drawing/2014/main" id="{00000000-0008-0000-4C00-000009683A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604938" name="Check Box 10" hidden="1">
              <a:extLst>
                <a:ext uri="{63B3BB69-23CF-44E3-9099-C40C66FF867C}">
                  <a14:compatExt spid="_x0000_s20604938"/>
                </a:ext>
                <a:ext uri="{FF2B5EF4-FFF2-40B4-BE49-F238E27FC236}">
                  <a16:creationId xmlns:a16="http://schemas.microsoft.com/office/drawing/2014/main" id="{00000000-0008-0000-4C00-00000A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604939" name="Button 11" hidden="1">
              <a:extLst>
                <a:ext uri="{63B3BB69-23CF-44E3-9099-C40C66FF867C}">
                  <a14:compatExt spid="_x0000_s20604939"/>
                </a:ext>
                <a:ext uri="{FF2B5EF4-FFF2-40B4-BE49-F238E27FC236}">
                  <a16:creationId xmlns:a16="http://schemas.microsoft.com/office/drawing/2014/main" id="{00000000-0008-0000-4C00-00000B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604940" name="Button 12" hidden="1">
              <a:extLst>
                <a:ext uri="{63B3BB69-23CF-44E3-9099-C40C66FF867C}">
                  <a14:compatExt spid="_x0000_s20604940"/>
                </a:ext>
                <a:ext uri="{FF2B5EF4-FFF2-40B4-BE49-F238E27FC236}">
                  <a16:creationId xmlns:a16="http://schemas.microsoft.com/office/drawing/2014/main" id="{00000000-0008-0000-4C00-00000C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604941" name="Button 13" hidden="1">
              <a:extLst>
                <a:ext uri="{63B3BB69-23CF-44E3-9099-C40C66FF867C}">
                  <a14:compatExt spid="_x0000_s20604941"/>
                </a:ext>
                <a:ext uri="{FF2B5EF4-FFF2-40B4-BE49-F238E27FC236}">
                  <a16:creationId xmlns:a16="http://schemas.microsoft.com/office/drawing/2014/main" id="{00000000-0008-0000-4C00-00000D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604942" name="Button 14" hidden="1">
              <a:extLst>
                <a:ext uri="{63B3BB69-23CF-44E3-9099-C40C66FF867C}">
                  <a14:compatExt spid="_x0000_s20604942"/>
                </a:ext>
                <a:ext uri="{FF2B5EF4-FFF2-40B4-BE49-F238E27FC236}">
                  <a16:creationId xmlns:a16="http://schemas.microsoft.com/office/drawing/2014/main" id="{00000000-0008-0000-4C00-00000E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604943" name="Check Box 15" hidden="1">
              <a:extLst>
                <a:ext uri="{63B3BB69-23CF-44E3-9099-C40C66FF867C}">
                  <a14:compatExt spid="_x0000_s20604943"/>
                </a:ext>
                <a:ext uri="{FF2B5EF4-FFF2-40B4-BE49-F238E27FC236}">
                  <a16:creationId xmlns:a16="http://schemas.microsoft.com/office/drawing/2014/main" id="{00000000-0008-0000-4C00-00000F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604944" name="Check Box 16" hidden="1">
              <a:extLst>
                <a:ext uri="{63B3BB69-23CF-44E3-9099-C40C66FF867C}">
                  <a14:compatExt spid="_x0000_s20604944"/>
                </a:ext>
                <a:ext uri="{FF2B5EF4-FFF2-40B4-BE49-F238E27FC236}">
                  <a16:creationId xmlns:a16="http://schemas.microsoft.com/office/drawing/2014/main" id="{00000000-0008-0000-4C00-000010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604945" name="Check Box 17" hidden="1">
              <a:extLst>
                <a:ext uri="{63B3BB69-23CF-44E3-9099-C40C66FF867C}">
                  <a14:compatExt spid="_x0000_s20604945"/>
                </a:ext>
                <a:ext uri="{FF2B5EF4-FFF2-40B4-BE49-F238E27FC236}">
                  <a16:creationId xmlns:a16="http://schemas.microsoft.com/office/drawing/2014/main" id="{00000000-0008-0000-4C00-000011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604946" name="Check Box 18" hidden="1">
              <a:extLst>
                <a:ext uri="{63B3BB69-23CF-44E3-9099-C40C66FF867C}">
                  <a14:compatExt spid="_x0000_s20604946"/>
                </a:ext>
                <a:ext uri="{FF2B5EF4-FFF2-40B4-BE49-F238E27FC236}">
                  <a16:creationId xmlns:a16="http://schemas.microsoft.com/office/drawing/2014/main" id="{00000000-0008-0000-4C00-000012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604947" name="Check Box 19" hidden="1">
              <a:extLst>
                <a:ext uri="{63B3BB69-23CF-44E3-9099-C40C66FF867C}">
                  <a14:compatExt spid="_x0000_s20604947"/>
                </a:ext>
                <a:ext uri="{FF2B5EF4-FFF2-40B4-BE49-F238E27FC236}">
                  <a16:creationId xmlns:a16="http://schemas.microsoft.com/office/drawing/2014/main" id="{00000000-0008-0000-4C00-000013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604948" name="Check Box 20" hidden="1">
              <a:extLst>
                <a:ext uri="{63B3BB69-23CF-44E3-9099-C40C66FF867C}">
                  <a14:compatExt spid="_x0000_s20604948"/>
                </a:ext>
                <a:ext uri="{FF2B5EF4-FFF2-40B4-BE49-F238E27FC236}">
                  <a16:creationId xmlns:a16="http://schemas.microsoft.com/office/drawing/2014/main" id="{00000000-0008-0000-4C00-000014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604949" name="Check Box 21" hidden="1">
              <a:extLst>
                <a:ext uri="{63B3BB69-23CF-44E3-9099-C40C66FF867C}">
                  <a14:compatExt spid="_x0000_s20604949"/>
                </a:ext>
                <a:ext uri="{FF2B5EF4-FFF2-40B4-BE49-F238E27FC236}">
                  <a16:creationId xmlns:a16="http://schemas.microsoft.com/office/drawing/2014/main" id="{00000000-0008-0000-4C00-000015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604950" name="Check Box 22" hidden="1">
              <a:extLst>
                <a:ext uri="{63B3BB69-23CF-44E3-9099-C40C66FF867C}">
                  <a14:compatExt spid="_x0000_s20604950"/>
                </a:ext>
                <a:ext uri="{FF2B5EF4-FFF2-40B4-BE49-F238E27FC236}">
                  <a16:creationId xmlns:a16="http://schemas.microsoft.com/office/drawing/2014/main" id="{00000000-0008-0000-4C00-000016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604951" name="Check Box 23" hidden="1">
              <a:extLst>
                <a:ext uri="{63B3BB69-23CF-44E3-9099-C40C66FF867C}">
                  <a14:compatExt spid="_x0000_s20604951"/>
                </a:ext>
                <a:ext uri="{FF2B5EF4-FFF2-40B4-BE49-F238E27FC236}">
                  <a16:creationId xmlns:a16="http://schemas.microsoft.com/office/drawing/2014/main" id="{00000000-0008-0000-4C00-000017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604952" name="Check Box 24" hidden="1">
              <a:extLst>
                <a:ext uri="{63B3BB69-23CF-44E3-9099-C40C66FF867C}">
                  <a14:compatExt spid="_x0000_s20604952"/>
                </a:ext>
                <a:ext uri="{FF2B5EF4-FFF2-40B4-BE49-F238E27FC236}">
                  <a16:creationId xmlns:a16="http://schemas.microsoft.com/office/drawing/2014/main" id="{00000000-0008-0000-4C00-000018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604953" name="Check Box 25" hidden="1">
              <a:extLst>
                <a:ext uri="{63B3BB69-23CF-44E3-9099-C40C66FF867C}">
                  <a14:compatExt spid="_x0000_s20604953"/>
                </a:ext>
                <a:ext uri="{FF2B5EF4-FFF2-40B4-BE49-F238E27FC236}">
                  <a16:creationId xmlns:a16="http://schemas.microsoft.com/office/drawing/2014/main" id="{00000000-0008-0000-4C00-000019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604954" name="Check Box 26" hidden="1">
              <a:extLst>
                <a:ext uri="{63B3BB69-23CF-44E3-9099-C40C66FF867C}">
                  <a14:compatExt spid="_x0000_s20604954"/>
                </a:ext>
                <a:ext uri="{FF2B5EF4-FFF2-40B4-BE49-F238E27FC236}">
                  <a16:creationId xmlns:a16="http://schemas.microsoft.com/office/drawing/2014/main" id="{00000000-0008-0000-4C00-00001A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604955" name="Check Box 27" hidden="1">
              <a:extLst>
                <a:ext uri="{63B3BB69-23CF-44E3-9099-C40C66FF867C}">
                  <a14:compatExt spid="_x0000_s20604955"/>
                </a:ext>
                <a:ext uri="{FF2B5EF4-FFF2-40B4-BE49-F238E27FC236}">
                  <a16:creationId xmlns:a16="http://schemas.microsoft.com/office/drawing/2014/main" id="{00000000-0008-0000-4C00-00001B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604956" name="Button 28" hidden="1">
              <a:extLst>
                <a:ext uri="{63B3BB69-23CF-44E3-9099-C40C66FF867C}">
                  <a14:compatExt spid="_x0000_s20604956"/>
                </a:ext>
                <a:ext uri="{FF2B5EF4-FFF2-40B4-BE49-F238E27FC236}">
                  <a16:creationId xmlns:a16="http://schemas.microsoft.com/office/drawing/2014/main" id="{00000000-0008-0000-4C00-00001C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604957" name="Button 29" hidden="1">
              <a:extLst>
                <a:ext uri="{63B3BB69-23CF-44E3-9099-C40C66FF867C}">
                  <a14:compatExt spid="_x0000_s20604957"/>
                </a:ext>
                <a:ext uri="{FF2B5EF4-FFF2-40B4-BE49-F238E27FC236}">
                  <a16:creationId xmlns:a16="http://schemas.microsoft.com/office/drawing/2014/main" id="{00000000-0008-0000-4C00-00001D683A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604958" name="Check Box 30" hidden="1">
              <a:extLst>
                <a:ext uri="{63B3BB69-23CF-44E3-9099-C40C66FF867C}">
                  <a14:compatExt spid="_x0000_s20604958"/>
                </a:ext>
                <a:ext uri="{FF2B5EF4-FFF2-40B4-BE49-F238E27FC236}">
                  <a16:creationId xmlns:a16="http://schemas.microsoft.com/office/drawing/2014/main" id="{00000000-0008-0000-4C00-00001E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604959" name="Check Box 31" hidden="1">
              <a:extLst>
                <a:ext uri="{63B3BB69-23CF-44E3-9099-C40C66FF867C}">
                  <a14:compatExt spid="_x0000_s20604959"/>
                </a:ext>
                <a:ext uri="{FF2B5EF4-FFF2-40B4-BE49-F238E27FC236}">
                  <a16:creationId xmlns:a16="http://schemas.microsoft.com/office/drawing/2014/main" id="{00000000-0008-0000-4C00-00001F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604960" name="Check Box 32" hidden="1">
              <a:extLst>
                <a:ext uri="{63B3BB69-23CF-44E3-9099-C40C66FF867C}">
                  <a14:compatExt spid="_x0000_s20604960"/>
                </a:ext>
                <a:ext uri="{FF2B5EF4-FFF2-40B4-BE49-F238E27FC236}">
                  <a16:creationId xmlns:a16="http://schemas.microsoft.com/office/drawing/2014/main" id="{00000000-0008-0000-4C00-000020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604961" name="Check Box 33" hidden="1">
              <a:extLst>
                <a:ext uri="{63B3BB69-23CF-44E3-9099-C40C66FF867C}">
                  <a14:compatExt spid="_x0000_s20604961"/>
                </a:ext>
                <a:ext uri="{FF2B5EF4-FFF2-40B4-BE49-F238E27FC236}">
                  <a16:creationId xmlns:a16="http://schemas.microsoft.com/office/drawing/2014/main" id="{00000000-0008-0000-4C00-000021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604962" name="Check Box 34" hidden="1">
              <a:extLst>
                <a:ext uri="{63B3BB69-23CF-44E3-9099-C40C66FF867C}">
                  <a14:compatExt spid="_x0000_s20604962"/>
                </a:ext>
                <a:ext uri="{FF2B5EF4-FFF2-40B4-BE49-F238E27FC236}">
                  <a16:creationId xmlns:a16="http://schemas.microsoft.com/office/drawing/2014/main" id="{00000000-0008-0000-4C00-000022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604963" name="Check Box 35" hidden="1">
              <a:extLst>
                <a:ext uri="{63B3BB69-23CF-44E3-9099-C40C66FF867C}">
                  <a14:compatExt spid="_x0000_s20604963"/>
                </a:ext>
                <a:ext uri="{FF2B5EF4-FFF2-40B4-BE49-F238E27FC236}">
                  <a16:creationId xmlns:a16="http://schemas.microsoft.com/office/drawing/2014/main" id="{00000000-0008-0000-4C00-000023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604964" name="Check Box 36" hidden="1">
              <a:extLst>
                <a:ext uri="{63B3BB69-23CF-44E3-9099-C40C66FF867C}">
                  <a14:compatExt spid="_x0000_s20604964"/>
                </a:ext>
                <a:ext uri="{FF2B5EF4-FFF2-40B4-BE49-F238E27FC236}">
                  <a16:creationId xmlns:a16="http://schemas.microsoft.com/office/drawing/2014/main" id="{00000000-0008-0000-4C00-000024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604965" name="Check Box 37" hidden="1">
              <a:extLst>
                <a:ext uri="{63B3BB69-23CF-44E3-9099-C40C66FF867C}">
                  <a14:compatExt spid="_x0000_s20604965"/>
                </a:ext>
                <a:ext uri="{FF2B5EF4-FFF2-40B4-BE49-F238E27FC236}">
                  <a16:creationId xmlns:a16="http://schemas.microsoft.com/office/drawing/2014/main" id="{00000000-0008-0000-4C00-000025683A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9024F98-8FB7-4CF0-A175-6399EEB3A1F5}"/>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8E2414A-1022-469A-A377-750E48D0BE7A}"/>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318209" name="Check Box 1" hidden="1">
              <a:extLst>
                <a:ext uri="{63B3BB69-23CF-44E3-9099-C40C66FF867C}">
                  <a14:compatExt spid="_x0000_s20318209"/>
                </a:ext>
                <a:ext uri="{FF2B5EF4-FFF2-40B4-BE49-F238E27FC236}">
                  <a16:creationId xmlns:a16="http://schemas.microsoft.com/office/drawing/2014/main" id="{00000000-0008-0000-4D00-000001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318210" name="Check Box 2" hidden="1">
              <a:extLst>
                <a:ext uri="{63B3BB69-23CF-44E3-9099-C40C66FF867C}">
                  <a14:compatExt spid="_x0000_s20318210"/>
                </a:ext>
                <a:ext uri="{FF2B5EF4-FFF2-40B4-BE49-F238E27FC236}">
                  <a16:creationId xmlns:a16="http://schemas.microsoft.com/office/drawing/2014/main" id="{00000000-0008-0000-4D00-000002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318211" name="Check Box 3" hidden="1">
              <a:extLst>
                <a:ext uri="{63B3BB69-23CF-44E3-9099-C40C66FF867C}">
                  <a14:compatExt spid="_x0000_s20318211"/>
                </a:ext>
                <a:ext uri="{FF2B5EF4-FFF2-40B4-BE49-F238E27FC236}">
                  <a16:creationId xmlns:a16="http://schemas.microsoft.com/office/drawing/2014/main" id="{00000000-0008-0000-4D00-000003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318212" name="Check Box 4" hidden="1">
              <a:extLst>
                <a:ext uri="{63B3BB69-23CF-44E3-9099-C40C66FF867C}">
                  <a14:compatExt spid="_x0000_s20318212"/>
                </a:ext>
                <a:ext uri="{FF2B5EF4-FFF2-40B4-BE49-F238E27FC236}">
                  <a16:creationId xmlns:a16="http://schemas.microsoft.com/office/drawing/2014/main" id="{00000000-0008-0000-4D00-000004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318213" name="Check Box 5" hidden="1">
              <a:extLst>
                <a:ext uri="{63B3BB69-23CF-44E3-9099-C40C66FF867C}">
                  <a14:compatExt spid="_x0000_s20318213"/>
                </a:ext>
                <a:ext uri="{FF2B5EF4-FFF2-40B4-BE49-F238E27FC236}">
                  <a16:creationId xmlns:a16="http://schemas.microsoft.com/office/drawing/2014/main" id="{00000000-0008-0000-4D00-000005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318214" name="Check Box 6" hidden="1">
              <a:extLst>
                <a:ext uri="{63B3BB69-23CF-44E3-9099-C40C66FF867C}">
                  <a14:compatExt spid="_x0000_s20318214"/>
                </a:ext>
                <a:ext uri="{FF2B5EF4-FFF2-40B4-BE49-F238E27FC236}">
                  <a16:creationId xmlns:a16="http://schemas.microsoft.com/office/drawing/2014/main" id="{00000000-0008-0000-4D00-000006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318215" name="Check Box 7" hidden="1">
              <a:extLst>
                <a:ext uri="{63B3BB69-23CF-44E3-9099-C40C66FF867C}">
                  <a14:compatExt spid="_x0000_s20318215"/>
                </a:ext>
                <a:ext uri="{FF2B5EF4-FFF2-40B4-BE49-F238E27FC236}">
                  <a16:creationId xmlns:a16="http://schemas.microsoft.com/office/drawing/2014/main" id="{00000000-0008-0000-4D00-000007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318216" name="Button 8" hidden="1">
              <a:extLst>
                <a:ext uri="{63B3BB69-23CF-44E3-9099-C40C66FF867C}">
                  <a14:compatExt spid="_x0000_s20318216"/>
                </a:ext>
                <a:ext uri="{FF2B5EF4-FFF2-40B4-BE49-F238E27FC236}">
                  <a16:creationId xmlns:a16="http://schemas.microsoft.com/office/drawing/2014/main" id="{00000000-0008-0000-4D00-000008083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318217" name="Button 9" hidden="1">
              <a:extLst>
                <a:ext uri="{63B3BB69-23CF-44E3-9099-C40C66FF867C}">
                  <a14:compatExt spid="_x0000_s20318217"/>
                </a:ext>
                <a:ext uri="{FF2B5EF4-FFF2-40B4-BE49-F238E27FC236}">
                  <a16:creationId xmlns:a16="http://schemas.microsoft.com/office/drawing/2014/main" id="{00000000-0008-0000-4D00-0000090836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318218" name="Check Box 10" hidden="1">
              <a:extLst>
                <a:ext uri="{63B3BB69-23CF-44E3-9099-C40C66FF867C}">
                  <a14:compatExt spid="_x0000_s20318218"/>
                </a:ext>
                <a:ext uri="{FF2B5EF4-FFF2-40B4-BE49-F238E27FC236}">
                  <a16:creationId xmlns:a16="http://schemas.microsoft.com/office/drawing/2014/main" id="{00000000-0008-0000-4D00-00000A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318219" name="Button 11" hidden="1">
              <a:extLst>
                <a:ext uri="{63B3BB69-23CF-44E3-9099-C40C66FF867C}">
                  <a14:compatExt spid="_x0000_s20318219"/>
                </a:ext>
                <a:ext uri="{FF2B5EF4-FFF2-40B4-BE49-F238E27FC236}">
                  <a16:creationId xmlns:a16="http://schemas.microsoft.com/office/drawing/2014/main" id="{00000000-0008-0000-4D00-00000B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318220" name="Button 12" hidden="1">
              <a:extLst>
                <a:ext uri="{63B3BB69-23CF-44E3-9099-C40C66FF867C}">
                  <a14:compatExt spid="_x0000_s20318220"/>
                </a:ext>
                <a:ext uri="{FF2B5EF4-FFF2-40B4-BE49-F238E27FC236}">
                  <a16:creationId xmlns:a16="http://schemas.microsoft.com/office/drawing/2014/main" id="{00000000-0008-0000-4D00-00000C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318221" name="Button 13" hidden="1">
              <a:extLst>
                <a:ext uri="{63B3BB69-23CF-44E3-9099-C40C66FF867C}">
                  <a14:compatExt spid="_x0000_s20318221"/>
                </a:ext>
                <a:ext uri="{FF2B5EF4-FFF2-40B4-BE49-F238E27FC236}">
                  <a16:creationId xmlns:a16="http://schemas.microsoft.com/office/drawing/2014/main" id="{00000000-0008-0000-4D00-00000D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318222" name="Button 14" hidden="1">
              <a:extLst>
                <a:ext uri="{63B3BB69-23CF-44E3-9099-C40C66FF867C}">
                  <a14:compatExt spid="_x0000_s20318222"/>
                </a:ext>
                <a:ext uri="{FF2B5EF4-FFF2-40B4-BE49-F238E27FC236}">
                  <a16:creationId xmlns:a16="http://schemas.microsoft.com/office/drawing/2014/main" id="{00000000-0008-0000-4D00-00000E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318223" name="Check Box 15" hidden="1">
              <a:extLst>
                <a:ext uri="{63B3BB69-23CF-44E3-9099-C40C66FF867C}">
                  <a14:compatExt spid="_x0000_s20318223"/>
                </a:ext>
                <a:ext uri="{FF2B5EF4-FFF2-40B4-BE49-F238E27FC236}">
                  <a16:creationId xmlns:a16="http://schemas.microsoft.com/office/drawing/2014/main" id="{00000000-0008-0000-4D00-00000F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318224" name="Check Box 16" hidden="1">
              <a:extLst>
                <a:ext uri="{63B3BB69-23CF-44E3-9099-C40C66FF867C}">
                  <a14:compatExt spid="_x0000_s20318224"/>
                </a:ext>
                <a:ext uri="{FF2B5EF4-FFF2-40B4-BE49-F238E27FC236}">
                  <a16:creationId xmlns:a16="http://schemas.microsoft.com/office/drawing/2014/main" id="{00000000-0008-0000-4D00-000010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318225" name="Check Box 17" hidden="1">
              <a:extLst>
                <a:ext uri="{63B3BB69-23CF-44E3-9099-C40C66FF867C}">
                  <a14:compatExt spid="_x0000_s20318225"/>
                </a:ext>
                <a:ext uri="{FF2B5EF4-FFF2-40B4-BE49-F238E27FC236}">
                  <a16:creationId xmlns:a16="http://schemas.microsoft.com/office/drawing/2014/main" id="{00000000-0008-0000-4D00-000011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318226" name="Check Box 18" hidden="1">
              <a:extLst>
                <a:ext uri="{63B3BB69-23CF-44E3-9099-C40C66FF867C}">
                  <a14:compatExt spid="_x0000_s20318226"/>
                </a:ext>
                <a:ext uri="{FF2B5EF4-FFF2-40B4-BE49-F238E27FC236}">
                  <a16:creationId xmlns:a16="http://schemas.microsoft.com/office/drawing/2014/main" id="{00000000-0008-0000-4D00-000012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318227" name="Check Box 19" hidden="1">
              <a:extLst>
                <a:ext uri="{63B3BB69-23CF-44E3-9099-C40C66FF867C}">
                  <a14:compatExt spid="_x0000_s20318227"/>
                </a:ext>
                <a:ext uri="{FF2B5EF4-FFF2-40B4-BE49-F238E27FC236}">
                  <a16:creationId xmlns:a16="http://schemas.microsoft.com/office/drawing/2014/main" id="{00000000-0008-0000-4D00-000013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318228" name="Check Box 20" hidden="1">
              <a:extLst>
                <a:ext uri="{63B3BB69-23CF-44E3-9099-C40C66FF867C}">
                  <a14:compatExt spid="_x0000_s20318228"/>
                </a:ext>
                <a:ext uri="{FF2B5EF4-FFF2-40B4-BE49-F238E27FC236}">
                  <a16:creationId xmlns:a16="http://schemas.microsoft.com/office/drawing/2014/main" id="{00000000-0008-0000-4D00-000014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318229" name="Check Box 21" hidden="1">
              <a:extLst>
                <a:ext uri="{63B3BB69-23CF-44E3-9099-C40C66FF867C}">
                  <a14:compatExt spid="_x0000_s20318229"/>
                </a:ext>
                <a:ext uri="{FF2B5EF4-FFF2-40B4-BE49-F238E27FC236}">
                  <a16:creationId xmlns:a16="http://schemas.microsoft.com/office/drawing/2014/main" id="{00000000-0008-0000-4D00-000015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318230" name="Check Box 22" hidden="1">
              <a:extLst>
                <a:ext uri="{63B3BB69-23CF-44E3-9099-C40C66FF867C}">
                  <a14:compatExt spid="_x0000_s20318230"/>
                </a:ext>
                <a:ext uri="{FF2B5EF4-FFF2-40B4-BE49-F238E27FC236}">
                  <a16:creationId xmlns:a16="http://schemas.microsoft.com/office/drawing/2014/main" id="{00000000-0008-0000-4D00-000016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318231" name="Check Box 23" hidden="1">
              <a:extLst>
                <a:ext uri="{63B3BB69-23CF-44E3-9099-C40C66FF867C}">
                  <a14:compatExt spid="_x0000_s20318231"/>
                </a:ext>
                <a:ext uri="{FF2B5EF4-FFF2-40B4-BE49-F238E27FC236}">
                  <a16:creationId xmlns:a16="http://schemas.microsoft.com/office/drawing/2014/main" id="{00000000-0008-0000-4D00-000017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318232" name="Check Box 24" hidden="1">
              <a:extLst>
                <a:ext uri="{63B3BB69-23CF-44E3-9099-C40C66FF867C}">
                  <a14:compatExt spid="_x0000_s20318232"/>
                </a:ext>
                <a:ext uri="{FF2B5EF4-FFF2-40B4-BE49-F238E27FC236}">
                  <a16:creationId xmlns:a16="http://schemas.microsoft.com/office/drawing/2014/main" id="{00000000-0008-0000-4D00-000018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318233" name="Check Box 25" hidden="1">
              <a:extLst>
                <a:ext uri="{63B3BB69-23CF-44E3-9099-C40C66FF867C}">
                  <a14:compatExt spid="_x0000_s20318233"/>
                </a:ext>
                <a:ext uri="{FF2B5EF4-FFF2-40B4-BE49-F238E27FC236}">
                  <a16:creationId xmlns:a16="http://schemas.microsoft.com/office/drawing/2014/main" id="{00000000-0008-0000-4D00-000019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318234" name="Check Box 26" hidden="1">
              <a:extLst>
                <a:ext uri="{63B3BB69-23CF-44E3-9099-C40C66FF867C}">
                  <a14:compatExt spid="_x0000_s20318234"/>
                </a:ext>
                <a:ext uri="{FF2B5EF4-FFF2-40B4-BE49-F238E27FC236}">
                  <a16:creationId xmlns:a16="http://schemas.microsoft.com/office/drawing/2014/main" id="{00000000-0008-0000-4D00-00001A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318235" name="Check Box 27" hidden="1">
              <a:extLst>
                <a:ext uri="{63B3BB69-23CF-44E3-9099-C40C66FF867C}">
                  <a14:compatExt spid="_x0000_s20318235"/>
                </a:ext>
                <a:ext uri="{FF2B5EF4-FFF2-40B4-BE49-F238E27FC236}">
                  <a16:creationId xmlns:a16="http://schemas.microsoft.com/office/drawing/2014/main" id="{00000000-0008-0000-4D00-00001B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318236" name="Button 28" hidden="1">
              <a:extLst>
                <a:ext uri="{63B3BB69-23CF-44E3-9099-C40C66FF867C}">
                  <a14:compatExt spid="_x0000_s20318236"/>
                </a:ext>
                <a:ext uri="{FF2B5EF4-FFF2-40B4-BE49-F238E27FC236}">
                  <a16:creationId xmlns:a16="http://schemas.microsoft.com/office/drawing/2014/main" id="{00000000-0008-0000-4D00-00001C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318237" name="Button 29" hidden="1">
              <a:extLst>
                <a:ext uri="{63B3BB69-23CF-44E3-9099-C40C66FF867C}">
                  <a14:compatExt spid="_x0000_s20318237"/>
                </a:ext>
                <a:ext uri="{FF2B5EF4-FFF2-40B4-BE49-F238E27FC236}">
                  <a16:creationId xmlns:a16="http://schemas.microsoft.com/office/drawing/2014/main" id="{00000000-0008-0000-4D00-00001D0836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318238" name="Check Box 30" hidden="1">
              <a:extLst>
                <a:ext uri="{63B3BB69-23CF-44E3-9099-C40C66FF867C}">
                  <a14:compatExt spid="_x0000_s20318238"/>
                </a:ext>
                <a:ext uri="{FF2B5EF4-FFF2-40B4-BE49-F238E27FC236}">
                  <a16:creationId xmlns:a16="http://schemas.microsoft.com/office/drawing/2014/main" id="{00000000-0008-0000-4D00-00001E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318239" name="Check Box 31" hidden="1">
              <a:extLst>
                <a:ext uri="{63B3BB69-23CF-44E3-9099-C40C66FF867C}">
                  <a14:compatExt spid="_x0000_s20318239"/>
                </a:ext>
                <a:ext uri="{FF2B5EF4-FFF2-40B4-BE49-F238E27FC236}">
                  <a16:creationId xmlns:a16="http://schemas.microsoft.com/office/drawing/2014/main" id="{00000000-0008-0000-4D00-00001F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318240" name="Check Box 32" hidden="1">
              <a:extLst>
                <a:ext uri="{63B3BB69-23CF-44E3-9099-C40C66FF867C}">
                  <a14:compatExt spid="_x0000_s20318240"/>
                </a:ext>
                <a:ext uri="{FF2B5EF4-FFF2-40B4-BE49-F238E27FC236}">
                  <a16:creationId xmlns:a16="http://schemas.microsoft.com/office/drawing/2014/main" id="{00000000-0008-0000-4D00-000020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318241" name="Check Box 33" hidden="1">
              <a:extLst>
                <a:ext uri="{63B3BB69-23CF-44E3-9099-C40C66FF867C}">
                  <a14:compatExt spid="_x0000_s20318241"/>
                </a:ext>
                <a:ext uri="{FF2B5EF4-FFF2-40B4-BE49-F238E27FC236}">
                  <a16:creationId xmlns:a16="http://schemas.microsoft.com/office/drawing/2014/main" id="{00000000-0008-0000-4D00-000021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318242" name="Check Box 34" hidden="1">
              <a:extLst>
                <a:ext uri="{63B3BB69-23CF-44E3-9099-C40C66FF867C}">
                  <a14:compatExt spid="_x0000_s20318242"/>
                </a:ext>
                <a:ext uri="{FF2B5EF4-FFF2-40B4-BE49-F238E27FC236}">
                  <a16:creationId xmlns:a16="http://schemas.microsoft.com/office/drawing/2014/main" id="{00000000-0008-0000-4D00-000022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318243" name="Check Box 35" hidden="1">
              <a:extLst>
                <a:ext uri="{63B3BB69-23CF-44E3-9099-C40C66FF867C}">
                  <a14:compatExt spid="_x0000_s20318243"/>
                </a:ext>
                <a:ext uri="{FF2B5EF4-FFF2-40B4-BE49-F238E27FC236}">
                  <a16:creationId xmlns:a16="http://schemas.microsoft.com/office/drawing/2014/main" id="{00000000-0008-0000-4D00-000023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318244" name="Check Box 36" hidden="1">
              <a:extLst>
                <a:ext uri="{63B3BB69-23CF-44E3-9099-C40C66FF867C}">
                  <a14:compatExt spid="_x0000_s20318244"/>
                </a:ext>
                <a:ext uri="{FF2B5EF4-FFF2-40B4-BE49-F238E27FC236}">
                  <a16:creationId xmlns:a16="http://schemas.microsoft.com/office/drawing/2014/main" id="{00000000-0008-0000-4D00-000024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318245" name="Check Box 37" hidden="1">
              <a:extLst>
                <a:ext uri="{63B3BB69-23CF-44E3-9099-C40C66FF867C}">
                  <a14:compatExt spid="_x0000_s20318245"/>
                </a:ext>
                <a:ext uri="{FF2B5EF4-FFF2-40B4-BE49-F238E27FC236}">
                  <a16:creationId xmlns:a16="http://schemas.microsoft.com/office/drawing/2014/main" id="{00000000-0008-0000-4D00-000025083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B8AF59EF-C19C-463C-8A51-DF316B0B43DE}"/>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0AE74BD-86CF-4611-A64A-AD77765F2330}"/>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0040705" name="Check Box 1" hidden="1">
              <a:extLst>
                <a:ext uri="{63B3BB69-23CF-44E3-9099-C40C66FF867C}">
                  <a14:compatExt spid="_x0000_s20040705"/>
                </a:ext>
                <a:ext uri="{FF2B5EF4-FFF2-40B4-BE49-F238E27FC236}">
                  <a16:creationId xmlns:a16="http://schemas.microsoft.com/office/drawing/2014/main" id="{00000000-0008-0000-4E00-000001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0040706" name="Check Box 2" hidden="1">
              <a:extLst>
                <a:ext uri="{63B3BB69-23CF-44E3-9099-C40C66FF867C}">
                  <a14:compatExt spid="_x0000_s20040706"/>
                </a:ext>
                <a:ext uri="{FF2B5EF4-FFF2-40B4-BE49-F238E27FC236}">
                  <a16:creationId xmlns:a16="http://schemas.microsoft.com/office/drawing/2014/main" id="{00000000-0008-0000-4E00-000002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040707" name="Check Box 3" hidden="1">
              <a:extLst>
                <a:ext uri="{63B3BB69-23CF-44E3-9099-C40C66FF867C}">
                  <a14:compatExt spid="_x0000_s20040707"/>
                </a:ext>
                <a:ext uri="{FF2B5EF4-FFF2-40B4-BE49-F238E27FC236}">
                  <a16:creationId xmlns:a16="http://schemas.microsoft.com/office/drawing/2014/main" id="{00000000-0008-0000-4E00-000003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040708" name="Check Box 4" hidden="1">
              <a:extLst>
                <a:ext uri="{63B3BB69-23CF-44E3-9099-C40C66FF867C}">
                  <a14:compatExt spid="_x0000_s20040708"/>
                </a:ext>
                <a:ext uri="{FF2B5EF4-FFF2-40B4-BE49-F238E27FC236}">
                  <a16:creationId xmlns:a16="http://schemas.microsoft.com/office/drawing/2014/main" id="{00000000-0008-0000-4E00-000004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040709" name="Check Box 5" hidden="1">
              <a:extLst>
                <a:ext uri="{63B3BB69-23CF-44E3-9099-C40C66FF867C}">
                  <a14:compatExt spid="_x0000_s20040709"/>
                </a:ext>
                <a:ext uri="{FF2B5EF4-FFF2-40B4-BE49-F238E27FC236}">
                  <a16:creationId xmlns:a16="http://schemas.microsoft.com/office/drawing/2014/main" id="{00000000-0008-0000-4E00-000005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040710" name="Check Box 6" hidden="1">
              <a:extLst>
                <a:ext uri="{63B3BB69-23CF-44E3-9099-C40C66FF867C}">
                  <a14:compatExt spid="_x0000_s20040710"/>
                </a:ext>
                <a:ext uri="{FF2B5EF4-FFF2-40B4-BE49-F238E27FC236}">
                  <a16:creationId xmlns:a16="http://schemas.microsoft.com/office/drawing/2014/main" id="{00000000-0008-0000-4E00-000006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040711" name="Check Box 7" hidden="1">
              <a:extLst>
                <a:ext uri="{63B3BB69-23CF-44E3-9099-C40C66FF867C}">
                  <a14:compatExt spid="_x0000_s20040711"/>
                </a:ext>
                <a:ext uri="{FF2B5EF4-FFF2-40B4-BE49-F238E27FC236}">
                  <a16:creationId xmlns:a16="http://schemas.microsoft.com/office/drawing/2014/main" id="{00000000-0008-0000-4E00-000007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040712" name="Button 8" hidden="1">
              <a:extLst>
                <a:ext uri="{63B3BB69-23CF-44E3-9099-C40C66FF867C}">
                  <a14:compatExt spid="_x0000_s20040712"/>
                </a:ext>
                <a:ext uri="{FF2B5EF4-FFF2-40B4-BE49-F238E27FC236}">
                  <a16:creationId xmlns:a16="http://schemas.microsoft.com/office/drawing/2014/main" id="{00000000-0008-0000-4E00-000008CC3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040713" name="Button 9" hidden="1">
              <a:extLst>
                <a:ext uri="{63B3BB69-23CF-44E3-9099-C40C66FF867C}">
                  <a14:compatExt spid="_x0000_s20040713"/>
                </a:ext>
                <a:ext uri="{FF2B5EF4-FFF2-40B4-BE49-F238E27FC236}">
                  <a16:creationId xmlns:a16="http://schemas.microsoft.com/office/drawing/2014/main" id="{00000000-0008-0000-4E00-000009CC3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0040714" name="Check Box 10" hidden="1">
              <a:extLst>
                <a:ext uri="{63B3BB69-23CF-44E3-9099-C40C66FF867C}">
                  <a14:compatExt spid="_x0000_s20040714"/>
                </a:ext>
                <a:ext uri="{FF2B5EF4-FFF2-40B4-BE49-F238E27FC236}">
                  <a16:creationId xmlns:a16="http://schemas.microsoft.com/office/drawing/2014/main" id="{00000000-0008-0000-4E00-00000A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0040715" name="Button 11" hidden="1">
              <a:extLst>
                <a:ext uri="{63B3BB69-23CF-44E3-9099-C40C66FF867C}">
                  <a14:compatExt spid="_x0000_s20040715"/>
                </a:ext>
                <a:ext uri="{FF2B5EF4-FFF2-40B4-BE49-F238E27FC236}">
                  <a16:creationId xmlns:a16="http://schemas.microsoft.com/office/drawing/2014/main" id="{00000000-0008-0000-4E00-00000B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0040716" name="Button 12" hidden="1">
              <a:extLst>
                <a:ext uri="{63B3BB69-23CF-44E3-9099-C40C66FF867C}">
                  <a14:compatExt spid="_x0000_s20040716"/>
                </a:ext>
                <a:ext uri="{FF2B5EF4-FFF2-40B4-BE49-F238E27FC236}">
                  <a16:creationId xmlns:a16="http://schemas.microsoft.com/office/drawing/2014/main" id="{00000000-0008-0000-4E00-00000C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0040717" name="Button 13" hidden="1">
              <a:extLst>
                <a:ext uri="{63B3BB69-23CF-44E3-9099-C40C66FF867C}">
                  <a14:compatExt spid="_x0000_s20040717"/>
                </a:ext>
                <a:ext uri="{FF2B5EF4-FFF2-40B4-BE49-F238E27FC236}">
                  <a16:creationId xmlns:a16="http://schemas.microsoft.com/office/drawing/2014/main" id="{00000000-0008-0000-4E00-00000D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040718" name="Button 14" hidden="1">
              <a:extLst>
                <a:ext uri="{63B3BB69-23CF-44E3-9099-C40C66FF867C}">
                  <a14:compatExt spid="_x0000_s20040718"/>
                </a:ext>
                <a:ext uri="{FF2B5EF4-FFF2-40B4-BE49-F238E27FC236}">
                  <a16:creationId xmlns:a16="http://schemas.microsoft.com/office/drawing/2014/main" id="{00000000-0008-0000-4E00-00000E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0040719" name="Check Box 15" hidden="1">
              <a:extLst>
                <a:ext uri="{63B3BB69-23CF-44E3-9099-C40C66FF867C}">
                  <a14:compatExt spid="_x0000_s20040719"/>
                </a:ext>
                <a:ext uri="{FF2B5EF4-FFF2-40B4-BE49-F238E27FC236}">
                  <a16:creationId xmlns:a16="http://schemas.microsoft.com/office/drawing/2014/main" id="{00000000-0008-0000-4E00-00000F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0040720" name="Check Box 16" hidden="1">
              <a:extLst>
                <a:ext uri="{63B3BB69-23CF-44E3-9099-C40C66FF867C}">
                  <a14:compatExt spid="_x0000_s20040720"/>
                </a:ext>
                <a:ext uri="{FF2B5EF4-FFF2-40B4-BE49-F238E27FC236}">
                  <a16:creationId xmlns:a16="http://schemas.microsoft.com/office/drawing/2014/main" id="{00000000-0008-0000-4E00-000010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0040721" name="Check Box 17" hidden="1">
              <a:extLst>
                <a:ext uri="{63B3BB69-23CF-44E3-9099-C40C66FF867C}">
                  <a14:compatExt spid="_x0000_s20040721"/>
                </a:ext>
                <a:ext uri="{FF2B5EF4-FFF2-40B4-BE49-F238E27FC236}">
                  <a16:creationId xmlns:a16="http://schemas.microsoft.com/office/drawing/2014/main" id="{00000000-0008-0000-4E00-000011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040722" name="Check Box 18" hidden="1">
              <a:extLst>
                <a:ext uri="{63B3BB69-23CF-44E3-9099-C40C66FF867C}">
                  <a14:compatExt spid="_x0000_s20040722"/>
                </a:ext>
                <a:ext uri="{FF2B5EF4-FFF2-40B4-BE49-F238E27FC236}">
                  <a16:creationId xmlns:a16="http://schemas.microsoft.com/office/drawing/2014/main" id="{00000000-0008-0000-4E00-000012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040723" name="Check Box 19" hidden="1">
              <a:extLst>
                <a:ext uri="{63B3BB69-23CF-44E3-9099-C40C66FF867C}">
                  <a14:compatExt spid="_x0000_s20040723"/>
                </a:ext>
                <a:ext uri="{FF2B5EF4-FFF2-40B4-BE49-F238E27FC236}">
                  <a16:creationId xmlns:a16="http://schemas.microsoft.com/office/drawing/2014/main" id="{00000000-0008-0000-4E00-000013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20040724" name="Check Box 20" hidden="1">
              <a:extLst>
                <a:ext uri="{63B3BB69-23CF-44E3-9099-C40C66FF867C}">
                  <a14:compatExt spid="_x0000_s20040724"/>
                </a:ext>
                <a:ext uri="{FF2B5EF4-FFF2-40B4-BE49-F238E27FC236}">
                  <a16:creationId xmlns:a16="http://schemas.microsoft.com/office/drawing/2014/main" id="{00000000-0008-0000-4E00-000014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0040725" name="Check Box 21" hidden="1">
              <a:extLst>
                <a:ext uri="{63B3BB69-23CF-44E3-9099-C40C66FF867C}">
                  <a14:compatExt spid="_x0000_s20040725"/>
                </a:ext>
                <a:ext uri="{FF2B5EF4-FFF2-40B4-BE49-F238E27FC236}">
                  <a16:creationId xmlns:a16="http://schemas.microsoft.com/office/drawing/2014/main" id="{00000000-0008-0000-4E00-000015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0040726" name="Check Box 22" hidden="1">
              <a:extLst>
                <a:ext uri="{63B3BB69-23CF-44E3-9099-C40C66FF867C}">
                  <a14:compatExt spid="_x0000_s20040726"/>
                </a:ext>
                <a:ext uri="{FF2B5EF4-FFF2-40B4-BE49-F238E27FC236}">
                  <a16:creationId xmlns:a16="http://schemas.microsoft.com/office/drawing/2014/main" id="{00000000-0008-0000-4E00-000016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0040727" name="Check Box 23" hidden="1">
              <a:extLst>
                <a:ext uri="{63B3BB69-23CF-44E3-9099-C40C66FF867C}">
                  <a14:compatExt spid="_x0000_s20040727"/>
                </a:ext>
                <a:ext uri="{FF2B5EF4-FFF2-40B4-BE49-F238E27FC236}">
                  <a16:creationId xmlns:a16="http://schemas.microsoft.com/office/drawing/2014/main" id="{00000000-0008-0000-4E00-000017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040728" name="Check Box 24" hidden="1">
              <a:extLst>
                <a:ext uri="{63B3BB69-23CF-44E3-9099-C40C66FF867C}">
                  <a14:compatExt spid="_x0000_s20040728"/>
                </a:ext>
                <a:ext uri="{FF2B5EF4-FFF2-40B4-BE49-F238E27FC236}">
                  <a16:creationId xmlns:a16="http://schemas.microsoft.com/office/drawing/2014/main" id="{00000000-0008-0000-4E00-000018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040729" name="Check Box 25" hidden="1">
              <a:extLst>
                <a:ext uri="{63B3BB69-23CF-44E3-9099-C40C66FF867C}">
                  <a14:compatExt spid="_x0000_s20040729"/>
                </a:ext>
                <a:ext uri="{FF2B5EF4-FFF2-40B4-BE49-F238E27FC236}">
                  <a16:creationId xmlns:a16="http://schemas.microsoft.com/office/drawing/2014/main" id="{00000000-0008-0000-4E00-000019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040730" name="Check Box 26" hidden="1">
              <a:extLst>
                <a:ext uri="{63B3BB69-23CF-44E3-9099-C40C66FF867C}">
                  <a14:compatExt spid="_x0000_s20040730"/>
                </a:ext>
                <a:ext uri="{FF2B5EF4-FFF2-40B4-BE49-F238E27FC236}">
                  <a16:creationId xmlns:a16="http://schemas.microsoft.com/office/drawing/2014/main" id="{00000000-0008-0000-4E00-00001A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0040731" name="Check Box 27" hidden="1">
              <a:extLst>
                <a:ext uri="{63B3BB69-23CF-44E3-9099-C40C66FF867C}">
                  <a14:compatExt spid="_x0000_s20040731"/>
                </a:ext>
                <a:ext uri="{FF2B5EF4-FFF2-40B4-BE49-F238E27FC236}">
                  <a16:creationId xmlns:a16="http://schemas.microsoft.com/office/drawing/2014/main" id="{00000000-0008-0000-4E00-00001B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0040732" name="Button 28" hidden="1">
              <a:extLst>
                <a:ext uri="{63B3BB69-23CF-44E3-9099-C40C66FF867C}">
                  <a14:compatExt spid="_x0000_s20040732"/>
                </a:ext>
                <a:ext uri="{FF2B5EF4-FFF2-40B4-BE49-F238E27FC236}">
                  <a16:creationId xmlns:a16="http://schemas.microsoft.com/office/drawing/2014/main" id="{00000000-0008-0000-4E00-00001C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0040733" name="Button 29" hidden="1">
              <a:extLst>
                <a:ext uri="{63B3BB69-23CF-44E3-9099-C40C66FF867C}">
                  <a14:compatExt spid="_x0000_s20040733"/>
                </a:ext>
                <a:ext uri="{FF2B5EF4-FFF2-40B4-BE49-F238E27FC236}">
                  <a16:creationId xmlns:a16="http://schemas.microsoft.com/office/drawing/2014/main" id="{00000000-0008-0000-4E00-00001DCC3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20040734" name="Check Box 30" hidden="1">
              <a:extLst>
                <a:ext uri="{63B3BB69-23CF-44E3-9099-C40C66FF867C}">
                  <a14:compatExt spid="_x0000_s20040734"/>
                </a:ext>
                <a:ext uri="{FF2B5EF4-FFF2-40B4-BE49-F238E27FC236}">
                  <a16:creationId xmlns:a16="http://schemas.microsoft.com/office/drawing/2014/main" id="{00000000-0008-0000-4E00-00001E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040735" name="Check Box 31" hidden="1">
              <a:extLst>
                <a:ext uri="{63B3BB69-23CF-44E3-9099-C40C66FF867C}">
                  <a14:compatExt spid="_x0000_s20040735"/>
                </a:ext>
                <a:ext uri="{FF2B5EF4-FFF2-40B4-BE49-F238E27FC236}">
                  <a16:creationId xmlns:a16="http://schemas.microsoft.com/office/drawing/2014/main" id="{00000000-0008-0000-4E00-00001F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040736" name="Check Box 32" hidden="1">
              <a:extLst>
                <a:ext uri="{63B3BB69-23CF-44E3-9099-C40C66FF867C}">
                  <a14:compatExt spid="_x0000_s20040736"/>
                </a:ext>
                <a:ext uri="{FF2B5EF4-FFF2-40B4-BE49-F238E27FC236}">
                  <a16:creationId xmlns:a16="http://schemas.microsoft.com/office/drawing/2014/main" id="{00000000-0008-0000-4E00-000020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040737" name="Check Box 33" hidden="1">
              <a:extLst>
                <a:ext uri="{63B3BB69-23CF-44E3-9099-C40C66FF867C}">
                  <a14:compatExt spid="_x0000_s20040737"/>
                </a:ext>
                <a:ext uri="{FF2B5EF4-FFF2-40B4-BE49-F238E27FC236}">
                  <a16:creationId xmlns:a16="http://schemas.microsoft.com/office/drawing/2014/main" id="{00000000-0008-0000-4E00-000021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20040738" name="Check Box 34" hidden="1">
              <a:extLst>
                <a:ext uri="{63B3BB69-23CF-44E3-9099-C40C66FF867C}">
                  <a14:compatExt spid="_x0000_s20040738"/>
                </a:ext>
                <a:ext uri="{FF2B5EF4-FFF2-40B4-BE49-F238E27FC236}">
                  <a16:creationId xmlns:a16="http://schemas.microsoft.com/office/drawing/2014/main" id="{00000000-0008-0000-4E00-000022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20040739" name="Check Box 35" hidden="1">
              <a:extLst>
                <a:ext uri="{63B3BB69-23CF-44E3-9099-C40C66FF867C}">
                  <a14:compatExt spid="_x0000_s20040739"/>
                </a:ext>
                <a:ext uri="{FF2B5EF4-FFF2-40B4-BE49-F238E27FC236}">
                  <a16:creationId xmlns:a16="http://schemas.microsoft.com/office/drawing/2014/main" id="{00000000-0008-0000-4E00-000023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20040740" name="Check Box 36" hidden="1">
              <a:extLst>
                <a:ext uri="{63B3BB69-23CF-44E3-9099-C40C66FF867C}">
                  <a14:compatExt spid="_x0000_s20040740"/>
                </a:ext>
                <a:ext uri="{FF2B5EF4-FFF2-40B4-BE49-F238E27FC236}">
                  <a16:creationId xmlns:a16="http://schemas.microsoft.com/office/drawing/2014/main" id="{00000000-0008-0000-4E00-000024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20040741" name="Check Box 37" hidden="1">
              <a:extLst>
                <a:ext uri="{63B3BB69-23CF-44E3-9099-C40C66FF867C}">
                  <a14:compatExt spid="_x0000_s20040741"/>
                </a:ext>
                <a:ext uri="{FF2B5EF4-FFF2-40B4-BE49-F238E27FC236}">
                  <a16:creationId xmlns:a16="http://schemas.microsoft.com/office/drawing/2014/main" id="{00000000-0008-0000-4E00-000025CC3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0786649-E8E1-494B-B3C5-D9EF3A726DF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0B6FACE8-E716-46B8-B111-B0A383E3DAD7}"/>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903489" name="Check Box 1" hidden="1">
              <a:extLst>
                <a:ext uri="{63B3BB69-23CF-44E3-9099-C40C66FF867C}">
                  <a14:compatExt spid="_x0000_s19903489"/>
                </a:ext>
                <a:ext uri="{FF2B5EF4-FFF2-40B4-BE49-F238E27FC236}">
                  <a16:creationId xmlns:a16="http://schemas.microsoft.com/office/drawing/2014/main" id="{00000000-0008-0000-4F00-000001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903490" name="Check Box 2" hidden="1">
              <a:extLst>
                <a:ext uri="{63B3BB69-23CF-44E3-9099-C40C66FF867C}">
                  <a14:compatExt spid="_x0000_s19903490"/>
                </a:ext>
                <a:ext uri="{FF2B5EF4-FFF2-40B4-BE49-F238E27FC236}">
                  <a16:creationId xmlns:a16="http://schemas.microsoft.com/office/drawing/2014/main" id="{00000000-0008-0000-4F00-000002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903491" name="Check Box 3" hidden="1">
              <a:extLst>
                <a:ext uri="{63B3BB69-23CF-44E3-9099-C40C66FF867C}">
                  <a14:compatExt spid="_x0000_s19903491"/>
                </a:ext>
                <a:ext uri="{FF2B5EF4-FFF2-40B4-BE49-F238E27FC236}">
                  <a16:creationId xmlns:a16="http://schemas.microsoft.com/office/drawing/2014/main" id="{00000000-0008-0000-4F00-000003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903492" name="Check Box 4" hidden="1">
              <a:extLst>
                <a:ext uri="{63B3BB69-23CF-44E3-9099-C40C66FF867C}">
                  <a14:compatExt spid="_x0000_s19903492"/>
                </a:ext>
                <a:ext uri="{FF2B5EF4-FFF2-40B4-BE49-F238E27FC236}">
                  <a16:creationId xmlns:a16="http://schemas.microsoft.com/office/drawing/2014/main" id="{00000000-0008-0000-4F00-000004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903493" name="Check Box 5" hidden="1">
              <a:extLst>
                <a:ext uri="{63B3BB69-23CF-44E3-9099-C40C66FF867C}">
                  <a14:compatExt spid="_x0000_s19903493"/>
                </a:ext>
                <a:ext uri="{FF2B5EF4-FFF2-40B4-BE49-F238E27FC236}">
                  <a16:creationId xmlns:a16="http://schemas.microsoft.com/office/drawing/2014/main" id="{00000000-0008-0000-4F00-000005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903494" name="Check Box 6" hidden="1">
              <a:extLst>
                <a:ext uri="{63B3BB69-23CF-44E3-9099-C40C66FF867C}">
                  <a14:compatExt spid="_x0000_s19903494"/>
                </a:ext>
                <a:ext uri="{FF2B5EF4-FFF2-40B4-BE49-F238E27FC236}">
                  <a16:creationId xmlns:a16="http://schemas.microsoft.com/office/drawing/2014/main" id="{00000000-0008-0000-4F00-000006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903495" name="Check Box 7" hidden="1">
              <a:extLst>
                <a:ext uri="{63B3BB69-23CF-44E3-9099-C40C66FF867C}">
                  <a14:compatExt spid="_x0000_s19903495"/>
                </a:ext>
                <a:ext uri="{FF2B5EF4-FFF2-40B4-BE49-F238E27FC236}">
                  <a16:creationId xmlns:a16="http://schemas.microsoft.com/office/drawing/2014/main" id="{00000000-0008-0000-4F00-000007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903496" name="Button 8" hidden="1">
              <a:extLst>
                <a:ext uri="{63B3BB69-23CF-44E3-9099-C40C66FF867C}">
                  <a14:compatExt spid="_x0000_s19903496"/>
                </a:ext>
                <a:ext uri="{FF2B5EF4-FFF2-40B4-BE49-F238E27FC236}">
                  <a16:creationId xmlns:a16="http://schemas.microsoft.com/office/drawing/2014/main" id="{00000000-0008-0000-4F00-000008B42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903497" name="Button 9" hidden="1">
              <a:extLst>
                <a:ext uri="{63B3BB69-23CF-44E3-9099-C40C66FF867C}">
                  <a14:compatExt spid="_x0000_s19903497"/>
                </a:ext>
                <a:ext uri="{FF2B5EF4-FFF2-40B4-BE49-F238E27FC236}">
                  <a16:creationId xmlns:a16="http://schemas.microsoft.com/office/drawing/2014/main" id="{00000000-0008-0000-4F00-000009B42F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903498" name="Check Box 10" hidden="1">
              <a:extLst>
                <a:ext uri="{63B3BB69-23CF-44E3-9099-C40C66FF867C}">
                  <a14:compatExt spid="_x0000_s19903498"/>
                </a:ext>
                <a:ext uri="{FF2B5EF4-FFF2-40B4-BE49-F238E27FC236}">
                  <a16:creationId xmlns:a16="http://schemas.microsoft.com/office/drawing/2014/main" id="{00000000-0008-0000-4F00-00000A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903499" name="Button 11" hidden="1">
              <a:extLst>
                <a:ext uri="{63B3BB69-23CF-44E3-9099-C40C66FF867C}">
                  <a14:compatExt spid="_x0000_s19903499"/>
                </a:ext>
                <a:ext uri="{FF2B5EF4-FFF2-40B4-BE49-F238E27FC236}">
                  <a16:creationId xmlns:a16="http://schemas.microsoft.com/office/drawing/2014/main" id="{00000000-0008-0000-4F00-00000B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903500" name="Button 12" hidden="1">
              <a:extLst>
                <a:ext uri="{63B3BB69-23CF-44E3-9099-C40C66FF867C}">
                  <a14:compatExt spid="_x0000_s19903500"/>
                </a:ext>
                <a:ext uri="{FF2B5EF4-FFF2-40B4-BE49-F238E27FC236}">
                  <a16:creationId xmlns:a16="http://schemas.microsoft.com/office/drawing/2014/main" id="{00000000-0008-0000-4F00-00000C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903501" name="Button 13" hidden="1">
              <a:extLst>
                <a:ext uri="{63B3BB69-23CF-44E3-9099-C40C66FF867C}">
                  <a14:compatExt spid="_x0000_s19903501"/>
                </a:ext>
                <a:ext uri="{FF2B5EF4-FFF2-40B4-BE49-F238E27FC236}">
                  <a16:creationId xmlns:a16="http://schemas.microsoft.com/office/drawing/2014/main" id="{00000000-0008-0000-4F00-00000D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903502" name="Button 14" hidden="1">
              <a:extLst>
                <a:ext uri="{63B3BB69-23CF-44E3-9099-C40C66FF867C}">
                  <a14:compatExt spid="_x0000_s19903502"/>
                </a:ext>
                <a:ext uri="{FF2B5EF4-FFF2-40B4-BE49-F238E27FC236}">
                  <a16:creationId xmlns:a16="http://schemas.microsoft.com/office/drawing/2014/main" id="{00000000-0008-0000-4F00-00000E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903503" name="Check Box 15" hidden="1">
              <a:extLst>
                <a:ext uri="{63B3BB69-23CF-44E3-9099-C40C66FF867C}">
                  <a14:compatExt spid="_x0000_s19903503"/>
                </a:ext>
                <a:ext uri="{FF2B5EF4-FFF2-40B4-BE49-F238E27FC236}">
                  <a16:creationId xmlns:a16="http://schemas.microsoft.com/office/drawing/2014/main" id="{00000000-0008-0000-4F00-00000F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903504" name="Check Box 16" hidden="1">
              <a:extLst>
                <a:ext uri="{63B3BB69-23CF-44E3-9099-C40C66FF867C}">
                  <a14:compatExt spid="_x0000_s19903504"/>
                </a:ext>
                <a:ext uri="{FF2B5EF4-FFF2-40B4-BE49-F238E27FC236}">
                  <a16:creationId xmlns:a16="http://schemas.microsoft.com/office/drawing/2014/main" id="{00000000-0008-0000-4F00-000010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903505" name="Check Box 17" hidden="1">
              <a:extLst>
                <a:ext uri="{63B3BB69-23CF-44E3-9099-C40C66FF867C}">
                  <a14:compatExt spid="_x0000_s19903505"/>
                </a:ext>
                <a:ext uri="{FF2B5EF4-FFF2-40B4-BE49-F238E27FC236}">
                  <a16:creationId xmlns:a16="http://schemas.microsoft.com/office/drawing/2014/main" id="{00000000-0008-0000-4F00-000011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903506" name="Check Box 18" hidden="1">
              <a:extLst>
                <a:ext uri="{63B3BB69-23CF-44E3-9099-C40C66FF867C}">
                  <a14:compatExt spid="_x0000_s19903506"/>
                </a:ext>
                <a:ext uri="{FF2B5EF4-FFF2-40B4-BE49-F238E27FC236}">
                  <a16:creationId xmlns:a16="http://schemas.microsoft.com/office/drawing/2014/main" id="{00000000-0008-0000-4F00-000012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903507" name="Check Box 19" hidden="1">
              <a:extLst>
                <a:ext uri="{63B3BB69-23CF-44E3-9099-C40C66FF867C}">
                  <a14:compatExt spid="_x0000_s19903507"/>
                </a:ext>
                <a:ext uri="{FF2B5EF4-FFF2-40B4-BE49-F238E27FC236}">
                  <a16:creationId xmlns:a16="http://schemas.microsoft.com/office/drawing/2014/main" id="{00000000-0008-0000-4F00-000013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903508" name="Check Box 20" hidden="1">
              <a:extLst>
                <a:ext uri="{63B3BB69-23CF-44E3-9099-C40C66FF867C}">
                  <a14:compatExt spid="_x0000_s19903508"/>
                </a:ext>
                <a:ext uri="{FF2B5EF4-FFF2-40B4-BE49-F238E27FC236}">
                  <a16:creationId xmlns:a16="http://schemas.microsoft.com/office/drawing/2014/main" id="{00000000-0008-0000-4F00-000014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903509" name="Check Box 21" hidden="1">
              <a:extLst>
                <a:ext uri="{63B3BB69-23CF-44E3-9099-C40C66FF867C}">
                  <a14:compatExt spid="_x0000_s19903509"/>
                </a:ext>
                <a:ext uri="{FF2B5EF4-FFF2-40B4-BE49-F238E27FC236}">
                  <a16:creationId xmlns:a16="http://schemas.microsoft.com/office/drawing/2014/main" id="{00000000-0008-0000-4F00-000015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903510" name="Check Box 22" hidden="1">
              <a:extLst>
                <a:ext uri="{63B3BB69-23CF-44E3-9099-C40C66FF867C}">
                  <a14:compatExt spid="_x0000_s19903510"/>
                </a:ext>
                <a:ext uri="{FF2B5EF4-FFF2-40B4-BE49-F238E27FC236}">
                  <a16:creationId xmlns:a16="http://schemas.microsoft.com/office/drawing/2014/main" id="{00000000-0008-0000-4F00-000016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903511" name="Check Box 23" hidden="1">
              <a:extLst>
                <a:ext uri="{63B3BB69-23CF-44E3-9099-C40C66FF867C}">
                  <a14:compatExt spid="_x0000_s19903511"/>
                </a:ext>
                <a:ext uri="{FF2B5EF4-FFF2-40B4-BE49-F238E27FC236}">
                  <a16:creationId xmlns:a16="http://schemas.microsoft.com/office/drawing/2014/main" id="{00000000-0008-0000-4F00-000017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903512" name="Check Box 24" hidden="1">
              <a:extLst>
                <a:ext uri="{63B3BB69-23CF-44E3-9099-C40C66FF867C}">
                  <a14:compatExt spid="_x0000_s19903512"/>
                </a:ext>
                <a:ext uri="{FF2B5EF4-FFF2-40B4-BE49-F238E27FC236}">
                  <a16:creationId xmlns:a16="http://schemas.microsoft.com/office/drawing/2014/main" id="{00000000-0008-0000-4F00-000018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903513" name="Check Box 25" hidden="1">
              <a:extLst>
                <a:ext uri="{63B3BB69-23CF-44E3-9099-C40C66FF867C}">
                  <a14:compatExt spid="_x0000_s19903513"/>
                </a:ext>
                <a:ext uri="{FF2B5EF4-FFF2-40B4-BE49-F238E27FC236}">
                  <a16:creationId xmlns:a16="http://schemas.microsoft.com/office/drawing/2014/main" id="{00000000-0008-0000-4F00-000019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903514" name="Check Box 26" hidden="1">
              <a:extLst>
                <a:ext uri="{63B3BB69-23CF-44E3-9099-C40C66FF867C}">
                  <a14:compatExt spid="_x0000_s19903514"/>
                </a:ext>
                <a:ext uri="{FF2B5EF4-FFF2-40B4-BE49-F238E27FC236}">
                  <a16:creationId xmlns:a16="http://schemas.microsoft.com/office/drawing/2014/main" id="{00000000-0008-0000-4F00-00001A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903515" name="Check Box 27" hidden="1">
              <a:extLst>
                <a:ext uri="{63B3BB69-23CF-44E3-9099-C40C66FF867C}">
                  <a14:compatExt spid="_x0000_s19903515"/>
                </a:ext>
                <a:ext uri="{FF2B5EF4-FFF2-40B4-BE49-F238E27FC236}">
                  <a16:creationId xmlns:a16="http://schemas.microsoft.com/office/drawing/2014/main" id="{00000000-0008-0000-4F00-00001B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903516" name="Button 28" hidden="1">
              <a:extLst>
                <a:ext uri="{63B3BB69-23CF-44E3-9099-C40C66FF867C}">
                  <a14:compatExt spid="_x0000_s19903516"/>
                </a:ext>
                <a:ext uri="{FF2B5EF4-FFF2-40B4-BE49-F238E27FC236}">
                  <a16:creationId xmlns:a16="http://schemas.microsoft.com/office/drawing/2014/main" id="{00000000-0008-0000-4F00-00001C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903517" name="Button 29" hidden="1">
              <a:extLst>
                <a:ext uri="{63B3BB69-23CF-44E3-9099-C40C66FF867C}">
                  <a14:compatExt spid="_x0000_s19903517"/>
                </a:ext>
                <a:ext uri="{FF2B5EF4-FFF2-40B4-BE49-F238E27FC236}">
                  <a16:creationId xmlns:a16="http://schemas.microsoft.com/office/drawing/2014/main" id="{00000000-0008-0000-4F00-00001DB42F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903518" name="Check Box 30" hidden="1">
              <a:extLst>
                <a:ext uri="{63B3BB69-23CF-44E3-9099-C40C66FF867C}">
                  <a14:compatExt spid="_x0000_s19903518"/>
                </a:ext>
                <a:ext uri="{FF2B5EF4-FFF2-40B4-BE49-F238E27FC236}">
                  <a16:creationId xmlns:a16="http://schemas.microsoft.com/office/drawing/2014/main" id="{00000000-0008-0000-4F00-00001E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903519" name="Check Box 31" hidden="1">
              <a:extLst>
                <a:ext uri="{63B3BB69-23CF-44E3-9099-C40C66FF867C}">
                  <a14:compatExt spid="_x0000_s19903519"/>
                </a:ext>
                <a:ext uri="{FF2B5EF4-FFF2-40B4-BE49-F238E27FC236}">
                  <a16:creationId xmlns:a16="http://schemas.microsoft.com/office/drawing/2014/main" id="{00000000-0008-0000-4F00-00001F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903520" name="Check Box 32" hidden="1">
              <a:extLst>
                <a:ext uri="{63B3BB69-23CF-44E3-9099-C40C66FF867C}">
                  <a14:compatExt spid="_x0000_s19903520"/>
                </a:ext>
                <a:ext uri="{FF2B5EF4-FFF2-40B4-BE49-F238E27FC236}">
                  <a16:creationId xmlns:a16="http://schemas.microsoft.com/office/drawing/2014/main" id="{00000000-0008-0000-4F00-000020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903521" name="Check Box 33" hidden="1">
              <a:extLst>
                <a:ext uri="{63B3BB69-23CF-44E3-9099-C40C66FF867C}">
                  <a14:compatExt spid="_x0000_s19903521"/>
                </a:ext>
                <a:ext uri="{FF2B5EF4-FFF2-40B4-BE49-F238E27FC236}">
                  <a16:creationId xmlns:a16="http://schemas.microsoft.com/office/drawing/2014/main" id="{00000000-0008-0000-4F00-000021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903522" name="Check Box 34" hidden="1">
              <a:extLst>
                <a:ext uri="{63B3BB69-23CF-44E3-9099-C40C66FF867C}">
                  <a14:compatExt spid="_x0000_s19903522"/>
                </a:ext>
                <a:ext uri="{FF2B5EF4-FFF2-40B4-BE49-F238E27FC236}">
                  <a16:creationId xmlns:a16="http://schemas.microsoft.com/office/drawing/2014/main" id="{00000000-0008-0000-4F00-000022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903523" name="Check Box 35" hidden="1">
              <a:extLst>
                <a:ext uri="{63B3BB69-23CF-44E3-9099-C40C66FF867C}">
                  <a14:compatExt spid="_x0000_s19903523"/>
                </a:ext>
                <a:ext uri="{FF2B5EF4-FFF2-40B4-BE49-F238E27FC236}">
                  <a16:creationId xmlns:a16="http://schemas.microsoft.com/office/drawing/2014/main" id="{00000000-0008-0000-4F00-000023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903524" name="Check Box 36" hidden="1">
              <a:extLst>
                <a:ext uri="{63B3BB69-23CF-44E3-9099-C40C66FF867C}">
                  <a14:compatExt spid="_x0000_s19903524"/>
                </a:ext>
                <a:ext uri="{FF2B5EF4-FFF2-40B4-BE49-F238E27FC236}">
                  <a16:creationId xmlns:a16="http://schemas.microsoft.com/office/drawing/2014/main" id="{00000000-0008-0000-4F00-000024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903525" name="Check Box 37" hidden="1">
              <a:extLst>
                <a:ext uri="{63B3BB69-23CF-44E3-9099-C40C66FF867C}">
                  <a14:compatExt spid="_x0000_s19903525"/>
                </a:ext>
                <a:ext uri="{FF2B5EF4-FFF2-40B4-BE49-F238E27FC236}">
                  <a16:creationId xmlns:a16="http://schemas.microsoft.com/office/drawing/2014/main" id="{00000000-0008-0000-4F00-000025B42F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79.xml><?xml version="1.0" encoding="utf-8"?>
<xdr:wsDr xmlns:xdr="http://schemas.openxmlformats.org/drawingml/2006/spreadsheetDrawing" xmlns:a="http://schemas.openxmlformats.org/drawingml/2006/main">
  <xdr:twoCellAnchor>
    <xdr:from>
      <xdr:col>9</xdr:col>
      <xdr:colOff>180975</xdr:colOff>
      <xdr:row>3</xdr:row>
      <xdr:rowOff>180974</xdr:rowOff>
    </xdr:from>
    <xdr:to>
      <xdr:col>20</xdr:col>
      <xdr:colOff>600075</xdr:colOff>
      <xdr:row>23</xdr:row>
      <xdr:rowOff>161924</xdr:rowOff>
    </xdr:to>
    <xdr:sp macro="" textlink="">
      <xdr:nvSpPr>
        <xdr:cNvPr id="2" name="TextBox 1">
          <a:extLst>
            <a:ext uri="{FF2B5EF4-FFF2-40B4-BE49-F238E27FC236}">
              <a16:creationId xmlns:a16="http://schemas.microsoft.com/office/drawing/2014/main" id="{4D9D5A7E-31A1-4F71-B46C-23472E88AE5E}"/>
            </a:ext>
          </a:extLst>
        </xdr:cNvPr>
        <xdr:cNvSpPr txBox="1"/>
      </xdr:nvSpPr>
      <xdr:spPr>
        <a:xfrm>
          <a:off x="6000750" y="781049"/>
          <a:ext cx="7315200" cy="3819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pPr fontAlgn="t"/>
          <a:r>
            <a:rPr lang="en-AU">
              <a:solidFill>
                <a:srgbClr val="00B050"/>
              </a:solidFill>
              <a:effectLst/>
            </a:rPr>
            <a:t>1. INSPECTIONSConfirm if the separate structures will be constructed together, or separate - Required to determine the correct number of inspections needed.</a:t>
          </a:r>
        </a:p>
        <a:p>
          <a:pPr fontAlgn="t"/>
          <a:r>
            <a:rPr lang="en-AU">
              <a:solidFill>
                <a:schemeClr val="accent4"/>
              </a:solidFill>
              <a:effectLst/>
            </a:rPr>
            <a:t>2. Insurance and contractProvide a copy of the Builders Warranty Insurance and Contract.</a:t>
          </a:r>
        </a:p>
        <a:p>
          <a:pPr fontAlgn="t"/>
          <a:r>
            <a:rPr lang="en-AU">
              <a:solidFill>
                <a:schemeClr val="accent4"/>
              </a:solidFill>
              <a:effectLst/>
            </a:rPr>
            <a:t>3. Engineering docsProvide engineering documents.</a:t>
          </a:r>
        </a:p>
        <a:p>
          <a:pPr fontAlgn="t"/>
          <a:r>
            <a:rPr lang="en-AU">
              <a:solidFill>
                <a:schemeClr val="accent4"/>
              </a:solidFill>
              <a:effectLst/>
            </a:rPr>
            <a:t>4. Reg 126 certProvide engineers certificate of compliance Reg. 126 with Michael Harvey noted as the RBS.</a:t>
          </a:r>
        </a:p>
        <a:p>
          <a:pPr fontAlgn="t"/>
          <a:r>
            <a:rPr lang="en-AU">
              <a:solidFill>
                <a:schemeClr val="accent4"/>
              </a:solidFill>
              <a:effectLst/>
            </a:rPr>
            <a:t>5. Footing layoutProvide footing layout for pad footing/slab layout. Centre to centre and include mullions. Footing inspection will not be booked if we do not have this prior to the booking.</a:t>
          </a:r>
        </a:p>
        <a:p>
          <a:pPr fontAlgn="t"/>
          <a:r>
            <a:rPr lang="en-AU">
              <a:solidFill>
                <a:srgbClr val="00B050"/>
              </a:solidFill>
              <a:effectLst/>
            </a:rPr>
            <a:t>6. Cost of worksProvide a detailed cost of works breakdown e.g.: kit cost, footings and concrete and labour cost.</a:t>
          </a:r>
        </a:p>
        <a:p>
          <a:pPr fontAlgn="t"/>
          <a:r>
            <a:rPr lang="en-AU" sz="1100">
              <a:solidFill>
                <a:srgbClr val="00B050"/>
              </a:solidFill>
              <a:effectLst/>
              <a:latin typeface="+mn-lt"/>
              <a:ea typeface="+mn-ea"/>
              <a:cs typeface="+mn-cs"/>
            </a:rPr>
            <a:t>7.</a:t>
          </a:r>
          <a:r>
            <a:rPr lang="en-AU" sz="1100" baseline="0">
              <a:solidFill>
                <a:srgbClr val="00B050"/>
              </a:solidFill>
              <a:effectLst/>
              <a:latin typeface="+mn-lt"/>
              <a:ea typeface="+mn-ea"/>
              <a:cs typeface="+mn-cs"/>
            </a:rPr>
            <a:t> </a:t>
          </a:r>
          <a:r>
            <a:rPr lang="en-AU">
              <a:solidFill>
                <a:srgbClr val="00B050"/>
              </a:solidFill>
              <a:effectLst/>
            </a:rPr>
            <a:t>Provide length of existing dwelling on east boundary on site plan - requires to assess reg 80.Provide length of existing dwelling on east boundary on site plan - requires to assess reg 80.</a:t>
          </a:r>
        </a:p>
        <a:p>
          <a:pPr fontAlgn="t"/>
          <a:r>
            <a:rPr lang="en-AU" sz="1100">
              <a:solidFill>
                <a:srgbClr val="00B050"/>
              </a:solidFill>
              <a:effectLst/>
              <a:latin typeface="+mn-lt"/>
              <a:ea typeface="+mn-ea"/>
              <a:cs typeface="+mn-cs"/>
            </a:rPr>
            <a:t>8.</a:t>
          </a:r>
          <a:r>
            <a:rPr lang="en-AU" sz="1100" baseline="0">
              <a:solidFill>
                <a:srgbClr val="00B050"/>
              </a:solidFill>
              <a:effectLst/>
              <a:latin typeface="+mn-lt"/>
              <a:ea typeface="+mn-ea"/>
              <a:cs typeface="+mn-cs"/>
            </a:rPr>
            <a:t> </a:t>
          </a:r>
          <a:r>
            <a:rPr lang="en-AU">
              <a:solidFill>
                <a:srgbClr val="00B050"/>
              </a:solidFill>
              <a:effectLst/>
            </a:rPr>
            <a:t>Provide restrictive covenant response from owner - see letterProvide restrictive covenant response from owner - see letter</a:t>
          </a:r>
        </a:p>
        <a:p>
          <a:r>
            <a:rPr lang="en-AU" sz="1100">
              <a:solidFill>
                <a:srgbClr val="00B050"/>
              </a:solidFill>
              <a:effectLst/>
              <a:latin typeface="+mn-lt"/>
              <a:ea typeface="+mn-ea"/>
              <a:cs typeface="+mn-cs"/>
            </a:rPr>
            <a:t>9.</a:t>
          </a:r>
          <a:r>
            <a:rPr lang="en-AU" sz="1100" baseline="0">
              <a:solidFill>
                <a:srgbClr val="00B050"/>
              </a:solidFill>
              <a:effectLst/>
              <a:latin typeface="+mn-lt"/>
              <a:ea typeface="+mn-ea"/>
              <a:cs typeface="+mn-cs"/>
            </a:rPr>
            <a:t> </a:t>
          </a:r>
          <a:r>
            <a:rPr lang="en-AU">
              <a:solidFill>
                <a:srgbClr val="00B050"/>
              </a:solidFill>
              <a:effectLst/>
            </a:rPr>
            <a:t>Provide site coverage, permeability and garden area calculations</a:t>
          </a:r>
        </a:p>
        <a:p>
          <a:r>
            <a:rPr lang="en-AU">
              <a:solidFill>
                <a:srgbClr val="00B050"/>
              </a:solidFill>
              <a:effectLst/>
            </a:rPr>
            <a:t>10. </a:t>
          </a:r>
          <a:r>
            <a:rPr lang="en-AU" sz="1100" b="0" i="0">
              <a:solidFill>
                <a:srgbClr val="00B050"/>
              </a:solidFill>
              <a:effectLst/>
              <a:latin typeface="+mn-lt"/>
              <a:ea typeface="+mn-ea"/>
              <a:cs typeface="+mn-cs"/>
            </a:rPr>
            <a:t>Provide Report and Consent from Council Building Dept for Reg 76 - site coverage - exceeds allowable 60%</a:t>
          </a:r>
          <a:endParaRPr lang="en-AU">
            <a:solidFill>
              <a:srgbClr val="00B050"/>
            </a:solidFill>
            <a:effectLst/>
          </a:endParaRPr>
        </a:p>
        <a:p>
          <a:endParaRPr lang="en-AU" sz="1100"/>
        </a:p>
        <a:p>
          <a:r>
            <a:rPr lang="en-AU" sz="1100"/>
            <a:t>Haven't purchased kits yet.</a:t>
          </a:r>
        </a:p>
        <a:p>
          <a:r>
            <a:rPr lang="en-AU" sz="1100"/>
            <a:t>7/05/2025 due date.</a:t>
          </a:r>
        </a:p>
        <a:p>
          <a:endParaRPr lang="en-AU" sz="1100"/>
        </a:p>
        <a:p>
          <a:r>
            <a:rPr lang="en-AU" sz="1100"/>
            <a:t>18,275</a:t>
          </a:r>
        </a:p>
        <a:p>
          <a:r>
            <a:rPr lang="en-AU" sz="1100"/>
            <a:t>17,750</a:t>
          </a:r>
        </a:p>
        <a:p>
          <a:r>
            <a:rPr lang="en-AU" sz="1100"/>
            <a:t>10950mm long shed</a:t>
          </a:r>
        </a:p>
      </xdr:txBody>
    </xdr:sp>
    <xdr:clientData/>
  </xdr:twoCellAnchor>
  <xdr:twoCellAnchor editAs="oneCell">
    <xdr:from>
      <xdr:col>7</xdr:col>
      <xdr:colOff>180975</xdr:colOff>
      <xdr:row>0</xdr:row>
      <xdr:rowOff>156659</xdr:rowOff>
    </xdr:from>
    <xdr:to>
      <xdr:col>8</xdr:col>
      <xdr:colOff>110731</xdr:colOff>
      <xdr:row>4</xdr:row>
      <xdr:rowOff>37873</xdr:rowOff>
    </xdr:to>
    <xdr:pic>
      <xdr:nvPicPr>
        <xdr:cNvPr id="3" name="Picture 2">
          <a:extLst>
            <a:ext uri="{FF2B5EF4-FFF2-40B4-BE49-F238E27FC236}">
              <a16:creationId xmlns:a16="http://schemas.microsoft.com/office/drawing/2014/main" id="{E220D59A-5EC4-4436-9408-E81D64F9DEF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20178945" name="Check Box 1" hidden="1">
              <a:extLst>
                <a:ext uri="{63B3BB69-23CF-44E3-9099-C40C66FF867C}">
                  <a14:compatExt spid="_x0000_s20178945"/>
                </a:ext>
                <a:ext uri="{FF2B5EF4-FFF2-40B4-BE49-F238E27FC236}">
                  <a16:creationId xmlns:a16="http://schemas.microsoft.com/office/drawing/2014/main" id="{00000000-0008-0000-5000-000001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0178946" name="Check Box 2" hidden="1">
              <a:extLst>
                <a:ext uri="{63B3BB69-23CF-44E3-9099-C40C66FF867C}">
                  <a14:compatExt spid="_x0000_s20178946"/>
                </a:ext>
                <a:ext uri="{FF2B5EF4-FFF2-40B4-BE49-F238E27FC236}">
                  <a16:creationId xmlns:a16="http://schemas.microsoft.com/office/drawing/2014/main" id="{00000000-0008-0000-5000-000002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0178947" name="Check Box 3" hidden="1">
              <a:extLst>
                <a:ext uri="{63B3BB69-23CF-44E3-9099-C40C66FF867C}">
                  <a14:compatExt spid="_x0000_s20178947"/>
                </a:ext>
                <a:ext uri="{FF2B5EF4-FFF2-40B4-BE49-F238E27FC236}">
                  <a16:creationId xmlns:a16="http://schemas.microsoft.com/office/drawing/2014/main" id="{00000000-0008-0000-5000-000003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0178948" name="Check Box 4" hidden="1">
              <a:extLst>
                <a:ext uri="{63B3BB69-23CF-44E3-9099-C40C66FF867C}">
                  <a14:compatExt spid="_x0000_s20178948"/>
                </a:ext>
                <a:ext uri="{FF2B5EF4-FFF2-40B4-BE49-F238E27FC236}">
                  <a16:creationId xmlns:a16="http://schemas.microsoft.com/office/drawing/2014/main" id="{00000000-0008-0000-5000-000004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0178949" name="Check Box 5" hidden="1">
              <a:extLst>
                <a:ext uri="{63B3BB69-23CF-44E3-9099-C40C66FF867C}">
                  <a14:compatExt spid="_x0000_s20178949"/>
                </a:ext>
                <a:ext uri="{FF2B5EF4-FFF2-40B4-BE49-F238E27FC236}">
                  <a16:creationId xmlns:a16="http://schemas.microsoft.com/office/drawing/2014/main" id="{00000000-0008-0000-5000-000005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0178950" name="Check Box 6" hidden="1">
              <a:extLst>
                <a:ext uri="{63B3BB69-23CF-44E3-9099-C40C66FF867C}">
                  <a14:compatExt spid="_x0000_s20178950"/>
                </a:ext>
                <a:ext uri="{FF2B5EF4-FFF2-40B4-BE49-F238E27FC236}">
                  <a16:creationId xmlns:a16="http://schemas.microsoft.com/office/drawing/2014/main" id="{00000000-0008-0000-5000-000006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20178951" name="Check Box 7" hidden="1">
              <a:extLst>
                <a:ext uri="{63B3BB69-23CF-44E3-9099-C40C66FF867C}">
                  <a14:compatExt spid="_x0000_s20178951"/>
                </a:ext>
                <a:ext uri="{FF2B5EF4-FFF2-40B4-BE49-F238E27FC236}">
                  <a16:creationId xmlns:a16="http://schemas.microsoft.com/office/drawing/2014/main" id="{00000000-0008-0000-5000-000007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20178952" name="Button 8" hidden="1">
              <a:extLst>
                <a:ext uri="{63B3BB69-23CF-44E3-9099-C40C66FF867C}">
                  <a14:compatExt spid="_x0000_s20178952"/>
                </a:ext>
                <a:ext uri="{FF2B5EF4-FFF2-40B4-BE49-F238E27FC236}">
                  <a16:creationId xmlns:a16="http://schemas.microsoft.com/office/drawing/2014/main" id="{00000000-0008-0000-5000-000008E83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0178953" name="Button 9" hidden="1">
              <a:extLst>
                <a:ext uri="{63B3BB69-23CF-44E3-9099-C40C66FF867C}">
                  <a14:compatExt spid="_x0000_s20178953"/>
                </a:ext>
                <a:ext uri="{FF2B5EF4-FFF2-40B4-BE49-F238E27FC236}">
                  <a16:creationId xmlns:a16="http://schemas.microsoft.com/office/drawing/2014/main" id="{00000000-0008-0000-5000-000009E83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20178954" name="Check Box 10" hidden="1">
              <a:extLst>
                <a:ext uri="{63B3BB69-23CF-44E3-9099-C40C66FF867C}">
                  <a14:compatExt spid="_x0000_s20178954"/>
                </a:ext>
                <a:ext uri="{FF2B5EF4-FFF2-40B4-BE49-F238E27FC236}">
                  <a16:creationId xmlns:a16="http://schemas.microsoft.com/office/drawing/2014/main" id="{00000000-0008-0000-5000-00000A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20178955" name="Button 11" hidden="1">
              <a:extLst>
                <a:ext uri="{63B3BB69-23CF-44E3-9099-C40C66FF867C}">
                  <a14:compatExt spid="_x0000_s20178955"/>
                </a:ext>
                <a:ext uri="{FF2B5EF4-FFF2-40B4-BE49-F238E27FC236}">
                  <a16:creationId xmlns:a16="http://schemas.microsoft.com/office/drawing/2014/main" id="{00000000-0008-0000-5000-00000B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20178956" name="Button 12" hidden="1">
              <a:extLst>
                <a:ext uri="{63B3BB69-23CF-44E3-9099-C40C66FF867C}">
                  <a14:compatExt spid="_x0000_s20178956"/>
                </a:ext>
                <a:ext uri="{FF2B5EF4-FFF2-40B4-BE49-F238E27FC236}">
                  <a16:creationId xmlns:a16="http://schemas.microsoft.com/office/drawing/2014/main" id="{00000000-0008-0000-5000-00000C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0178957" name="Button 13" hidden="1">
              <a:extLst>
                <a:ext uri="{63B3BB69-23CF-44E3-9099-C40C66FF867C}">
                  <a14:compatExt spid="_x0000_s20178957"/>
                </a:ext>
                <a:ext uri="{FF2B5EF4-FFF2-40B4-BE49-F238E27FC236}">
                  <a16:creationId xmlns:a16="http://schemas.microsoft.com/office/drawing/2014/main" id="{00000000-0008-0000-5000-00000D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20178958" name="Button 14" hidden="1">
              <a:extLst>
                <a:ext uri="{63B3BB69-23CF-44E3-9099-C40C66FF867C}">
                  <a14:compatExt spid="_x0000_s20178958"/>
                </a:ext>
                <a:ext uri="{FF2B5EF4-FFF2-40B4-BE49-F238E27FC236}">
                  <a16:creationId xmlns:a16="http://schemas.microsoft.com/office/drawing/2014/main" id="{00000000-0008-0000-5000-00000E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161925</xdr:rowOff>
        </xdr:from>
        <xdr:to>
          <xdr:col>0</xdr:col>
          <xdr:colOff>295275</xdr:colOff>
          <xdr:row>51</xdr:row>
          <xdr:rowOff>0</xdr:rowOff>
        </xdr:to>
        <xdr:sp macro="" textlink="">
          <xdr:nvSpPr>
            <xdr:cNvPr id="20178959" name="Check Box 15" hidden="1">
              <a:extLst>
                <a:ext uri="{63B3BB69-23CF-44E3-9099-C40C66FF867C}">
                  <a14:compatExt spid="_x0000_s20178959"/>
                </a:ext>
                <a:ext uri="{FF2B5EF4-FFF2-40B4-BE49-F238E27FC236}">
                  <a16:creationId xmlns:a16="http://schemas.microsoft.com/office/drawing/2014/main" id="{00000000-0008-0000-5000-00000F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19050</xdr:rowOff>
        </xdr:to>
        <xdr:sp macro="" textlink="">
          <xdr:nvSpPr>
            <xdr:cNvPr id="20178960" name="Check Box 16" hidden="1">
              <a:extLst>
                <a:ext uri="{63B3BB69-23CF-44E3-9099-C40C66FF867C}">
                  <a14:compatExt spid="_x0000_s20178960"/>
                </a:ext>
                <a:ext uri="{FF2B5EF4-FFF2-40B4-BE49-F238E27FC236}">
                  <a16:creationId xmlns:a16="http://schemas.microsoft.com/office/drawing/2014/main" id="{00000000-0008-0000-5000-000010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0178961" name="Check Box 17" hidden="1">
              <a:extLst>
                <a:ext uri="{63B3BB69-23CF-44E3-9099-C40C66FF867C}">
                  <a14:compatExt spid="_x0000_s20178961"/>
                </a:ext>
                <a:ext uri="{FF2B5EF4-FFF2-40B4-BE49-F238E27FC236}">
                  <a16:creationId xmlns:a16="http://schemas.microsoft.com/office/drawing/2014/main" id="{00000000-0008-0000-5000-000011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0178962" name="Check Box 18" hidden="1">
              <a:extLst>
                <a:ext uri="{63B3BB69-23CF-44E3-9099-C40C66FF867C}">
                  <a14:compatExt spid="_x0000_s20178962"/>
                </a:ext>
                <a:ext uri="{FF2B5EF4-FFF2-40B4-BE49-F238E27FC236}">
                  <a16:creationId xmlns:a16="http://schemas.microsoft.com/office/drawing/2014/main" id="{00000000-0008-0000-5000-000012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20178963" name="Check Box 19" hidden="1">
              <a:extLst>
                <a:ext uri="{63B3BB69-23CF-44E3-9099-C40C66FF867C}">
                  <a14:compatExt spid="_x0000_s20178963"/>
                </a:ext>
                <a:ext uri="{FF2B5EF4-FFF2-40B4-BE49-F238E27FC236}">
                  <a16:creationId xmlns:a16="http://schemas.microsoft.com/office/drawing/2014/main" id="{00000000-0008-0000-5000-000013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0</xdr:rowOff>
        </xdr:to>
        <xdr:sp macro="" textlink="">
          <xdr:nvSpPr>
            <xdr:cNvPr id="20178964" name="Check Box 20" hidden="1">
              <a:extLst>
                <a:ext uri="{63B3BB69-23CF-44E3-9099-C40C66FF867C}">
                  <a14:compatExt spid="_x0000_s20178964"/>
                </a:ext>
                <a:ext uri="{FF2B5EF4-FFF2-40B4-BE49-F238E27FC236}">
                  <a16:creationId xmlns:a16="http://schemas.microsoft.com/office/drawing/2014/main" id="{00000000-0008-0000-5000-000014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0</xdr:rowOff>
        </xdr:to>
        <xdr:sp macro="" textlink="">
          <xdr:nvSpPr>
            <xdr:cNvPr id="20178965" name="Check Box 21" hidden="1">
              <a:extLst>
                <a:ext uri="{63B3BB69-23CF-44E3-9099-C40C66FF867C}">
                  <a14:compatExt spid="_x0000_s20178965"/>
                </a:ext>
                <a:ext uri="{FF2B5EF4-FFF2-40B4-BE49-F238E27FC236}">
                  <a16:creationId xmlns:a16="http://schemas.microsoft.com/office/drawing/2014/main" id="{00000000-0008-0000-5000-000015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20178966" name="Check Box 22" hidden="1">
              <a:extLst>
                <a:ext uri="{63B3BB69-23CF-44E3-9099-C40C66FF867C}">
                  <a14:compatExt spid="_x0000_s20178966"/>
                </a:ext>
                <a:ext uri="{FF2B5EF4-FFF2-40B4-BE49-F238E27FC236}">
                  <a16:creationId xmlns:a16="http://schemas.microsoft.com/office/drawing/2014/main" id="{00000000-0008-0000-5000-000016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0178967" name="Check Box 23" hidden="1">
              <a:extLst>
                <a:ext uri="{63B3BB69-23CF-44E3-9099-C40C66FF867C}">
                  <a14:compatExt spid="_x0000_s20178967"/>
                </a:ext>
                <a:ext uri="{FF2B5EF4-FFF2-40B4-BE49-F238E27FC236}">
                  <a16:creationId xmlns:a16="http://schemas.microsoft.com/office/drawing/2014/main" id="{00000000-0008-0000-5000-000017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0178968" name="Check Box 24" hidden="1">
              <a:extLst>
                <a:ext uri="{63B3BB69-23CF-44E3-9099-C40C66FF867C}">
                  <a14:compatExt spid="_x0000_s20178968"/>
                </a:ext>
                <a:ext uri="{FF2B5EF4-FFF2-40B4-BE49-F238E27FC236}">
                  <a16:creationId xmlns:a16="http://schemas.microsoft.com/office/drawing/2014/main" id="{00000000-0008-0000-5000-000018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0178969" name="Check Box 25" hidden="1">
              <a:extLst>
                <a:ext uri="{63B3BB69-23CF-44E3-9099-C40C66FF867C}">
                  <a14:compatExt spid="_x0000_s20178969"/>
                </a:ext>
                <a:ext uri="{FF2B5EF4-FFF2-40B4-BE49-F238E27FC236}">
                  <a16:creationId xmlns:a16="http://schemas.microsoft.com/office/drawing/2014/main" id="{00000000-0008-0000-5000-000019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20178970" name="Check Box 26" hidden="1">
              <a:extLst>
                <a:ext uri="{63B3BB69-23CF-44E3-9099-C40C66FF867C}">
                  <a14:compatExt spid="_x0000_s20178970"/>
                </a:ext>
                <a:ext uri="{FF2B5EF4-FFF2-40B4-BE49-F238E27FC236}">
                  <a16:creationId xmlns:a16="http://schemas.microsoft.com/office/drawing/2014/main" id="{00000000-0008-0000-5000-00001A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20178971" name="Check Box 27" hidden="1">
              <a:extLst>
                <a:ext uri="{63B3BB69-23CF-44E3-9099-C40C66FF867C}">
                  <a14:compatExt spid="_x0000_s20178971"/>
                </a:ext>
                <a:ext uri="{FF2B5EF4-FFF2-40B4-BE49-F238E27FC236}">
                  <a16:creationId xmlns:a16="http://schemas.microsoft.com/office/drawing/2014/main" id="{00000000-0008-0000-5000-00001B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20178972" name="Button 28" hidden="1">
              <a:extLst>
                <a:ext uri="{63B3BB69-23CF-44E3-9099-C40C66FF867C}">
                  <a14:compatExt spid="_x0000_s20178972"/>
                </a:ext>
                <a:ext uri="{FF2B5EF4-FFF2-40B4-BE49-F238E27FC236}">
                  <a16:creationId xmlns:a16="http://schemas.microsoft.com/office/drawing/2014/main" id="{00000000-0008-0000-5000-00001C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20178973" name="Button 29" hidden="1">
              <a:extLst>
                <a:ext uri="{63B3BB69-23CF-44E3-9099-C40C66FF867C}">
                  <a14:compatExt spid="_x0000_s20178973"/>
                </a:ext>
                <a:ext uri="{FF2B5EF4-FFF2-40B4-BE49-F238E27FC236}">
                  <a16:creationId xmlns:a16="http://schemas.microsoft.com/office/drawing/2014/main" id="{00000000-0008-0000-5000-00001DE83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20178974" name="Check Box 30" hidden="1">
              <a:extLst>
                <a:ext uri="{63B3BB69-23CF-44E3-9099-C40C66FF867C}">
                  <a14:compatExt spid="_x0000_s20178974"/>
                </a:ext>
                <a:ext uri="{FF2B5EF4-FFF2-40B4-BE49-F238E27FC236}">
                  <a16:creationId xmlns:a16="http://schemas.microsoft.com/office/drawing/2014/main" id="{00000000-0008-0000-5000-00001E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20178975" name="Check Box 31" hidden="1">
              <a:extLst>
                <a:ext uri="{63B3BB69-23CF-44E3-9099-C40C66FF867C}">
                  <a14:compatExt spid="_x0000_s20178975"/>
                </a:ext>
                <a:ext uri="{FF2B5EF4-FFF2-40B4-BE49-F238E27FC236}">
                  <a16:creationId xmlns:a16="http://schemas.microsoft.com/office/drawing/2014/main" id="{00000000-0008-0000-5000-00001F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20178976" name="Check Box 32" hidden="1">
              <a:extLst>
                <a:ext uri="{63B3BB69-23CF-44E3-9099-C40C66FF867C}">
                  <a14:compatExt spid="_x0000_s20178976"/>
                </a:ext>
                <a:ext uri="{FF2B5EF4-FFF2-40B4-BE49-F238E27FC236}">
                  <a16:creationId xmlns:a16="http://schemas.microsoft.com/office/drawing/2014/main" id="{00000000-0008-0000-5000-000020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35</xdr:row>
          <xdr:rowOff>171450</xdr:rowOff>
        </xdr:from>
        <xdr:to>
          <xdr:col>4</xdr:col>
          <xdr:colOff>19050</xdr:colOff>
          <xdr:row>37</xdr:row>
          <xdr:rowOff>9525</xdr:rowOff>
        </xdr:to>
        <xdr:sp macro="" textlink="">
          <xdr:nvSpPr>
            <xdr:cNvPr id="20178977" name="Check Box 33" hidden="1">
              <a:extLst>
                <a:ext uri="{63B3BB69-23CF-44E3-9099-C40C66FF867C}">
                  <a14:compatExt spid="_x0000_s20178977"/>
                </a:ext>
                <a:ext uri="{FF2B5EF4-FFF2-40B4-BE49-F238E27FC236}">
                  <a16:creationId xmlns:a16="http://schemas.microsoft.com/office/drawing/2014/main" id="{00000000-0008-0000-5000-000021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295275</xdr:colOff>
          <xdr:row>34</xdr:row>
          <xdr:rowOff>19050</xdr:rowOff>
        </xdr:to>
        <xdr:sp macro="" textlink="">
          <xdr:nvSpPr>
            <xdr:cNvPr id="20178978" name="Check Box 34" hidden="1">
              <a:extLst>
                <a:ext uri="{63B3BB69-23CF-44E3-9099-C40C66FF867C}">
                  <a14:compatExt spid="_x0000_s20178978"/>
                </a:ext>
                <a:ext uri="{FF2B5EF4-FFF2-40B4-BE49-F238E27FC236}">
                  <a16:creationId xmlns:a16="http://schemas.microsoft.com/office/drawing/2014/main" id="{00000000-0008-0000-5000-000022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295275</xdr:colOff>
          <xdr:row>35</xdr:row>
          <xdr:rowOff>19050</xdr:rowOff>
        </xdr:to>
        <xdr:sp macro="" textlink="">
          <xdr:nvSpPr>
            <xdr:cNvPr id="20178979" name="Check Box 35" hidden="1">
              <a:extLst>
                <a:ext uri="{63B3BB69-23CF-44E3-9099-C40C66FF867C}">
                  <a14:compatExt spid="_x0000_s20178979"/>
                </a:ext>
                <a:ext uri="{FF2B5EF4-FFF2-40B4-BE49-F238E27FC236}">
                  <a16:creationId xmlns:a16="http://schemas.microsoft.com/office/drawing/2014/main" id="{00000000-0008-0000-5000-000023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295275</xdr:colOff>
          <xdr:row>36</xdr:row>
          <xdr:rowOff>19050</xdr:rowOff>
        </xdr:to>
        <xdr:sp macro="" textlink="">
          <xdr:nvSpPr>
            <xdr:cNvPr id="20178980" name="Check Box 36" hidden="1">
              <a:extLst>
                <a:ext uri="{63B3BB69-23CF-44E3-9099-C40C66FF867C}">
                  <a14:compatExt spid="_x0000_s20178980"/>
                </a:ext>
                <a:ext uri="{FF2B5EF4-FFF2-40B4-BE49-F238E27FC236}">
                  <a16:creationId xmlns:a16="http://schemas.microsoft.com/office/drawing/2014/main" id="{00000000-0008-0000-5000-000024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35</xdr:row>
          <xdr:rowOff>180975</xdr:rowOff>
        </xdr:from>
        <xdr:to>
          <xdr:col>7</xdr:col>
          <xdr:colOff>295275</xdr:colOff>
          <xdr:row>37</xdr:row>
          <xdr:rowOff>19050</xdr:rowOff>
        </xdr:to>
        <xdr:sp macro="" textlink="">
          <xdr:nvSpPr>
            <xdr:cNvPr id="20178981" name="Check Box 37" hidden="1">
              <a:extLst>
                <a:ext uri="{63B3BB69-23CF-44E3-9099-C40C66FF867C}">
                  <a14:compatExt spid="_x0000_s20178981"/>
                </a:ext>
                <a:ext uri="{FF2B5EF4-FFF2-40B4-BE49-F238E27FC236}">
                  <a16:creationId xmlns:a16="http://schemas.microsoft.com/office/drawing/2014/main" id="{00000000-0008-0000-5000-000025E83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0.xml><?xml version="1.0" encoding="utf-8"?>
<xdr:wsDr xmlns:xdr="http://schemas.openxmlformats.org/drawingml/2006/spreadsheetDrawing" xmlns:a="http://schemas.openxmlformats.org/drawingml/2006/main">
  <xdr:twoCellAnchor>
    <xdr:from>
      <xdr:col>0</xdr:col>
      <xdr:colOff>28574</xdr:colOff>
      <xdr:row>9</xdr:row>
      <xdr:rowOff>28575</xdr:rowOff>
    </xdr:from>
    <xdr:to>
      <xdr:col>8</xdr:col>
      <xdr:colOff>866775</xdr:colOff>
      <xdr:row>20</xdr:row>
      <xdr:rowOff>9525</xdr:rowOff>
    </xdr:to>
    <xdr:sp macro="" textlink="">
      <xdr:nvSpPr>
        <xdr:cNvPr id="2" name="TextBox 1">
          <a:extLst>
            <a:ext uri="{FF2B5EF4-FFF2-40B4-BE49-F238E27FC236}">
              <a16:creationId xmlns:a16="http://schemas.microsoft.com/office/drawing/2014/main" id="{2B0F81CC-88BC-4B26-BC39-95CAA75B35A5}"/>
            </a:ext>
          </a:extLst>
        </xdr:cNvPr>
        <xdr:cNvSpPr txBox="1"/>
      </xdr:nvSpPr>
      <xdr:spPr>
        <a:xfrm>
          <a:off x="28574" y="1781175"/>
          <a:ext cx="5715001"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b="0" i="0" u="none" strike="noStrike" baseline="0">
              <a:solidFill>
                <a:schemeClr val="accent4"/>
              </a:solidFill>
              <a:latin typeface="+mn-lt"/>
              <a:ea typeface="+mn-ea"/>
              <a:cs typeface="+mn-cs"/>
            </a:rPr>
            <a:t>1. Provide completed building surveyor appointment form.</a:t>
          </a:r>
        </a:p>
        <a:p>
          <a:r>
            <a:rPr lang="en-AU" sz="1100" b="0" i="0" u="none" strike="noStrike" baseline="0">
              <a:solidFill>
                <a:schemeClr val="accent4"/>
              </a:solidFill>
              <a:latin typeface="+mn-lt"/>
              <a:ea typeface="+mn-ea"/>
              <a:cs typeface="+mn-cs"/>
            </a:rPr>
            <a:t>2. Statement of Use response letter to be completed by owner and returned.</a:t>
          </a:r>
        </a:p>
        <a:p>
          <a:r>
            <a:rPr lang="en-AU" sz="1100" b="0" i="0" u="none" strike="noStrike" baseline="0">
              <a:solidFill>
                <a:schemeClr val="dk1"/>
              </a:solidFill>
              <a:latin typeface="+mn-lt"/>
              <a:ea typeface="+mn-ea"/>
              <a:cs typeface="+mn-cs"/>
            </a:rPr>
            <a:t>3. Provide a copy of the Builders Warranty Insurance and Contract.</a:t>
          </a:r>
        </a:p>
        <a:p>
          <a:r>
            <a:rPr lang="en-AU" sz="1100" b="0" i="0" u="none" strike="noStrike" baseline="0">
              <a:solidFill>
                <a:schemeClr val="accent4"/>
              </a:solidFill>
              <a:latin typeface="+mn-lt"/>
              <a:ea typeface="+mn-ea"/>
              <a:cs typeface="+mn-cs"/>
            </a:rPr>
            <a:t>4. Provide location of the septic tank and effluent run-off lines and confirm offset dimension to the proposed works on the Site Plan.</a:t>
          </a:r>
        </a:p>
        <a:p>
          <a:r>
            <a:rPr lang="en-AU" sz="1100" b="0" i="0" u="none" strike="noStrike" baseline="0">
              <a:solidFill>
                <a:schemeClr val="dk1"/>
              </a:solidFill>
              <a:latin typeface="+mn-lt"/>
              <a:ea typeface="+mn-ea"/>
              <a:cs typeface="+mn-cs"/>
            </a:rPr>
            <a:t>5. The VBA practitioner search does not show Anthony as the builder for SMD Projects - David Malone is - please confirm he is the builder and provide all his contact details.</a:t>
          </a:r>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B75DA5C-6DE5-4AF8-8496-584DBD5E836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349505" name="Check Box 1" hidden="1">
              <a:extLst>
                <a:ext uri="{63B3BB69-23CF-44E3-9099-C40C66FF867C}">
                  <a14:compatExt spid="_x0000_s19349505"/>
                </a:ext>
                <a:ext uri="{FF2B5EF4-FFF2-40B4-BE49-F238E27FC236}">
                  <a16:creationId xmlns:a16="http://schemas.microsoft.com/office/drawing/2014/main" id="{00000000-0008-0000-5100-000001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349506" name="Check Box 2" hidden="1">
              <a:extLst>
                <a:ext uri="{63B3BB69-23CF-44E3-9099-C40C66FF867C}">
                  <a14:compatExt spid="_x0000_s19349506"/>
                </a:ext>
                <a:ext uri="{FF2B5EF4-FFF2-40B4-BE49-F238E27FC236}">
                  <a16:creationId xmlns:a16="http://schemas.microsoft.com/office/drawing/2014/main" id="{00000000-0008-0000-5100-000002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349507" name="Check Box 3" hidden="1">
              <a:extLst>
                <a:ext uri="{63B3BB69-23CF-44E3-9099-C40C66FF867C}">
                  <a14:compatExt spid="_x0000_s19349507"/>
                </a:ext>
                <a:ext uri="{FF2B5EF4-FFF2-40B4-BE49-F238E27FC236}">
                  <a16:creationId xmlns:a16="http://schemas.microsoft.com/office/drawing/2014/main" id="{00000000-0008-0000-5100-000003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349508" name="Check Box 4" hidden="1">
              <a:extLst>
                <a:ext uri="{63B3BB69-23CF-44E3-9099-C40C66FF867C}">
                  <a14:compatExt spid="_x0000_s19349508"/>
                </a:ext>
                <a:ext uri="{FF2B5EF4-FFF2-40B4-BE49-F238E27FC236}">
                  <a16:creationId xmlns:a16="http://schemas.microsoft.com/office/drawing/2014/main" id="{00000000-0008-0000-5100-000004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349509" name="Check Box 5" hidden="1">
              <a:extLst>
                <a:ext uri="{63B3BB69-23CF-44E3-9099-C40C66FF867C}">
                  <a14:compatExt spid="_x0000_s19349509"/>
                </a:ext>
                <a:ext uri="{FF2B5EF4-FFF2-40B4-BE49-F238E27FC236}">
                  <a16:creationId xmlns:a16="http://schemas.microsoft.com/office/drawing/2014/main" id="{00000000-0008-0000-5100-000005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349510" name="Check Box 6" hidden="1">
              <a:extLst>
                <a:ext uri="{63B3BB69-23CF-44E3-9099-C40C66FF867C}">
                  <a14:compatExt spid="_x0000_s19349510"/>
                </a:ext>
                <a:ext uri="{FF2B5EF4-FFF2-40B4-BE49-F238E27FC236}">
                  <a16:creationId xmlns:a16="http://schemas.microsoft.com/office/drawing/2014/main" id="{00000000-0008-0000-5100-000006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349511" name="Check Box 7" hidden="1">
              <a:extLst>
                <a:ext uri="{63B3BB69-23CF-44E3-9099-C40C66FF867C}">
                  <a14:compatExt spid="_x0000_s19349511"/>
                </a:ext>
                <a:ext uri="{FF2B5EF4-FFF2-40B4-BE49-F238E27FC236}">
                  <a16:creationId xmlns:a16="http://schemas.microsoft.com/office/drawing/2014/main" id="{00000000-0008-0000-5100-000007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349512" name="Button 8" hidden="1">
              <a:extLst>
                <a:ext uri="{63B3BB69-23CF-44E3-9099-C40C66FF867C}">
                  <a14:compatExt spid="_x0000_s19349512"/>
                </a:ext>
                <a:ext uri="{FF2B5EF4-FFF2-40B4-BE49-F238E27FC236}">
                  <a16:creationId xmlns:a16="http://schemas.microsoft.com/office/drawing/2014/main" id="{00000000-0008-0000-5100-00000840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349513" name="Button 9" hidden="1">
              <a:extLst>
                <a:ext uri="{63B3BB69-23CF-44E3-9099-C40C66FF867C}">
                  <a14:compatExt spid="_x0000_s19349513"/>
                </a:ext>
                <a:ext uri="{FF2B5EF4-FFF2-40B4-BE49-F238E27FC236}">
                  <a16:creationId xmlns:a16="http://schemas.microsoft.com/office/drawing/2014/main" id="{00000000-0008-0000-5100-00000940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349514" name="Check Box 10" hidden="1">
              <a:extLst>
                <a:ext uri="{63B3BB69-23CF-44E3-9099-C40C66FF867C}">
                  <a14:compatExt spid="_x0000_s19349514"/>
                </a:ext>
                <a:ext uri="{FF2B5EF4-FFF2-40B4-BE49-F238E27FC236}">
                  <a16:creationId xmlns:a16="http://schemas.microsoft.com/office/drawing/2014/main" id="{00000000-0008-0000-5100-00000A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349515" name="Button 11" hidden="1">
              <a:extLst>
                <a:ext uri="{63B3BB69-23CF-44E3-9099-C40C66FF867C}">
                  <a14:compatExt spid="_x0000_s19349515"/>
                </a:ext>
                <a:ext uri="{FF2B5EF4-FFF2-40B4-BE49-F238E27FC236}">
                  <a16:creationId xmlns:a16="http://schemas.microsoft.com/office/drawing/2014/main" id="{00000000-0008-0000-5100-00000B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349516" name="Button 12" hidden="1">
              <a:extLst>
                <a:ext uri="{63B3BB69-23CF-44E3-9099-C40C66FF867C}">
                  <a14:compatExt spid="_x0000_s19349516"/>
                </a:ext>
                <a:ext uri="{FF2B5EF4-FFF2-40B4-BE49-F238E27FC236}">
                  <a16:creationId xmlns:a16="http://schemas.microsoft.com/office/drawing/2014/main" id="{00000000-0008-0000-5100-00000C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349517" name="Button 13" hidden="1">
              <a:extLst>
                <a:ext uri="{63B3BB69-23CF-44E3-9099-C40C66FF867C}">
                  <a14:compatExt spid="_x0000_s19349517"/>
                </a:ext>
                <a:ext uri="{FF2B5EF4-FFF2-40B4-BE49-F238E27FC236}">
                  <a16:creationId xmlns:a16="http://schemas.microsoft.com/office/drawing/2014/main" id="{00000000-0008-0000-5100-00000D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349518" name="Button 14" hidden="1">
              <a:extLst>
                <a:ext uri="{63B3BB69-23CF-44E3-9099-C40C66FF867C}">
                  <a14:compatExt spid="_x0000_s19349518"/>
                </a:ext>
                <a:ext uri="{FF2B5EF4-FFF2-40B4-BE49-F238E27FC236}">
                  <a16:creationId xmlns:a16="http://schemas.microsoft.com/office/drawing/2014/main" id="{00000000-0008-0000-5100-00000E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349519" name="Check Box 15" hidden="1">
              <a:extLst>
                <a:ext uri="{63B3BB69-23CF-44E3-9099-C40C66FF867C}">
                  <a14:compatExt spid="_x0000_s19349519"/>
                </a:ext>
                <a:ext uri="{FF2B5EF4-FFF2-40B4-BE49-F238E27FC236}">
                  <a16:creationId xmlns:a16="http://schemas.microsoft.com/office/drawing/2014/main" id="{00000000-0008-0000-5100-00000F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349520" name="Check Box 16" hidden="1">
              <a:extLst>
                <a:ext uri="{63B3BB69-23CF-44E3-9099-C40C66FF867C}">
                  <a14:compatExt spid="_x0000_s19349520"/>
                </a:ext>
                <a:ext uri="{FF2B5EF4-FFF2-40B4-BE49-F238E27FC236}">
                  <a16:creationId xmlns:a16="http://schemas.microsoft.com/office/drawing/2014/main" id="{00000000-0008-0000-5100-000010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349521" name="Check Box 17" hidden="1">
              <a:extLst>
                <a:ext uri="{63B3BB69-23CF-44E3-9099-C40C66FF867C}">
                  <a14:compatExt spid="_x0000_s19349521"/>
                </a:ext>
                <a:ext uri="{FF2B5EF4-FFF2-40B4-BE49-F238E27FC236}">
                  <a16:creationId xmlns:a16="http://schemas.microsoft.com/office/drawing/2014/main" id="{00000000-0008-0000-5100-000011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349522" name="Check Box 18" hidden="1">
              <a:extLst>
                <a:ext uri="{63B3BB69-23CF-44E3-9099-C40C66FF867C}">
                  <a14:compatExt spid="_x0000_s19349522"/>
                </a:ext>
                <a:ext uri="{FF2B5EF4-FFF2-40B4-BE49-F238E27FC236}">
                  <a16:creationId xmlns:a16="http://schemas.microsoft.com/office/drawing/2014/main" id="{00000000-0008-0000-5100-000012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349523" name="Check Box 19" hidden="1">
              <a:extLst>
                <a:ext uri="{63B3BB69-23CF-44E3-9099-C40C66FF867C}">
                  <a14:compatExt spid="_x0000_s19349523"/>
                </a:ext>
                <a:ext uri="{FF2B5EF4-FFF2-40B4-BE49-F238E27FC236}">
                  <a16:creationId xmlns:a16="http://schemas.microsoft.com/office/drawing/2014/main" id="{00000000-0008-0000-5100-000013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349524" name="Check Box 20" hidden="1">
              <a:extLst>
                <a:ext uri="{63B3BB69-23CF-44E3-9099-C40C66FF867C}">
                  <a14:compatExt spid="_x0000_s19349524"/>
                </a:ext>
                <a:ext uri="{FF2B5EF4-FFF2-40B4-BE49-F238E27FC236}">
                  <a16:creationId xmlns:a16="http://schemas.microsoft.com/office/drawing/2014/main" id="{00000000-0008-0000-5100-000014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349525" name="Check Box 21" hidden="1">
              <a:extLst>
                <a:ext uri="{63B3BB69-23CF-44E3-9099-C40C66FF867C}">
                  <a14:compatExt spid="_x0000_s19349525"/>
                </a:ext>
                <a:ext uri="{FF2B5EF4-FFF2-40B4-BE49-F238E27FC236}">
                  <a16:creationId xmlns:a16="http://schemas.microsoft.com/office/drawing/2014/main" id="{00000000-0008-0000-5100-000015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349526" name="Check Box 22" hidden="1">
              <a:extLst>
                <a:ext uri="{63B3BB69-23CF-44E3-9099-C40C66FF867C}">
                  <a14:compatExt spid="_x0000_s19349526"/>
                </a:ext>
                <a:ext uri="{FF2B5EF4-FFF2-40B4-BE49-F238E27FC236}">
                  <a16:creationId xmlns:a16="http://schemas.microsoft.com/office/drawing/2014/main" id="{00000000-0008-0000-5100-000016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349527" name="Check Box 23" hidden="1">
              <a:extLst>
                <a:ext uri="{63B3BB69-23CF-44E3-9099-C40C66FF867C}">
                  <a14:compatExt spid="_x0000_s19349527"/>
                </a:ext>
                <a:ext uri="{FF2B5EF4-FFF2-40B4-BE49-F238E27FC236}">
                  <a16:creationId xmlns:a16="http://schemas.microsoft.com/office/drawing/2014/main" id="{00000000-0008-0000-5100-000017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349528" name="Check Box 24" hidden="1">
              <a:extLst>
                <a:ext uri="{63B3BB69-23CF-44E3-9099-C40C66FF867C}">
                  <a14:compatExt spid="_x0000_s19349528"/>
                </a:ext>
                <a:ext uri="{FF2B5EF4-FFF2-40B4-BE49-F238E27FC236}">
                  <a16:creationId xmlns:a16="http://schemas.microsoft.com/office/drawing/2014/main" id="{00000000-0008-0000-5100-000018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349529" name="Check Box 25" hidden="1">
              <a:extLst>
                <a:ext uri="{63B3BB69-23CF-44E3-9099-C40C66FF867C}">
                  <a14:compatExt spid="_x0000_s19349529"/>
                </a:ext>
                <a:ext uri="{FF2B5EF4-FFF2-40B4-BE49-F238E27FC236}">
                  <a16:creationId xmlns:a16="http://schemas.microsoft.com/office/drawing/2014/main" id="{00000000-0008-0000-5100-000019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349530" name="Check Box 26" hidden="1">
              <a:extLst>
                <a:ext uri="{63B3BB69-23CF-44E3-9099-C40C66FF867C}">
                  <a14:compatExt spid="_x0000_s19349530"/>
                </a:ext>
                <a:ext uri="{FF2B5EF4-FFF2-40B4-BE49-F238E27FC236}">
                  <a16:creationId xmlns:a16="http://schemas.microsoft.com/office/drawing/2014/main" id="{00000000-0008-0000-5100-00001A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349531" name="Check Box 27" hidden="1">
              <a:extLst>
                <a:ext uri="{63B3BB69-23CF-44E3-9099-C40C66FF867C}">
                  <a14:compatExt spid="_x0000_s19349531"/>
                </a:ext>
                <a:ext uri="{FF2B5EF4-FFF2-40B4-BE49-F238E27FC236}">
                  <a16:creationId xmlns:a16="http://schemas.microsoft.com/office/drawing/2014/main" id="{00000000-0008-0000-5100-00001B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349532" name="Button 28" hidden="1">
              <a:extLst>
                <a:ext uri="{63B3BB69-23CF-44E3-9099-C40C66FF867C}">
                  <a14:compatExt spid="_x0000_s19349532"/>
                </a:ext>
                <a:ext uri="{FF2B5EF4-FFF2-40B4-BE49-F238E27FC236}">
                  <a16:creationId xmlns:a16="http://schemas.microsoft.com/office/drawing/2014/main" id="{00000000-0008-0000-5100-00001C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349533" name="Button 29" hidden="1">
              <a:extLst>
                <a:ext uri="{63B3BB69-23CF-44E3-9099-C40C66FF867C}">
                  <a14:compatExt spid="_x0000_s19349533"/>
                </a:ext>
                <a:ext uri="{FF2B5EF4-FFF2-40B4-BE49-F238E27FC236}">
                  <a16:creationId xmlns:a16="http://schemas.microsoft.com/office/drawing/2014/main" id="{00000000-0008-0000-5100-00001D40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349534" name="Check Box 30" hidden="1">
              <a:extLst>
                <a:ext uri="{63B3BB69-23CF-44E3-9099-C40C66FF867C}">
                  <a14:compatExt spid="_x0000_s19349534"/>
                </a:ext>
                <a:ext uri="{FF2B5EF4-FFF2-40B4-BE49-F238E27FC236}">
                  <a16:creationId xmlns:a16="http://schemas.microsoft.com/office/drawing/2014/main" id="{00000000-0008-0000-5100-00001E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349535" name="Check Box 31" hidden="1">
              <a:extLst>
                <a:ext uri="{63B3BB69-23CF-44E3-9099-C40C66FF867C}">
                  <a14:compatExt spid="_x0000_s19349535"/>
                </a:ext>
                <a:ext uri="{FF2B5EF4-FFF2-40B4-BE49-F238E27FC236}">
                  <a16:creationId xmlns:a16="http://schemas.microsoft.com/office/drawing/2014/main" id="{00000000-0008-0000-5100-00001F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349536" name="Check Box 32" hidden="1">
              <a:extLst>
                <a:ext uri="{63B3BB69-23CF-44E3-9099-C40C66FF867C}">
                  <a14:compatExt spid="_x0000_s19349536"/>
                </a:ext>
                <a:ext uri="{FF2B5EF4-FFF2-40B4-BE49-F238E27FC236}">
                  <a16:creationId xmlns:a16="http://schemas.microsoft.com/office/drawing/2014/main" id="{00000000-0008-0000-5100-000020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349537" name="Check Box 33" hidden="1">
              <a:extLst>
                <a:ext uri="{63B3BB69-23CF-44E3-9099-C40C66FF867C}">
                  <a14:compatExt spid="_x0000_s19349537"/>
                </a:ext>
                <a:ext uri="{FF2B5EF4-FFF2-40B4-BE49-F238E27FC236}">
                  <a16:creationId xmlns:a16="http://schemas.microsoft.com/office/drawing/2014/main" id="{00000000-0008-0000-5100-000021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349538" name="Check Box 34" hidden="1">
              <a:extLst>
                <a:ext uri="{63B3BB69-23CF-44E3-9099-C40C66FF867C}">
                  <a14:compatExt spid="_x0000_s19349538"/>
                </a:ext>
                <a:ext uri="{FF2B5EF4-FFF2-40B4-BE49-F238E27FC236}">
                  <a16:creationId xmlns:a16="http://schemas.microsoft.com/office/drawing/2014/main" id="{00000000-0008-0000-5100-000022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349539" name="Check Box 35" hidden="1">
              <a:extLst>
                <a:ext uri="{63B3BB69-23CF-44E3-9099-C40C66FF867C}">
                  <a14:compatExt spid="_x0000_s19349539"/>
                </a:ext>
                <a:ext uri="{FF2B5EF4-FFF2-40B4-BE49-F238E27FC236}">
                  <a16:creationId xmlns:a16="http://schemas.microsoft.com/office/drawing/2014/main" id="{00000000-0008-0000-5100-000023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349540" name="Check Box 36" hidden="1">
              <a:extLst>
                <a:ext uri="{63B3BB69-23CF-44E3-9099-C40C66FF867C}">
                  <a14:compatExt spid="_x0000_s19349540"/>
                </a:ext>
                <a:ext uri="{FF2B5EF4-FFF2-40B4-BE49-F238E27FC236}">
                  <a16:creationId xmlns:a16="http://schemas.microsoft.com/office/drawing/2014/main" id="{00000000-0008-0000-5100-000024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349541" name="Check Box 37" hidden="1">
              <a:extLst>
                <a:ext uri="{63B3BB69-23CF-44E3-9099-C40C66FF867C}">
                  <a14:compatExt spid="_x0000_s19349541"/>
                </a:ext>
                <a:ext uri="{FF2B5EF4-FFF2-40B4-BE49-F238E27FC236}">
                  <a16:creationId xmlns:a16="http://schemas.microsoft.com/office/drawing/2014/main" id="{00000000-0008-0000-5100-00002540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07A61CE-857B-4DAB-B1DC-CB9690C5C14A}"/>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E7F2B86-C9BC-42EF-B112-9CB5E6986E9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348481" name="Check Box 1" hidden="1">
              <a:extLst>
                <a:ext uri="{63B3BB69-23CF-44E3-9099-C40C66FF867C}">
                  <a14:compatExt spid="_x0000_s19348481"/>
                </a:ext>
                <a:ext uri="{FF2B5EF4-FFF2-40B4-BE49-F238E27FC236}">
                  <a16:creationId xmlns:a16="http://schemas.microsoft.com/office/drawing/2014/main" id="{00000000-0008-0000-5200-000001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348482" name="Check Box 2" hidden="1">
              <a:extLst>
                <a:ext uri="{63B3BB69-23CF-44E3-9099-C40C66FF867C}">
                  <a14:compatExt spid="_x0000_s19348482"/>
                </a:ext>
                <a:ext uri="{FF2B5EF4-FFF2-40B4-BE49-F238E27FC236}">
                  <a16:creationId xmlns:a16="http://schemas.microsoft.com/office/drawing/2014/main" id="{00000000-0008-0000-5200-000002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348483" name="Check Box 3" hidden="1">
              <a:extLst>
                <a:ext uri="{63B3BB69-23CF-44E3-9099-C40C66FF867C}">
                  <a14:compatExt spid="_x0000_s19348483"/>
                </a:ext>
                <a:ext uri="{FF2B5EF4-FFF2-40B4-BE49-F238E27FC236}">
                  <a16:creationId xmlns:a16="http://schemas.microsoft.com/office/drawing/2014/main" id="{00000000-0008-0000-5200-000003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348484" name="Check Box 4" hidden="1">
              <a:extLst>
                <a:ext uri="{63B3BB69-23CF-44E3-9099-C40C66FF867C}">
                  <a14:compatExt spid="_x0000_s19348484"/>
                </a:ext>
                <a:ext uri="{FF2B5EF4-FFF2-40B4-BE49-F238E27FC236}">
                  <a16:creationId xmlns:a16="http://schemas.microsoft.com/office/drawing/2014/main" id="{00000000-0008-0000-5200-000004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348485" name="Check Box 5" hidden="1">
              <a:extLst>
                <a:ext uri="{63B3BB69-23CF-44E3-9099-C40C66FF867C}">
                  <a14:compatExt spid="_x0000_s19348485"/>
                </a:ext>
                <a:ext uri="{FF2B5EF4-FFF2-40B4-BE49-F238E27FC236}">
                  <a16:creationId xmlns:a16="http://schemas.microsoft.com/office/drawing/2014/main" id="{00000000-0008-0000-5200-000005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348486" name="Check Box 6" hidden="1">
              <a:extLst>
                <a:ext uri="{63B3BB69-23CF-44E3-9099-C40C66FF867C}">
                  <a14:compatExt spid="_x0000_s19348486"/>
                </a:ext>
                <a:ext uri="{FF2B5EF4-FFF2-40B4-BE49-F238E27FC236}">
                  <a16:creationId xmlns:a16="http://schemas.microsoft.com/office/drawing/2014/main" id="{00000000-0008-0000-5200-000006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348487" name="Check Box 7" hidden="1">
              <a:extLst>
                <a:ext uri="{63B3BB69-23CF-44E3-9099-C40C66FF867C}">
                  <a14:compatExt spid="_x0000_s19348487"/>
                </a:ext>
                <a:ext uri="{FF2B5EF4-FFF2-40B4-BE49-F238E27FC236}">
                  <a16:creationId xmlns:a16="http://schemas.microsoft.com/office/drawing/2014/main" id="{00000000-0008-0000-5200-000007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348488" name="Button 8" hidden="1">
              <a:extLst>
                <a:ext uri="{63B3BB69-23CF-44E3-9099-C40C66FF867C}">
                  <a14:compatExt spid="_x0000_s19348488"/>
                </a:ext>
                <a:ext uri="{FF2B5EF4-FFF2-40B4-BE49-F238E27FC236}">
                  <a16:creationId xmlns:a16="http://schemas.microsoft.com/office/drawing/2014/main" id="{00000000-0008-0000-5200-0000083C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348489" name="Button 9" hidden="1">
              <a:extLst>
                <a:ext uri="{63B3BB69-23CF-44E3-9099-C40C66FF867C}">
                  <a14:compatExt spid="_x0000_s19348489"/>
                </a:ext>
                <a:ext uri="{FF2B5EF4-FFF2-40B4-BE49-F238E27FC236}">
                  <a16:creationId xmlns:a16="http://schemas.microsoft.com/office/drawing/2014/main" id="{00000000-0008-0000-5200-0000093C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348490" name="Check Box 10" hidden="1">
              <a:extLst>
                <a:ext uri="{63B3BB69-23CF-44E3-9099-C40C66FF867C}">
                  <a14:compatExt spid="_x0000_s19348490"/>
                </a:ext>
                <a:ext uri="{FF2B5EF4-FFF2-40B4-BE49-F238E27FC236}">
                  <a16:creationId xmlns:a16="http://schemas.microsoft.com/office/drawing/2014/main" id="{00000000-0008-0000-5200-00000A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348491" name="Button 11" hidden="1">
              <a:extLst>
                <a:ext uri="{63B3BB69-23CF-44E3-9099-C40C66FF867C}">
                  <a14:compatExt spid="_x0000_s19348491"/>
                </a:ext>
                <a:ext uri="{FF2B5EF4-FFF2-40B4-BE49-F238E27FC236}">
                  <a16:creationId xmlns:a16="http://schemas.microsoft.com/office/drawing/2014/main" id="{00000000-0008-0000-5200-00000B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348492" name="Button 12" hidden="1">
              <a:extLst>
                <a:ext uri="{63B3BB69-23CF-44E3-9099-C40C66FF867C}">
                  <a14:compatExt spid="_x0000_s19348492"/>
                </a:ext>
                <a:ext uri="{FF2B5EF4-FFF2-40B4-BE49-F238E27FC236}">
                  <a16:creationId xmlns:a16="http://schemas.microsoft.com/office/drawing/2014/main" id="{00000000-0008-0000-5200-00000C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348493" name="Button 13" hidden="1">
              <a:extLst>
                <a:ext uri="{63B3BB69-23CF-44E3-9099-C40C66FF867C}">
                  <a14:compatExt spid="_x0000_s19348493"/>
                </a:ext>
                <a:ext uri="{FF2B5EF4-FFF2-40B4-BE49-F238E27FC236}">
                  <a16:creationId xmlns:a16="http://schemas.microsoft.com/office/drawing/2014/main" id="{00000000-0008-0000-5200-00000D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348494" name="Button 14" hidden="1">
              <a:extLst>
                <a:ext uri="{63B3BB69-23CF-44E3-9099-C40C66FF867C}">
                  <a14:compatExt spid="_x0000_s19348494"/>
                </a:ext>
                <a:ext uri="{FF2B5EF4-FFF2-40B4-BE49-F238E27FC236}">
                  <a16:creationId xmlns:a16="http://schemas.microsoft.com/office/drawing/2014/main" id="{00000000-0008-0000-5200-00000E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348495" name="Check Box 15" hidden="1">
              <a:extLst>
                <a:ext uri="{63B3BB69-23CF-44E3-9099-C40C66FF867C}">
                  <a14:compatExt spid="_x0000_s19348495"/>
                </a:ext>
                <a:ext uri="{FF2B5EF4-FFF2-40B4-BE49-F238E27FC236}">
                  <a16:creationId xmlns:a16="http://schemas.microsoft.com/office/drawing/2014/main" id="{00000000-0008-0000-5200-00000F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348496" name="Check Box 16" hidden="1">
              <a:extLst>
                <a:ext uri="{63B3BB69-23CF-44E3-9099-C40C66FF867C}">
                  <a14:compatExt spid="_x0000_s19348496"/>
                </a:ext>
                <a:ext uri="{FF2B5EF4-FFF2-40B4-BE49-F238E27FC236}">
                  <a16:creationId xmlns:a16="http://schemas.microsoft.com/office/drawing/2014/main" id="{00000000-0008-0000-5200-000010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348497" name="Check Box 17" hidden="1">
              <a:extLst>
                <a:ext uri="{63B3BB69-23CF-44E3-9099-C40C66FF867C}">
                  <a14:compatExt spid="_x0000_s19348497"/>
                </a:ext>
                <a:ext uri="{FF2B5EF4-FFF2-40B4-BE49-F238E27FC236}">
                  <a16:creationId xmlns:a16="http://schemas.microsoft.com/office/drawing/2014/main" id="{00000000-0008-0000-5200-000011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348498" name="Check Box 18" hidden="1">
              <a:extLst>
                <a:ext uri="{63B3BB69-23CF-44E3-9099-C40C66FF867C}">
                  <a14:compatExt spid="_x0000_s19348498"/>
                </a:ext>
                <a:ext uri="{FF2B5EF4-FFF2-40B4-BE49-F238E27FC236}">
                  <a16:creationId xmlns:a16="http://schemas.microsoft.com/office/drawing/2014/main" id="{00000000-0008-0000-5200-000012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348499" name="Check Box 19" hidden="1">
              <a:extLst>
                <a:ext uri="{63B3BB69-23CF-44E3-9099-C40C66FF867C}">
                  <a14:compatExt spid="_x0000_s19348499"/>
                </a:ext>
                <a:ext uri="{FF2B5EF4-FFF2-40B4-BE49-F238E27FC236}">
                  <a16:creationId xmlns:a16="http://schemas.microsoft.com/office/drawing/2014/main" id="{00000000-0008-0000-5200-000013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348500" name="Check Box 20" hidden="1">
              <a:extLst>
                <a:ext uri="{63B3BB69-23CF-44E3-9099-C40C66FF867C}">
                  <a14:compatExt spid="_x0000_s19348500"/>
                </a:ext>
                <a:ext uri="{FF2B5EF4-FFF2-40B4-BE49-F238E27FC236}">
                  <a16:creationId xmlns:a16="http://schemas.microsoft.com/office/drawing/2014/main" id="{00000000-0008-0000-5200-000014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348501" name="Check Box 21" hidden="1">
              <a:extLst>
                <a:ext uri="{63B3BB69-23CF-44E3-9099-C40C66FF867C}">
                  <a14:compatExt spid="_x0000_s19348501"/>
                </a:ext>
                <a:ext uri="{FF2B5EF4-FFF2-40B4-BE49-F238E27FC236}">
                  <a16:creationId xmlns:a16="http://schemas.microsoft.com/office/drawing/2014/main" id="{00000000-0008-0000-5200-000015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348502" name="Check Box 22" hidden="1">
              <a:extLst>
                <a:ext uri="{63B3BB69-23CF-44E3-9099-C40C66FF867C}">
                  <a14:compatExt spid="_x0000_s19348502"/>
                </a:ext>
                <a:ext uri="{FF2B5EF4-FFF2-40B4-BE49-F238E27FC236}">
                  <a16:creationId xmlns:a16="http://schemas.microsoft.com/office/drawing/2014/main" id="{00000000-0008-0000-5200-000016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348503" name="Check Box 23" hidden="1">
              <a:extLst>
                <a:ext uri="{63B3BB69-23CF-44E3-9099-C40C66FF867C}">
                  <a14:compatExt spid="_x0000_s19348503"/>
                </a:ext>
                <a:ext uri="{FF2B5EF4-FFF2-40B4-BE49-F238E27FC236}">
                  <a16:creationId xmlns:a16="http://schemas.microsoft.com/office/drawing/2014/main" id="{00000000-0008-0000-5200-000017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348504" name="Check Box 24" hidden="1">
              <a:extLst>
                <a:ext uri="{63B3BB69-23CF-44E3-9099-C40C66FF867C}">
                  <a14:compatExt spid="_x0000_s19348504"/>
                </a:ext>
                <a:ext uri="{FF2B5EF4-FFF2-40B4-BE49-F238E27FC236}">
                  <a16:creationId xmlns:a16="http://schemas.microsoft.com/office/drawing/2014/main" id="{00000000-0008-0000-5200-000018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348505" name="Check Box 25" hidden="1">
              <a:extLst>
                <a:ext uri="{63B3BB69-23CF-44E3-9099-C40C66FF867C}">
                  <a14:compatExt spid="_x0000_s19348505"/>
                </a:ext>
                <a:ext uri="{FF2B5EF4-FFF2-40B4-BE49-F238E27FC236}">
                  <a16:creationId xmlns:a16="http://schemas.microsoft.com/office/drawing/2014/main" id="{00000000-0008-0000-5200-000019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348506" name="Check Box 26" hidden="1">
              <a:extLst>
                <a:ext uri="{63B3BB69-23CF-44E3-9099-C40C66FF867C}">
                  <a14:compatExt spid="_x0000_s19348506"/>
                </a:ext>
                <a:ext uri="{FF2B5EF4-FFF2-40B4-BE49-F238E27FC236}">
                  <a16:creationId xmlns:a16="http://schemas.microsoft.com/office/drawing/2014/main" id="{00000000-0008-0000-5200-00001A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348507" name="Check Box 27" hidden="1">
              <a:extLst>
                <a:ext uri="{63B3BB69-23CF-44E3-9099-C40C66FF867C}">
                  <a14:compatExt spid="_x0000_s19348507"/>
                </a:ext>
                <a:ext uri="{FF2B5EF4-FFF2-40B4-BE49-F238E27FC236}">
                  <a16:creationId xmlns:a16="http://schemas.microsoft.com/office/drawing/2014/main" id="{00000000-0008-0000-5200-00001B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348508" name="Button 28" hidden="1">
              <a:extLst>
                <a:ext uri="{63B3BB69-23CF-44E3-9099-C40C66FF867C}">
                  <a14:compatExt spid="_x0000_s19348508"/>
                </a:ext>
                <a:ext uri="{FF2B5EF4-FFF2-40B4-BE49-F238E27FC236}">
                  <a16:creationId xmlns:a16="http://schemas.microsoft.com/office/drawing/2014/main" id="{00000000-0008-0000-5200-00001C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348509" name="Button 29" hidden="1">
              <a:extLst>
                <a:ext uri="{63B3BB69-23CF-44E3-9099-C40C66FF867C}">
                  <a14:compatExt spid="_x0000_s19348509"/>
                </a:ext>
                <a:ext uri="{FF2B5EF4-FFF2-40B4-BE49-F238E27FC236}">
                  <a16:creationId xmlns:a16="http://schemas.microsoft.com/office/drawing/2014/main" id="{00000000-0008-0000-5200-00001D3C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348510" name="Check Box 30" hidden="1">
              <a:extLst>
                <a:ext uri="{63B3BB69-23CF-44E3-9099-C40C66FF867C}">
                  <a14:compatExt spid="_x0000_s19348510"/>
                </a:ext>
                <a:ext uri="{FF2B5EF4-FFF2-40B4-BE49-F238E27FC236}">
                  <a16:creationId xmlns:a16="http://schemas.microsoft.com/office/drawing/2014/main" id="{00000000-0008-0000-5200-00001E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348511" name="Check Box 31" hidden="1">
              <a:extLst>
                <a:ext uri="{63B3BB69-23CF-44E3-9099-C40C66FF867C}">
                  <a14:compatExt spid="_x0000_s19348511"/>
                </a:ext>
                <a:ext uri="{FF2B5EF4-FFF2-40B4-BE49-F238E27FC236}">
                  <a16:creationId xmlns:a16="http://schemas.microsoft.com/office/drawing/2014/main" id="{00000000-0008-0000-5200-00001F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348512" name="Check Box 32" hidden="1">
              <a:extLst>
                <a:ext uri="{63B3BB69-23CF-44E3-9099-C40C66FF867C}">
                  <a14:compatExt spid="_x0000_s19348512"/>
                </a:ext>
                <a:ext uri="{FF2B5EF4-FFF2-40B4-BE49-F238E27FC236}">
                  <a16:creationId xmlns:a16="http://schemas.microsoft.com/office/drawing/2014/main" id="{00000000-0008-0000-5200-000020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348513" name="Check Box 33" hidden="1">
              <a:extLst>
                <a:ext uri="{63B3BB69-23CF-44E3-9099-C40C66FF867C}">
                  <a14:compatExt spid="_x0000_s19348513"/>
                </a:ext>
                <a:ext uri="{FF2B5EF4-FFF2-40B4-BE49-F238E27FC236}">
                  <a16:creationId xmlns:a16="http://schemas.microsoft.com/office/drawing/2014/main" id="{00000000-0008-0000-5200-000021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348514" name="Check Box 34" hidden="1">
              <a:extLst>
                <a:ext uri="{63B3BB69-23CF-44E3-9099-C40C66FF867C}">
                  <a14:compatExt spid="_x0000_s19348514"/>
                </a:ext>
                <a:ext uri="{FF2B5EF4-FFF2-40B4-BE49-F238E27FC236}">
                  <a16:creationId xmlns:a16="http://schemas.microsoft.com/office/drawing/2014/main" id="{00000000-0008-0000-5200-000022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348515" name="Check Box 35" hidden="1">
              <a:extLst>
                <a:ext uri="{63B3BB69-23CF-44E3-9099-C40C66FF867C}">
                  <a14:compatExt spid="_x0000_s19348515"/>
                </a:ext>
                <a:ext uri="{FF2B5EF4-FFF2-40B4-BE49-F238E27FC236}">
                  <a16:creationId xmlns:a16="http://schemas.microsoft.com/office/drawing/2014/main" id="{00000000-0008-0000-5200-000023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348516" name="Check Box 36" hidden="1">
              <a:extLst>
                <a:ext uri="{63B3BB69-23CF-44E3-9099-C40C66FF867C}">
                  <a14:compatExt spid="_x0000_s19348516"/>
                </a:ext>
                <a:ext uri="{FF2B5EF4-FFF2-40B4-BE49-F238E27FC236}">
                  <a16:creationId xmlns:a16="http://schemas.microsoft.com/office/drawing/2014/main" id="{00000000-0008-0000-5200-000024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348517" name="Check Box 37" hidden="1">
              <a:extLst>
                <a:ext uri="{63B3BB69-23CF-44E3-9099-C40C66FF867C}">
                  <a14:compatExt spid="_x0000_s19348517"/>
                </a:ext>
                <a:ext uri="{FF2B5EF4-FFF2-40B4-BE49-F238E27FC236}">
                  <a16:creationId xmlns:a16="http://schemas.microsoft.com/office/drawing/2014/main" id="{00000000-0008-0000-5200-0000253C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02F5862-E434-4218-AC29-3F2F4326934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0865422-A133-49F2-9A9F-7C837C0B147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347457" name="Check Box 1" hidden="1">
              <a:extLst>
                <a:ext uri="{63B3BB69-23CF-44E3-9099-C40C66FF867C}">
                  <a14:compatExt spid="_x0000_s19347457"/>
                </a:ext>
                <a:ext uri="{FF2B5EF4-FFF2-40B4-BE49-F238E27FC236}">
                  <a16:creationId xmlns:a16="http://schemas.microsoft.com/office/drawing/2014/main" id="{00000000-0008-0000-5300-000001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347458" name="Check Box 2" hidden="1">
              <a:extLst>
                <a:ext uri="{63B3BB69-23CF-44E3-9099-C40C66FF867C}">
                  <a14:compatExt spid="_x0000_s19347458"/>
                </a:ext>
                <a:ext uri="{FF2B5EF4-FFF2-40B4-BE49-F238E27FC236}">
                  <a16:creationId xmlns:a16="http://schemas.microsoft.com/office/drawing/2014/main" id="{00000000-0008-0000-5300-000002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347459" name="Check Box 3" hidden="1">
              <a:extLst>
                <a:ext uri="{63B3BB69-23CF-44E3-9099-C40C66FF867C}">
                  <a14:compatExt spid="_x0000_s19347459"/>
                </a:ext>
                <a:ext uri="{FF2B5EF4-FFF2-40B4-BE49-F238E27FC236}">
                  <a16:creationId xmlns:a16="http://schemas.microsoft.com/office/drawing/2014/main" id="{00000000-0008-0000-5300-000003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347460" name="Check Box 4" hidden="1">
              <a:extLst>
                <a:ext uri="{63B3BB69-23CF-44E3-9099-C40C66FF867C}">
                  <a14:compatExt spid="_x0000_s19347460"/>
                </a:ext>
                <a:ext uri="{FF2B5EF4-FFF2-40B4-BE49-F238E27FC236}">
                  <a16:creationId xmlns:a16="http://schemas.microsoft.com/office/drawing/2014/main" id="{00000000-0008-0000-5300-000004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347461" name="Check Box 5" hidden="1">
              <a:extLst>
                <a:ext uri="{63B3BB69-23CF-44E3-9099-C40C66FF867C}">
                  <a14:compatExt spid="_x0000_s19347461"/>
                </a:ext>
                <a:ext uri="{FF2B5EF4-FFF2-40B4-BE49-F238E27FC236}">
                  <a16:creationId xmlns:a16="http://schemas.microsoft.com/office/drawing/2014/main" id="{00000000-0008-0000-5300-000005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347462" name="Check Box 6" hidden="1">
              <a:extLst>
                <a:ext uri="{63B3BB69-23CF-44E3-9099-C40C66FF867C}">
                  <a14:compatExt spid="_x0000_s19347462"/>
                </a:ext>
                <a:ext uri="{FF2B5EF4-FFF2-40B4-BE49-F238E27FC236}">
                  <a16:creationId xmlns:a16="http://schemas.microsoft.com/office/drawing/2014/main" id="{00000000-0008-0000-5300-000006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347463" name="Check Box 7" hidden="1">
              <a:extLst>
                <a:ext uri="{63B3BB69-23CF-44E3-9099-C40C66FF867C}">
                  <a14:compatExt spid="_x0000_s19347463"/>
                </a:ext>
                <a:ext uri="{FF2B5EF4-FFF2-40B4-BE49-F238E27FC236}">
                  <a16:creationId xmlns:a16="http://schemas.microsoft.com/office/drawing/2014/main" id="{00000000-0008-0000-5300-000007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347464" name="Button 8" hidden="1">
              <a:extLst>
                <a:ext uri="{63B3BB69-23CF-44E3-9099-C40C66FF867C}">
                  <a14:compatExt spid="_x0000_s19347464"/>
                </a:ext>
                <a:ext uri="{FF2B5EF4-FFF2-40B4-BE49-F238E27FC236}">
                  <a16:creationId xmlns:a16="http://schemas.microsoft.com/office/drawing/2014/main" id="{00000000-0008-0000-5300-00000838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347465" name="Button 9" hidden="1">
              <a:extLst>
                <a:ext uri="{63B3BB69-23CF-44E3-9099-C40C66FF867C}">
                  <a14:compatExt spid="_x0000_s19347465"/>
                </a:ext>
                <a:ext uri="{FF2B5EF4-FFF2-40B4-BE49-F238E27FC236}">
                  <a16:creationId xmlns:a16="http://schemas.microsoft.com/office/drawing/2014/main" id="{00000000-0008-0000-5300-0000093827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347466" name="Check Box 10" hidden="1">
              <a:extLst>
                <a:ext uri="{63B3BB69-23CF-44E3-9099-C40C66FF867C}">
                  <a14:compatExt spid="_x0000_s19347466"/>
                </a:ext>
                <a:ext uri="{FF2B5EF4-FFF2-40B4-BE49-F238E27FC236}">
                  <a16:creationId xmlns:a16="http://schemas.microsoft.com/office/drawing/2014/main" id="{00000000-0008-0000-5300-00000A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347467" name="Button 11" hidden="1">
              <a:extLst>
                <a:ext uri="{63B3BB69-23CF-44E3-9099-C40C66FF867C}">
                  <a14:compatExt spid="_x0000_s19347467"/>
                </a:ext>
                <a:ext uri="{FF2B5EF4-FFF2-40B4-BE49-F238E27FC236}">
                  <a16:creationId xmlns:a16="http://schemas.microsoft.com/office/drawing/2014/main" id="{00000000-0008-0000-5300-00000B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347468" name="Button 12" hidden="1">
              <a:extLst>
                <a:ext uri="{63B3BB69-23CF-44E3-9099-C40C66FF867C}">
                  <a14:compatExt spid="_x0000_s19347468"/>
                </a:ext>
                <a:ext uri="{FF2B5EF4-FFF2-40B4-BE49-F238E27FC236}">
                  <a16:creationId xmlns:a16="http://schemas.microsoft.com/office/drawing/2014/main" id="{00000000-0008-0000-5300-00000C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347469" name="Button 13" hidden="1">
              <a:extLst>
                <a:ext uri="{63B3BB69-23CF-44E3-9099-C40C66FF867C}">
                  <a14:compatExt spid="_x0000_s19347469"/>
                </a:ext>
                <a:ext uri="{FF2B5EF4-FFF2-40B4-BE49-F238E27FC236}">
                  <a16:creationId xmlns:a16="http://schemas.microsoft.com/office/drawing/2014/main" id="{00000000-0008-0000-5300-00000D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347470" name="Button 14" hidden="1">
              <a:extLst>
                <a:ext uri="{63B3BB69-23CF-44E3-9099-C40C66FF867C}">
                  <a14:compatExt spid="_x0000_s19347470"/>
                </a:ext>
                <a:ext uri="{FF2B5EF4-FFF2-40B4-BE49-F238E27FC236}">
                  <a16:creationId xmlns:a16="http://schemas.microsoft.com/office/drawing/2014/main" id="{00000000-0008-0000-5300-00000E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347471" name="Check Box 15" hidden="1">
              <a:extLst>
                <a:ext uri="{63B3BB69-23CF-44E3-9099-C40C66FF867C}">
                  <a14:compatExt spid="_x0000_s19347471"/>
                </a:ext>
                <a:ext uri="{FF2B5EF4-FFF2-40B4-BE49-F238E27FC236}">
                  <a16:creationId xmlns:a16="http://schemas.microsoft.com/office/drawing/2014/main" id="{00000000-0008-0000-5300-00000F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347472" name="Check Box 16" hidden="1">
              <a:extLst>
                <a:ext uri="{63B3BB69-23CF-44E3-9099-C40C66FF867C}">
                  <a14:compatExt spid="_x0000_s19347472"/>
                </a:ext>
                <a:ext uri="{FF2B5EF4-FFF2-40B4-BE49-F238E27FC236}">
                  <a16:creationId xmlns:a16="http://schemas.microsoft.com/office/drawing/2014/main" id="{00000000-0008-0000-5300-000010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347473" name="Check Box 17" hidden="1">
              <a:extLst>
                <a:ext uri="{63B3BB69-23CF-44E3-9099-C40C66FF867C}">
                  <a14:compatExt spid="_x0000_s19347473"/>
                </a:ext>
                <a:ext uri="{FF2B5EF4-FFF2-40B4-BE49-F238E27FC236}">
                  <a16:creationId xmlns:a16="http://schemas.microsoft.com/office/drawing/2014/main" id="{00000000-0008-0000-5300-000011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347474" name="Check Box 18" hidden="1">
              <a:extLst>
                <a:ext uri="{63B3BB69-23CF-44E3-9099-C40C66FF867C}">
                  <a14:compatExt spid="_x0000_s19347474"/>
                </a:ext>
                <a:ext uri="{FF2B5EF4-FFF2-40B4-BE49-F238E27FC236}">
                  <a16:creationId xmlns:a16="http://schemas.microsoft.com/office/drawing/2014/main" id="{00000000-0008-0000-5300-000012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347475" name="Check Box 19" hidden="1">
              <a:extLst>
                <a:ext uri="{63B3BB69-23CF-44E3-9099-C40C66FF867C}">
                  <a14:compatExt spid="_x0000_s19347475"/>
                </a:ext>
                <a:ext uri="{FF2B5EF4-FFF2-40B4-BE49-F238E27FC236}">
                  <a16:creationId xmlns:a16="http://schemas.microsoft.com/office/drawing/2014/main" id="{00000000-0008-0000-5300-000013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347476" name="Check Box 20" hidden="1">
              <a:extLst>
                <a:ext uri="{63B3BB69-23CF-44E3-9099-C40C66FF867C}">
                  <a14:compatExt spid="_x0000_s19347476"/>
                </a:ext>
                <a:ext uri="{FF2B5EF4-FFF2-40B4-BE49-F238E27FC236}">
                  <a16:creationId xmlns:a16="http://schemas.microsoft.com/office/drawing/2014/main" id="{00000000-0008-0000-5300-000014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347477" name="Check Box 21" hidden="1">
              <a:extLst>
                <a:ext uri="{63B3BB69-23CF-44E3-9099-C40C66FF867C}">
                  <a14:compatExt spid="_x0000_s19347477"/>
                </a:ext>
                <a:ext uri="{FF2B5EF4-FFF2-40B4-BE49-F238E27FC236}">
                  <a16:creationId xmlns:a16="http://schemas.microsoft.com/office/drawing/2014/main" id="{00000000-0008-0000-5300-000015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347478" name="Check Box 22" hidden="1">
              <a:extLst>
                <a:ext uri="{63B3BB69-23CF-44E3-9099-C40C66FF867C}">
                  <a14:compatExt spid="_x0000_s19347478"/>
                </a:ext>
                <a:ext uri="{FF2B5EF4-FFF2-40B4-BE49-F238E27FC236}">
                  <a16:creationId xmlns:a16="http://schemas.microsoft.com/office/drawing/2014/main" id="{00000000-0008-0000-5300-000016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347479" name="Check Box 23" hidden="1">
              <a:extLst>
                <a:ext uri="{63B3BB69-23CF-44E3-9099-C40C66FF867C}">
                  <a14:compatExt spid="_x0000_s19347479"/>
                </a:ext>
                <a:ext uri="{FF2B5EF4-FFF2-40B4-BE49-F238E27FC236}">
                  <a16:creationId xmlns:a16="http://schemas.microsoft.com/office/drawing/2014/main" id="{00000000-0008-0000-5300-000017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347480" name="Check Box 24" hidden="1">
              <a:extLst>
                <a:ext uri="{63B3BB69-23CF-44E3-9099-C40C66FF867C}">
                  <a14:compatExt spid="_x0000_s19347480"/>
                </a:ext>
                <a:ext uri="{FF2B5EF4-FFF2-40B4-BE49-F238E27FC236}">
                  <a16:creationId xmlns:a16="http://schemas.microsoft.com/office/drawing/2014/main" id="{00000000-0008-0000-5300-000018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347481" name="Check Box 25" hidden="1">
              <a:extLst>
                <a:ext uri="{63B3BB69-23CF-44E3-9099-C40C66FF867C}">
                  <a14:compatExt spid="_x0000_s19347481"/>
                </a:ext>
                <a:ext uri="{FF2B5EF4-FFF2-40B4-BE49-F238E27FC236}">
                  <a16:creationId xmlns:a16="http://schemas.microsoft.com/office/drawing/2014/main" id="{00000000-0008-0000-5300-000019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347482" name="Check Box 26" hidden="1">
              <a:extLst>
                <a:ext uri="{63B3BB69-23CF-44E3-9099-C40C66FF867C}">
                  <a14:compatExt spid="_x0000_s19347482"/>
                </a:ext>
                <a:ext uri="{FF2B5EF4-FFF2-40B4-BE49-F238E27FC236}">
                  <a16:creationId xmlns:a16="http://schemas.microsoft.com/office/drawing/2014/main" id="{00000000-0008-0000-5300-00001A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347483" name="Check Box 27" hidden="1">
              <a:extLst>
                <a:ext uri="{63B3BB69-23CF-44E3-9099-C40C66FF867C}">
                  <a14:compatExt spid="_x0000_s19347483"/>
                </a:ext>
                <a:ext uri="{FF2B5EF4-FFF2-40B4-BE49-F238E27FC236}">
                  <a16:creationId xmlns:a16="http://schemas.microsoft.com/office/drawing/2014/main" id="{00000000-0008-0000-5300-00001B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347484" name="Button 28" hidden="1">
              <a:extLst>
                <a:ext uri="{63B3BB69-23CF-44E3-9099-C40C66FF867C}">
                  <a14:compatExt spid="_x0000_s19347484"/>
                </a:ext>
                <a:ext uri="{FF2B5EF4-FFF2-40B4-BE49-F238E27FC236}">
                  <a16:creationId xmlns:a16="http://schemas.microsoft.com/office/drawing/2014/main" id="{00000000-0008-0000-5300-00001C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347485" name="Button 29" hidden="1">
              <a:extLst>
                <a:ext uri="{63B3BB69-23CF-44E3-9099-C40C66FF867C}">
                  <a14:compatExt spid="_x0000_s19347485"/>
                </a:ext>
                <a:ext uri="{FF2B5EF4-FFF2-40B4-BE49-F238E27FC236}">
                  <a16:creationId xmlns:a16="http://schemas.microsoft.com/office/drawing/2014/main" id="{00000000-0008-0000-5300-00001D382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347486" name="Check Box 30" hidden="1">
              <a:extLst>
                <a:ext uri="{63B3BB69-23CF-44E3-9099-C40C66FF867C}">
                  <a14:compatExt spid="_x0000_s19347486"/>
                </a:ext>
                <a:ext uri="{FF2B5EF4-FFF2-40B4-BE49-F238E27FC236}">
                  <a16:creationId xmlns:a16="http://schemas.microsoft.com/office/drawing/2014/main" id="{00000000-0008-0000-5300-00001E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347487" name="Check Box 31" hidden="1">
              <a:extLst>
                <a:ext uri="{63B3BB69-23CF-44E3-9099-C40C66FF867C}">
                  <a14:compatExt spid="_x0000_s19347487"/>
                </a:ext>
                <a:ext uri="{FF2B5EF4-FFF2-40B4-BE49-F238E27FC236}">
                  <a16:creationId xmlns:a16="http://schemas.microsoft.com/office/drawing/2014/main" id="{00000000-0008-0000-5300-00001F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347488" name="Check Box 32" hidden="1">
              <a:extLst>
                <a:ext uri="{63B3BB69-23CF-44E3-9099-C40C66FF867C}">
                  <a14:compatExt spid="_x0000_s19347488"/>
                </a:ext>
                <a:ext uri="{FF2B5EF4-FFF2-40B4-BE49-F238E27FC236}">
                  <a16:creationId xmlns:a16="http://schemas.microsoft.com/office/drawing/2014/main" id="{00000000-0008-0000-5300-000020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347489" name="Check Box 33" hidden="1">
              <a:extLst>
                <a:ext uri="{63B3BB69-23CF-44E3-9099-C40C66FF867C}">
                  <a14:compatExt spid="_x0000_s19347489"/>
                </a:ext>
                <a:ext uri="{FF2B5EF4-FFF2-40B4-BE49-F238E27FC236}">
                  <a16:creationId xmlns:a16="http://schemas.microsoft.com/office/drawing/2014/main" id="{00000000-0008-0000-5300-000021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347490" name="Check Box 34" hidden="1">
              <a:extLst>
                <a:ext uri="{63B3BB69-23CF-44E3-9099-C40C66FF867C}">
                  <a14:compatExt spid="_x0000_s19347490"/>
                </a:ext>
                <a:ext uri="{FF2B5EF4-FFF2-40B4-BE49-F238E27FC236}">
                  <a16:creationId xmlns:a16="http://schemas.microsoft.com/office/drawing/2014/main" id="{00000000-0008-0000-5300-000022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347491" name="Check Box 35" hidden="1">
              <a:extLst>
                <a:ext uri="{63B3BB69-23CF-44E3-9099-C40C66FF867C}">
                  <a14:compatExt spid="_x0000_s19347491"/>
                </a:ext>
                <a:ext uri="{FF2B5EF4-FFF2-40B4-BE49-F238E27FC236}">
                  <a16:creationId xmlns:a16="http://schemas.microsoft.com/office/drawing/2014/main" id="{00000000-0008-0000-5300-000023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347492" name="Check Box 36" hidden="1">
              <a:extLst>
                <a:ext uri="{63B3BB69-23CF-44E3-9099-C40C66FF867C}">
                  <a14:compatExt spid="_x0000_s19347492"/>
                </a:ext>
                <a:ext uri="{FF2B5EF4-FFF2-40B4-BE49-F238E27FC236}">
                  <a16:creationId xmlns:a16="http://schemas.microsoft.com/office/drawing/2014/main" id="{00000000-0008-0000-5300-000024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347493" name="Check Box 37" hidden="1">
              <a:extLst>
                <a:ext uri="{63B3BB69-23CF-44E3-9099-C40C66FF867C}">
                  <a14:compatExt spid="_x0000_s19347493"/>
                </a:ext>
                <a:ext uri="{FF2B5EF4-FFF2-40B4-BE49-F238E27FC236}">
                  <a16:creationId xmlns:a16="http://schemas.microsoft.com/office/drawing/2014/main" id="{00000000-0008-0000-5300-000025382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610B974-DB9F-49C4-883B-14EF5261B09C}"/>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A68AC71-81C8-4434-9D37-B223EFB5FE84}"/>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077121" name="Check Box 1" hidden="1">
              <a:extLst>
                <a:ext uri="{63B3BB69-23CF-44E3-9099-C40C66FF867C}">
                  <a14:compatExt spid="_x0000_s19077121"/>
                </a:ext>
                <a:ext uri="{FF2B5EF4-FFF2-40B4-BE49-F238E27FC236}">
                  <a16:creationId xmlns:a16="http://schemas.microsoft.com/office/drawing/2014/main" id="{00000000-0008-0000-5400-000001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077122" name="Check Box 2" hidden="1">
              <a:extLst>
                <a:ext uri="{63B3BB69-23CF-44E3-9099-C40C66FF867C}">
                  <a14:compatExt spid="_x0000_s19077122"/>
                </a:ext>
                <a:ext uri="{FF2B5EF4-FFF2-40B4-BE49-F238E27FC236}">
                  <a16:creationId xmlns:a16="http://schemas.microsoft.com/office/drawing/2014/main" id="{00000000-0008-0000-5400-000002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077123" name="Check Box 3" hidden="1">
              <a:extLst>
                <a:ext uri="{63B3BB69-23CF-44E3-9099-C40C66FF867C}">
                  <a14:compatExt spid="_x0000_s19077123"/>
                </a:ext>
                <a:ext uri="{FF2B5EF4-FFF2-40B4-BE49-F238E27FC236}">
                  <a16:creationId xmlns:a16="http://schemas.microsoft.com/office/drawing/2014/main" id="{00000000-0008-0000-5400-000003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077124" name="Check Box 4" hidden="1">
              <a:extLst>
                <a:ext uri="{63B3BB69-23CF-44E3-9099-C40C66FF867C}">
                  <a14:compatExt spid="_x0000_s19077124"/>
                </a:ext>
                <a:ext uri="{FF2B5EF4-FFF2-40B4-BE49-F238E27FC236}">
                  <a16:creationId xmlns:a16="http://schemas.microsoft.com/office/drawing/2014/main" id="{00000000-0008-0000-5400-000004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077125" name="Check Box 5" hidden="1">
              <a:extLst>
                <a:ext uri="{63B3BB69-23CF-44E3-9099-C40C66FF867C}">
                  <a14:compatExt spid="_x0000_s19077125"/>
                </a:ext>
                <a:ext uri="{FF2B5EF4-FFF2-40B4-BE49-F238E27FC236}">
                  <a16:creationId xmlns:a16="http://schemas.microsoft.com/office/drawing/2014/main" id="{00000000-0008-0000-5400-000005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077126" name="Check Box 6" hidden="1">
              <a:extLst>
                <a:ext uri="{63B3BB69-23CF-44E3-9099-C40C66FF867C}">
                  <a14:compatExt spid="_x0000_s19077126"/>
                </a:ext>
                <a:ext uri="{FF2B5EF4-FFF2-40B4-BE49-F238E27FC236}">
                  <a16:creationId xmlns:a16="http://schemas.microsoft.com/office/drawing/2014/main" id="{00000000-0008-0000-5400-000006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077127" name="Check Box 7" hidden="1">
              <a:extLst>
                <a:ext uri="{63B3BB69-23CF-44E3-9099-C40C66FF867C}">
                  <a14:compatExt spid="_x0000_s19077127"/>
                </a:ext>
                <a:ext uri="{FF2B5EF4-FFF2-40B4-BE49-F238E27FC236}">
                  <a16:creationId xmlns:a16="http://schemas.microsoft.com/office/drawing/2014/main" id="{00000000-0008-0000-5400-000007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9077128" name="Button 8" hidden="1">
              <a:extLst>
                <a:ext uri="{63B3BB69-23CF-44E3-9099-C40C66FF867C}">
                  <a14:compatExt spid="_x0000_s19077128"/>
                </a:ext>
                <a:ext uri="{FF2B5EF4-FFF2-40B4-BE49-F238E27FC236}">
                  <a16:creationId xmlns:a16="http://schemas.microsoft.com/office/drawing/2014/main" id="{00000000-0008-0000-5400-000008182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077129" name="Button 9" hidden="1">
              <a:extLst>
                <a:ext uri="{63B3BB69-23CF-44E3-9099-C40C66FF867C}">
                  <a14:compatExt spid="_x0000_s19077129"/>
                </a:ext>
                <a:ext uri="{FF2B5EF4-FFF2-40B4-BE49-F238E27FC236}">
                  <a16:creationId xmlns:a16="http://schemas.microsoft.com/office/drawing/2014/main" id="{00000000-0008-0000-5400-000009182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077130" name="Check Box 10" hidden="1">
              <a:extLst>
                <a:ext uri="{63B3BB69-23CF-44E3-9099-C40C66FF867C}">
                  <a14:compatExt spid="_x0000_s19077130"/>
                </a:ext>
                <a:ext uri="{FF2B5EF4-FFF2-40B4-BE49-F238E27FC236}">
                  <a16:creationId xmlns:a16="http://schemas.microsoft.com/office/drawing/2014/main" id="{00000000-0008-0000-5400-00000A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077131" name="Button 11" hidden="1">
              <a:extLst>
                <a:ext uri="{63B3BB69-23CF-44E3-9099-C40C66FF867C}">
                  <a14:compatExt spid="_x0000_s19077131"/>
                </a:ext>
                <a:ext uri="{FF2B5EF4-FFF2-40B4-BE49-F238E27FC236}">
                  <a16:creationId xmlns:a16="http://schemas.microsoft.com/office/drawing/2014/main" id="{00000000-0008-0000-5400-00000B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077132" name="Button 12" hidden="1">
              <a:extLst>
                <a:ext uri="{63B3BB69-23CF-44E3-9099-C40C66FF867C}">
                  <a14:compatExt spid="_x0000_s19077132"/>
                </a:ext>
                <a:ext uri="{FF2B5EF4-FFF2-40B4-BE49-F238E27FC236}">
                  <a16:creationId xmlns:a16="http://schemas.microsoft.com/office/drawing/2014/main" id="{00000000-0008-0000-5400-00000C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077133" name="Button 13" hidden="1">
              <a:extLst>
                <a:ext uri="{63B3BB69-23CF-44E3-9099-C40C66FF867C}">
                  <a14:compatExt spid="_x0000_s19077133"/>
                </a:ext>
                <a:ext uri="{FF2B5EF4-FFF2-40B4-BE49-F238E27FC236}">
                  <a16:creationId xmlns:a16="http://schemas.microsoft.com/office/drawing/2014/main" id="{00000000-0008-0000-5400-00000D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077134" name="Button 14" hidden="1">
              <a:extLst>
                <a:ext uri="{63B3BB69-23CF-44E3-9099-C40C66FF867C}">
                  <a14:compatExt spid="_x0000_s19077134"/>
                </a:ext>
                <a:ext uri="{FF2B5EF4-FFF2-40B4-BE49-F238E27FC236}">
                  <a16:creationId xmlns:a16="http://schemas.microsoft.com/office/drawing/2014/main" id="{00000000-0008-0000-5400-00000E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077135" name="Check Box 15" hidden="1">
              <a:extLst>
                <a:ext uri="{63B3BB69-23CF-44E3-9099-C40C66FF867C}">
                  <a14:compatExt spid="_x0000_s19077135"/>
                </a:ext>
                <a:ext uri="{FF2B5EF4-FFF2-40B4-BE49-F238E27FC236}">
                  <a16:creationId xmlns:a16="http://schemas.microsoft.com/office/drawing/2014/main" id="{00000000-0008-0000-5400-00000F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077136" name="Check Box 16" hidden="1">
              <a:extLst>
                <a:ext uri="{63B3BB69-23CF-44E3-9099-C40C66FF867C}">
                  <a14:compatExt spid="_x0000_s19077136"/>
                </a:ext>
                <a:ext uri="{FF2B5EF4-FFF2-40B4-BE49-F238E27FC236}">
                  <a16:creationId xmlns:a16="http://schemas.microsoft.com/office/drawing/2014/main" id="{00000000-0008-0000-5400-000010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077137" name="Check Box 17" hidden="1">
              <a:extLst>
                <a:ext uri="{63B3BB69-23CF-44E3-9099-C40C66FF867C}">
                  <a14:compatExt spid="_x0000_s19077137"/>
                </a:ext>
                <a:ext uri="{FF2B5EF4-FFF2-40B4-BE49-F238E27FC236}">
                  <a16:creationId xmlns:a16="http://schemas.microsoft.com/office/drawing/2014/main" id="{00000000-0008-0000-5400-000011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077138" name="Check Box 18" hidden="1">
              <a:extLst>
                <a:ext uri="{63B3BB69-23CF-44E3-9099-C40C66FF867C}">
                  <a14:compatExt spid="_x0000_s19077138"/>
                </a:ext>
                <a:ext uri="{FF2B5EF4-FFF2-40B4-BE49-F238E27FC236}">
                  <a16:creationId xmlns:a16="http://schemas.microsoft.com/office/drawing/2014/main" id="{00000000-0008-0000-5400-000012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077139" name="Check Box 19" hidden="1">
              <a:extLst>
                <a:ext uri="{63B3BB69-23CF-44E3-9099-C40C66FF867C}">
                  <a14:compatExt spid="_x0000_s19077139"/>
                </a:ext>
                <a:ext uri="{FF2B5EF4-FFF2-40B4-BE49-F238E27FC236}">
                  <a16:creationId xmlns:a16="http://schemas.microsoft.com/office/drawing/2014/main" id="{00000000-0008-0000-5400-000013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9077140" name="Check Box 20" hidden="1">
              <a:extLst>
                <a:ext uri="{63B3BB69-23CF-44E3-9099-C40C66FF867C}">
                  <a14:compatExt spid="_x0000_s19077140"/>
                </a:ext>
                <a:ext uri="{FF2B5EF4-FFF2-40B4-BE49-F238E27FC236}">
                  <a16:creationId xmlns:a16="http://schemas.microsoft.com/office/drawing/2014/main" id="{00000000-0008-0000-5400-000014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077141" name="Check Box 21" hidden="1">
              <a:extLst>
                <a:ext uri="{63B3BB69-23CF-44E3-9099-C40C66FF867C}">
                  <a14:compatExt spid="_x0000_s19077141"/>
                </a:ext>
                <a:ext uri="{FF2B5EF4-FFF2-40B4-BE49-F238E27FC236}">
                  <a16:creationId xmlns:a16="http://schemas.microsoft.com/office/drawing/2014/main" id="{00000000-0008-0000-5400-000015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077142" name="Check Box 22" hidden="1">
              <a:extLst>
                <a:ext uri="{63B3BB69-23CF-44E3-9099-C40C66FF867C}">
                  <a14:compatExt spid="_x0000_s19077142"/>
                </a:ext>
                <a:ext uri="{FF2B5EF4-FFF2-40B4-BE49-F238E27FC236}">
                  <a16:creationId xmlns:a16="http://schemas.microsoft.com/office/drawing/2014/main" id="{00000000-0008-0000-5400-000016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077143" name="Check Box 23" hidden="1">
              <a:extLst>
                <a:ext uri="{63B3BB69-23CF-44E3-9099-C40C66FF867C}">
                  <a14:compatExt spid="_x0000_s19077143"/>
                </a:ext>
                <a:ext uri="{FF2B5EF4-FFF2-40B4-BE49-F238E27FC236}">
                  <a16:creationId xmlns:a16="http://schemas.microsoft.com/office/drawing/2014/main" id="{00000000-0008-0000-5400-000017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077144" name="Check Box 24" hidden="1">
              <a:extLst>
                <a:ext uri="{63B3BB69-23CF-44E3-9099-C40C66FF867C}">
                  <a14:compatExt spid="_x0000_s19077144"/>
                </a:ext>
                <a:ext uri="{FF2B5EF4-FFF2-40B4-BE49-F238E27FC236}">
                  <a16:creationId xmlns:a16="http://schemas.microsoft.com/office/drawing/2014/main" id="{00000000-0008-0000-5400-000018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077145" name="Check Box 25" hidden="1">
              <a:extLst>
                <a:ext uri="{63B3BB69-23CF-44E3-9099-C40C66FF867C}">
                  <a14:compatExt spid="_x0000_s19077145"/>
                </a:ext>
                <a:ext uri="{FF2B5EF4-FFF2-40B4-BE49-F238E27FC236}">
                  <a16:creationId xmlns:a16="http://schemas.microsoft.com/office/drawing/2014/main" id="{00000000-0008-0000-5400-000019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077146" name="Check Box 26" hidden="1">
              <a:extLst>
                <a:ext uri="{63B3BB69-23CF-44E3-9099-C40C66FF867C}">
                  <a14:compatExt spid="_x0000_s19077146"/>
                </a:ext>
                <a:ext uri="{FF2B5EF4-FFF2-40B4-BE49-F238E27FC236}">
                  <a16:creationId xmlns:a16="http://schemas.microsoft.com/office/drawing/2014/main" id="{00000000-0008-0000-5400-00001A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077147" name="Check Box 27" hidden="1">
              <a:extLst>
                <a:ext uri="{63B3BB69-23CF-44E3-9099-C40C66FF867C}">
                  <a14:compatExt spid="_x0000_s19077147"/>
                </a:ext>
                <a:ext uri="{FF2B5EF4-FFF2-40B4-BE49-F238E27FC236}">
                  <a16:creationId xmlns:a16="http://schemas.microsoft.com/office/drawing/2014/main" id="{00000000-0008-0000-5400-00001B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077148" name="Button 28" hidden="1">
              <a:extLst>
                <a:ext uri="{63B3BB69-23CF-44E3-9099-C40C66FF867C}">
                  <a14:compatExt spid="_x0000_s19077148"/>
                </a:ext>
                <a:ext uri="{FF2B5EF4-FFF2-40B4-BE49-F238E27FC236}">
                  <a16:creationId xmlns:a16="http://schemas.microsoft.com/office/drawing/2014/main" id="{00000000-0008-0000-5400-00001C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077149" name="Button 29" hidden="1">
              <a:extLst>
                <a:ext uri="{63B3BB69-23CF-44E3-9099-C40C66FF867C}">
                  <a14:compatExt spid="_x0000_s19077149"/>
                </a:ext>
                <a:ext uri="{FF2B5EF4-FFF2-40B4-BE49-F238E27FC236}">
                  <a16:creationId xmlns:a16="http://schemas.microsoft.com/office/drawing/2014/main" id="{00000000-0008-0000-5400-00001D182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9077150" name="Check Box 30" hidden="1">
              <a:extLst>
                <a:ext uri="{63B3BB69-23CF-44E3-9099-C40C66FF867C}">
                  <a14:compatExt spid="_x0000_s19077150"/>
                </a:ext>
                <a:ext uri="{FF2B5EF4-FFF2-40B4-BE49-F238E27FC236}">
                  <a16:creationId xmlns:a16="http://schemas.microsoft.com/office/drawing/2014/main" id="{00000000-0008-0000-5400-00001E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9077151" name="Check Box 31" hidden="1">
              <a:extLst>
                <a:ext uri="{63B3BB69-23CF-44E3-9099-C40C66FF867C}">
                  <a14:compatExt spid="_x0000_s19077151"/>
                </a:ext>
                <a:ext uri="{FF2B5EF4-FFF2-40B4-BE49-F238E27FC236}">
                  <a16:creationId xmlns:a16="http://schemas.microsoft.com/office/drawing/2014/main" id="{00000000-0008-0000-5400-00001F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9077152" name="Check Box 32" hidden="1">
              <a:extLst>
                <a:ext uri="{63B3BB69-23CF-44E3-9099-C40C66FF867C}">
                  <a14:compatExt spid="_x0000_s19077152"/>
                </a:ext>
                <a:ext uri="{FF2B5EF4-FFF2-40B4-BE49-F238E27FC236}">
                  <a16:creationId xmlns:a16="http://schemas.microsoft.com/office/drawing/2014/main" id="{00000000-0008-0000-5400-000020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9077153" name="Check Box 33" hidden="1">
              <a:extLst>
                <a:ext uri="{63B3BB69-23CF-44E3-9099-C40C66FF867C}">
                  <a14:compatExt spid="_x0000_s19077153"/>
                </a:ext>
                <a:ext uri="{FF2B5EF4-FFF2-40B4-BE49-F238E27FC236}">
                  <a16:creationId xmlns:a16="http://schemas.microsoft.com/office/drawing/2014/main" id="{00000000-0008-0000-5400-000021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9077154" name="Check Box 34" hidden="1">
              <a:extLst>
                <a:ext uri="{63B3BB69-23CF-44E3-9099-C40C66FF867C}">
                  <a14:compatExt spid="_x0000_s19077154"/>
                </a:ext>
                <a:ext uri="{FF2B5EF4-FFF2-40B4-BE49-F238E27FC236}">
                  <a16:creationId xmlns:a16="http://schemas.microsoft.com/office/drawing/2014/main" id="{00000000-0008-0000-5400-000022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9077155" name="Check Box 35" hidden="1">
              <a:extLst>
                <a:ext uri="{63B3BB69-23CF-44E3-9099-C40C66FF867C}">
                  <a14:compatExt spid="_x0000_s19077155"/>
                </a:ext>
                <a:ext uri="{FF2B5EF4-FFF2-40B4-BE49-F238E27FC236}">
                  <a16:creationId xmlns:a16="http://schemas.microsoft.com/office/drawing/2014/main" id="{00000000-0008-0000-5400-000023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9077156" name="Check Box 36" hidden="1">
              <a:extLst>
                <a:ext uri="{63B3BB69-23CF-44E3-9099-C40C66FF867C}">
                  <a14:compatExt spid="_x0000_s19077156"/>
                </a:ext>
                <a:ext uri="{FF2B5EF4-FFF2-40B4-BE49-F238E27FC236}">
                  <a16:creationId xmlns:a16="http://schemas.microsoft.com/office/drawing/2014/main" id="{00000000-0008-0000-5400-000024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9077157" name="Check Box 37" hidden="1">
              <a:extLst>
                <a:ext uri="{63B3BB69-23CF-44E3-9099-C40C66FF867C}">
                  <a14:compatExt spid="_x0000_s19077157"/>
                </a:ext>
                <a:ext uri="{FF2B5EF4-FFF2-40B4-BE49-F238E27FC236}">
                  <a16:creationId xmlns:a16="http://schemas.microsoft.com/office/drawing/2014/main" id="{00000000-0008-0000-5400-000025182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4EC2CEB-18E1-46AB-B8B6-5AED7B472F6F}"/>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0A424EA-96FE-41F4-9622-14C00AEB25B2}"/>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944001" name="Check Box 1" hidden="1">
              <a:extLst>
                <a:ext uri="{63B3BB69-23CF-44E3-9099-C40C66FF867C}">
                  <a14:compatExt spid="_x0000_s18944001"/>
                </a:ext>
                <a:ext uri="{FF2B5EF4-FFF2-40B4-BE49-F238E27FC236}">
                  <a16:creationId xmlns:a16="http://schemas.microsoft.com/office/drawing/2014/main" id="{00000000-0008-0000-5500-000001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944002" name="Check Box 2" hidden="1">
              <a:extLst>
                <a:ext uri="{63B3BB69-23CF-44E3-9099-C40C66FF867C}">
                  <a14:compatExt spid="_x0000_s18944002"/>
                </a:ext>
                <a:ext uri="{FF2B5EF4-FFF2-40B4-BE49-F238E27FC236}">
                  <a16:creationId xmlns:a16="http://schemas.microsoft.com/office/drawing/2014/main" id="{00000000-0008-0000-5500-000002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944003" name="Check Box 3" hidden="1">
              <a:extLst>
                <a:ext uri="{63B3BB69-23CF-44E3-9099-C40C66FF867C}">
                  <a14:compatExt spid="_x0000_s18944003"/>
                </a:ext>
                <a:ext uri="{FF2B5EF4-FFF2-40B4-BE49-F238E27FC236}">
                  <a16:creationId xmlns:a16="http://schemas.microsoft.com/office/drawing/2014/main" id="{00000000-0008-0000-5500-000003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944004" name="Check Box 4" hidden="1">
              <a:extLst>
                <a:ext uri="{63B3BB69-23CF-44E3-9099-C40C66FF867C}">
                  <a14:compatExt spid="_x0000_s18944004"/>
                </a:ext>
                <a:ext uri="{FF2B5EF4-FFF2-40B4-BE49-F238E27FC236}">
                  <a16:creationId xmlns:a16="http://schemas.microsoft.com/office/drawing/2014/main" id="{00000000-0008-0000-5500-000004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944005" name="Check Box 5" hidden="1">
              <a:extLst>
                <a:ext uri="{63B3BB69-23CF-44E3-9099-C40C66FF867C}">
                  <a14:compatExt spid="_x0000_s18944005"/>
                </a:ext>
                <a:ext uri="{FF2B5EF4-FFF2-40B4-BE49-F238E27FC236}">
                  <a16:creationId xmlns:a16="http://schemas.microsoft.com/office/drawing/2014/main" id="{00000000-0008-0000-5500-000005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944006" name="Check Box 6" hidden="1">
              <a:extLst>
                <a:ext uri="{63B3BB69-23CF-44E3-9099-C40C66FF867C}">
                  <a14:compatExt spid="_x0000_s18944006"/>
                </a:ext>
                <a:ext uri="{FF2B5EF4-FFF2-40B4-BE49-F238E27FC236}">
                  <a16:creationId xmlns:a16="http://schemas.microsoft.com/office/drawing/2014/main" id="{00000000-0008-0000-5500-000006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944007" name="Check Box 7" hidden="1">
              <a:extLst>
                <a:ext uri="{63B3BB69-23CF-44E3-9099-C40C66FF867C}">
                  <a14:compatExt spid="_x0000_s18944007"/>
                </a:ext>
                <a:ext uri="{FF2B5EF4-FFF2-40B4-BE49-F238E27FC236}">
                  <a16:creationId xmlns:a16="http://schemas.microsoft.com/office/drawing/2014/main" id="{00000000-0008-0000-5500-000007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944008" name="Button 8" hidden="1">
              <a:extLst>
                <a:ext uri="{63B3BB69-23CF-44E3-9099-C40C66FF867C}">
                  <a14:compatExt spid="_x0000_s18944008"/>
                </a:ext>
                <a:ext uri="{FF2B5EF4-FFF2-40B4-BE49-F238E27FC236}">
                  <a16:creationId xmlns:a16="http://schemas.microsoft.com/office/drawing/2014/main" id="{00000000-0008-0000-5500-000008102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944009" name="Button 9" hidden="1">
              <a:extLst>
                <a:ext uri="{63B3BB69-23CF-44E3-9099-C40C66FF867C}">
                  <a14:compatExt spid="_x0000_s18944009"/>
                </a:ext>
                <a:ext uri="{FF2B5EF4-FFF2-40B4-BE49-F238E27FC236}">
                  <a16:creationId xmlns:a16="http://schemas.microsoft.com/office/drawing/2014/main" id="{00000000-0008-0000-5500-000009102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944010" name="Check Box 10" hidden="1">
              <a:extLst>
                <a:ext uri="{63B3BB69-23CF-44E3-9099-C40C66FF867C}">
                  <a14:compatExt spid="_x0000_s18944010"/>
                </a:ext>
                <a:ext uri="{FF2B5EF4-FFF2-40B4-BE49-F238E27FC236}">
                  <a16:creationId xmlns:a16="http://schemas.microsoft.com/office/drawing/2014/main" id="{00000000-0008-0000-5500-00000A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944011" name="Button 11" hidden="1">
              <a:extLst>
                <a:ext uri="{63B3BB69-23CF-44E3-9099-C40C66FF867C}">
                  <a14:compatExt spid="_x0000_s18944011"/>
                </a:ext>
                <a:ext uri="{FF2B5EF4-FFF2-40B4-BE49-F238E27FC236}">
                  <a16:creationId xmlns:a16="http://schemas.microsoft.com/office/drawing/2014/main" id="{00000000-0008-0000-5500-00000B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944012" name="Button 12" hidden="1">
              <a:extLst>
                <a:ext uri="{63B3BB69-23CF-44E3-9099-C40C66FF867C}">
                  <a14:compatExt spid="_x0000_s18944012"/>
                </a:ext>
                <a:ext uri="{FF2B5EF4-FFF2-40B4-BE49-F238E27FC236}">
                  <a16:creationId xmlns:a16="http://schemas.microsoft.com/office/drawing/2014/main" id="{00000000-0008-0000-5500-00000C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944013" name="Button 13" hidden="1">
              <a:extLst>
                <a:ext uri="{63B3BB69-23CF-44E3-9099-C40C66FF867C}">
                  <a14:compatExt spid="_x0000_s18944013"/>
                </a:ext>
                <a:ext uri="{FF2B5EF4-FFF2-40B4-BE49-F238E27FC236}">
                  <a16:creationId xmlns:a16="http://schemas.microsoft.com/office/drawing/2014/main" id="{00000000-0008-0000-5500-00000D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944014" name="Button 14" hidden="1">
              <a:extLst>
                <a:ext uri="{63B3BB69-23CF-44E3-9099-C40C66FF867C}">
                  <a14:compatExt spid="_x0000_s18944014"/>
                </a:ext>
                <a:ext uri="{FF2B5EF4-FFF2-40B4-BE49-F238E27FC236}">
                  <a16:creationId xmlns:a16="http://schemas.microsoft.com/office/drawing/2014/main" id="{00000000-0008-0000-5500-00000E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944015" name="Check Box 15" hidden="1">
              <a:extLst>
                <a:ext uri="{63B3BB69-23CF-44E3-9099-C40C66FF867C}">
                  <a14:compatExt spid="_x0000_s18944015"/>
                </a:ext>
                <a:ext uri="{FF2B5EF4-FFF2-40B4-BE49-F238E27FC236}">
                  <a16:creationId xmlns:a16="http://schemas.microsoft.com/office/drawing/2014/main" id="{00000000-0008-0000-5500-00000F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944016" name="Check Box 16" hidden="1">
              <a:extLst>
                <a:ext uri="{63B3BB69-23CF-44E3-9099-C40C66FF867C}">
                  <a14:compatExt spid="_x0000_s18944016"/>
                </a:ext>
                <a:ext uri="{FF2B5EF4-FFF2-40B4-BE49-F238E27FC236}">
                  <a16:creationId xmlns:a16="http://schemas.microsoft.com/office/drawing/2014/main" id="{00000000-0008-0000-5500-000010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944017" name="Check Box 17" hidden="1">
              <a:extLst>
                <a:ext uri="{63B3BB69-23CF-44E3-9099-C40C66FF867C}">
                  <a14:compatExt spid="_x0000_s18944017"/>
                </a:ext>
                <a:ext uri="{FF2B5EF4-FFF2-40B4-BE49-F238E27FC236}">
                  <a16:creationId xmlns:a16="http://schemas.microsoft.com/office/drawing/2014/main" id="{00000000-0008-0000-5500-000011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944018" name="Check Box 18" hidden="1">
              <a:extLst>
                <a:ext uri="{63B3BB69-23CF-44E3-9099-C40C66FF867C}">
                  <a14:compatExt spid="_x0000_s18944018"/>
                </a:ext>
                <a:ext uri="{FF2B5EF4-FFF2-40B4-BE49-F238E27FC236}">
                  <a16:creationId xmlns:a16="http://schemas.microsoft.com/office/drawing/2014/main" id="{00000000-0008-0000-5500-000012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944019" name="Check Box 19" hidden="1">
              <a:extLst>
                <a:ext uri="{63B3BB69-23CF-44E3-9099-C40C66FF867C}">
                  <a14:compatExt spid="_x0000_s18944019"/>
                </a:ext>
                <a:ext uri="{FF2B5EF4-FFF2-40B4-BE49-F238E27FC236}">
                  <a16:creationId xmlns:a16="http://schemas.microsoft.com/office/drawing/2014/main" id="{00000000-0008-0000-5500-000013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944020" name="Check Box 20" hidden="1">
              <a:extLst>
                <a:ext uri="{63B3BB69-23CF-44E3-9099-C40C66FF867C}">
                  <a14:compatExt spid="_x0000_s18944020"/>
                </a:ext>
                <a:ext uri="{FF2B5EF4-FFF2-40B4-BE49-F238E27FC236}">
                  <a16:creationId xmlns:a16="http://schemas.microsoft.com/office/drawing/2014/main" id="{00000000-0008-0000-5500-000014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944021" name="Check Box 21" hidden="1">
              <a:extLst>
                <a:ext uri="{63B3BB69-23CF-44E3-9099-C40C66FF867C}">
                  <a14:compatExt spid="_x0000_s18944021"/>
                </a:ext>
                <a:ext uri="{FF2B5EF4-FFF2-40B4-BE49-F238E27FC236}">
                  <a16:creationId xmlns:a16="http://schemas.microsoft.com/office/drawing/2014/main" id="{00000000-0008-0000-5500-000015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944022" name="Check Box 22" hidden="1">
              <a:extLst>
                <a:ext uri="{63B3BB69-23CF-44E3-9099-C40C66FF867C}">
                  <a14:compatExt spid="_x0000_s18944022"/>
                </a:ext>
                <a:ext uri="{FF2B5EF4-FFF2-40B4-BE49-F238E27FC236}">
                  <a16:creationId xmlns:a16="http://schemas.microsoft.com/office/drawing/2014/main" id="{00000000-0008-0000-5500-000016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944023" name="Check Box 23" hidden="1">
              <a:extLst>
                <a:ext uri="{63B3BB69-23CF-44E3-9099-C40C66FF867C}">
                  <a14:compatExt spid="_x0000_s18944023"/>
                </a:ext>
                <a:ext uri="{FF2B5EF4-FFF2-40B4-BE49-F238E27FC236}">
                  <a16:creationId xmlns:a16="http://schemas.microsoft.com/office/drawing/2014/main" id="{00000000-0008-0000-5500-000017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944024" name="Check Box 24" hidden="1">
              <a:extLst>
                <a:ext uri="{63B3BB69-23CF-44E3-9099-C40C66FF867C}">
                  <a14:compatExt spid="_x0000_s18944024"/>
                </a:ext>
                <a:ext uri="{FF2B5EF4-FFF2-40B4-BE49-F238E27FC236}">
                  <a16:creationId xmlns:a16="http://schemas.microsoft.com/office/drawing/2014/main" id="{00000000-0008-0000-5500-000018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944025" name="Check Box 25" hidden="1">
              <a:extLst>
                <a:ext uri="{63B3BB69-23CF-44E3-9099-C40C66FF867C}">
                  <a14:compatExt spid="_x0000_s18944025"/>
                </a:ext>
                <a:ext uri="{FF2B5EF4-FFF2-40B4-BE49-F238E27FC236}">
                  <a16:creationId xmlns:a16="http://schemas.microsoft.com/office/drawing/2014/main" id="{00000000-0008-0000-5500-000019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944026" name="Check Box 26" hidden="1">
              <a:extLst>
                <a:ext uri="{63B3BB69-23CF-44E3-9099-C40C66FF867C}">
                  <a14:compatExt spid="_x0000_s18944026"/>
                </a:ext>
                <a:ext uri="{FF2B5EF4-FFF2-40B4-BE49-F238E27FC236}">
                  <a16:creationId xmlns:a16="http://schemas.microsoft.com/office/drawing/2014/main" id="{00000000-0008-0000-5500-00001A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944027" name="Check Box 27" hidden="1">
              <a:extLst>
                <a:ext uri="{63B3BB69-23CF-44E3-9099-C40C66FF867C}">
                  <a14:compatExt spid="_x0000_s18944027"/>
                </a:ext>
                <a:ext uri="{FF2B5EF4-FFF2-40B4-BE49-F238E27FC236}">
                  <a16:creationId xmlns:a16="http://schemas.microsoft.com/office/drawing/2014/main" id="{00000000-0008-0000-5500-00001B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944028" name="Button 28" hidden="1">
              <a:extLst>
                <a:ext uri="{63B3BB69-23CF-44E3-9099-C40C66FF867C}">
                  <a14:compatExt spid="_x0000_s18944028"/>
                </a:ext>
                <a:ext uri="{FF2B5EF4-FFF2-40B4-BE49-F238E27FC236}">
                  <a16:creationId xmlns:a16="http://schemas.microsoft.com/office/drawing/2014/main" id="{00000000-0008-0000-5500-00001C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944029" name="Button 29" hidden="1">
              <a:extLst>
                <a:ext uri="{63B3BB69-23CF-44E3-9099-C40C66FF867C}">
                  <a14:compatExt spid="_x0000_s18944029"/>
                </a:ext>
                <a:ext uri="{FF2B5EF4-FFF2-40B4-BE49-F238E27FC236}">
                  <a16:creationId xmlns:a16="http://schemas.microsoft.com/office/drawing/2014/main" id="{00000000-0008-0000-5500-00001D102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944030" name="Check Box 30" hidden="1">
              <a:extLst>
                <a:ext uri="{63B3BB69-23CF-44E3-9099-C40C66FF867C}">
                  <a14:compatExt spid="_x0000_s18944030"/>
                </a:ext>
                <a:ext uri="{FF2B5EF4-FFF2-40B4-BE49-F238E27FC236}">
                  <a16:creationId xmlns:a16="http://schemas.microsoft.com/office/drawing/2014/main" id="{00000000-0008-0000-5500-00001E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944031" name="Check Box 31" hidden="1">
              <a:extLst>
                <a:ext uri="{63B3BB69-23CF-44E3-9099-C40C66FF867C}">
                  <a14:compatExt spid="_x0000_s18944031"/>
                </a:ext>
                <a:ext uri="{FF2B5EF4-FFF2-40B4-BE49-F238E27FC236}">
                  <a16:creationId xmlns:a16="http://schemas.microsoft.com/office/drawing/2014/main" id="{00000000-0008-0000-5500-00001F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944032" name="Check Box 32" hidden="1">
              <a:extLst>
                <a:ext uri="{63B3BB69-23CF-44E3-9099-C40C66FF867C}">
                  <a14:compatExt spid="_x0000_s18944032"/>
                </a:ext>
                <a:ext uri="{FF2B5EF4-FFF2-40B4-BE49-F238E27FC236}">
                  <a16:creationId xmlns:a16="http://schemas.microsoft.com/office/drawing/2014/main" id="{00000000-0008-0000-5500-000020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944033" name="Check Box 33" hidden="1">
              <a:extLst>
                <a:ext uri="{63B3BB69-23CF-44E3-9099-C40C66FF867C}">
                  <a14:compatExt spid="_x0000_s18944033"/>
                </a:ext>
                <a:ext uri="{FF2B5EF4-FFF2-40B4-BE49-F238E27FC236}">
                  <a16:creationId xmlns:a16="http://schemas.microsoft.com/office/drawing/2014/main" id="{00000000-0008-0000-5500-000021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944034" name="Check Box 34" hidden="1">
              <a:extLst>
                <a:ext uri="{63B3BB69-23CF-44E3-9099-C40C66FF867C}">
                  <a14:compatExt spid="_x0000_s18944034"/>
                </a:ext>
                <a:ext uri="{FF2B5EF4-FFF2-40B4-BE49-F238E27FC236}">
                  <a16:creationId xmlns:a16="http://schemas.microsoft.com/office/drawing/2014/main" id="{00000000-0008-0000-5500-000022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944035" name="Check Box 35" hidden="1">
              <a:extLst>
                <a:ext uri="{63B3BB69-23CF-44E3-9099-C40C66FF867C}">
                  <a14:compatExt spid="_x0000_s18944035"/>
                </a:ext>
                <a:ext uri="{FF2B5EF4-FFF2-40B4-BE49-F238E27FC236}">
                  <a16:creationId xmlns:a16="http://schemas.microsoft.com/office/drawing/2014/main" id="{00000000-0008-0000-5500-000023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944036" name="Check Box 36" hidden="1">
              <a:extLst>
                <a:ext uri="{63B3BB69-23CF-44E3-9099-C40C66FF867C}">
                  <a14:compatExt spid="_x0000_s18944036"/>
                </a:ext>
                <a:ext uri="{FF2B5EF4-FFF2-40B4-BE49-F238E27FC236}">
                  <a16:creationId xmlns:a16="http://schemas.microsoft.com/office/drawing/2014/main" id="{00000000-0008-0000-5500-000024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944037" name="Check Box 37" hidden="1">
              <a:extLst>
                <a:ext uri="{63B3BB69-23CF-44E3-9099-C40C66FF867C}">
                  <a14:compatExt spid="_x0000_s18944037"/>
                </a:ext>
                <a:ext uri="{FF2B5EF4-FFF2-40B4-BE49-F238E27FC236}">
                  <a16:creationId xmlns:a16="http://schemas.microsoft.com/office/drawing/2014/main" id="{00000000-0008-0000-5500-000025102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2736DB8-A819-45BF-8CF6-3341813273F8}"/>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E30B4997-90B9-42C8-B040-2F346DA7831D}"/>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552833" name="Check Box 1" hidden="1">
              <a:extLst>
                <a:ext uri="{63B3BB69-23CF-44E3-9099-C40C66FF867C}">
                  <a14:compatExt spid="_x0000_s18552833"/>
                </a:ext>
                <a:ext uri="{FF2B5EF4-FFF2-40B4-BE49-F238E27FC236}">
                  <a16:creationId xmlns:a16="http://schemas.microsoft.com/office/drawing/2014/main" id="{00000000-0008-0000-5600-000001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552834" name="Check Box 2" hidden="1">
              <a:extLst>
                <a:ext uri="{63B3BB69-23CF-44E3-9099-C40C66FF867C}">
                  <a14:compatExt spid="_x0000_s18552834"/>
                </a:ext>
                <a:ext uri="{FF2B5EF4-FFF2-40B4-BE49-F238E27FC236}">
                  <a16:creationId xmlns:a16="http://schemas.microsoft.com/office/drawing/2014/main" id="{00000000-0008-0000-5600-000002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552835" name="Check Box 3" hidden="1">
              <a:extLst>
                <a:ext uri="{63B3BB69-23CF-44E3-9099-C40C66FF867C}">
                  <a14:compatExt spid="_x0000_s18552835"/>
                </a:ext>
                <a:ext uri="{FF2B5EF4-FFF2-40B4-BE49-F238E27FC236}">
                  <a16:creationId xmlns:a16="http://schemas.microsoft.com/office/drawing/2014/main" id="{00000000-0008-0000-5600-000003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552836" name="Check Box 4" hidden="1">
              <a:extLst>
                <a:ext uri="{63B3BB69-23CF-44E3-9099-C40C66FF867C}">
                  <a14:compatExt spid="_x0000_s18552836"/>
                </a:ext>
                <a:ext uri="{FF2B5EF4-FFF2-40B4-BE49-F238E27FC236}">
                  <a16:creationId xmlns:a16="http://schemas.microsoft.com/office/drawing/2014/main" id="{00000000-0008-0000-5600-000004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552837" name="Check Box 5" hidden="1">
              <a:extLst>
                <a:ext uri="{63B3BB69-23CF-44E3-9099-C40C66FF867C}">
                  <a14:compatExt spid="_x0000_s18552837"/>
                </a:ext>
                <a:ext uri="{FF2B5EF4-FFF2-40B4-BE49-F238E27FC236}">
                  <a16:creationId xmlns:a16="http://schemas.microsoft.com/office/drawing/2014/main" id="{00000000-0008-0000-5600-000005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552838" name="Check Box 6" hidden="1">
              <a:extLst>
                <a:ext uri="{63B3BB69-23CF-44E3-9099-C40C66FF867C}">
                  <a14:compatExt spid="_x0000_s18552838"/>
                </a:ext>
                <a:ext uri="{FF2B5EF4-FFF2-40B4-BE49-F238E27FC236}">
                  <a16:creationId xmlns:a16="http://schemas.microsoft.com/office/drawing/2014/main" id="{00000000-0008-0000-5600-000006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552839" name="Check Box 7" hidden="1">
              <a:extLst>
                <a:ext uri="{63B3BB69-23CF-44E3-9099-C40C66FF867C}">
                  <a14:compatExt spid="_x0000_s18552839"/>
                </a:ext>
                <a:ext uri="{FF2B5EF4-FFF2-40B4-BE49-F238E27FC236}">
                  <a16:creationId xmlns:a16="http://schemas.microsoft.com/office/drawing/2014/main" id="{00000000-0008-0000-5600-000007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552840" name="Button 8" hidden="1">
              <a:extLst>
                <a:ext uri="{63B3BB69-23CF-44E3-9099-C40C66FF867C}">
                  <a14:compatExt spid="_x0000_s18552840"/>
                </a:ext>
                <a:ext uri="{FF2B5EF4-FFF2-40B4-BE49-F238E27FC236}">
                  <a16:creationId xmlns:a16="http://schemas.microsoft.com/office/drawing/2014/main" id="{00000000-0008-0000-5600-000008181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552841" name="Button 9" hidden="1">
              <a:extLst>
                <a:ext uri="{63B3BB69-23CF-44E3-9099-C40C66FF867C}">
                  <a14:compatExt spid="_x0000_s18552841"/>
                </a:ext>
                <a:ext uri="{FF2B5EF4-FFF2-40B4-BE49-F238E27FC236}">
                  <a16:creationId xmlns:a16="http://schemas.microsoft.com/office/drawing/2014/main" id="{00000000-0008-0000-5600-000009181B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552842" name="Check Box 10" hidden="1">
              <a:extLst>
                <a:ext uri="{63B3BB69-23CF-44E3-9099-C40C66FF867C}">
                  <a14:compatExt spid="_x0000_s18552842"/>
                </a:ext>
                <a:ext uri="{FF2B5EF4-FFF2-40B4-BE49-F238E27FC236}">
                  <a16:creationId xmlns:a16="http://schemas.microsoft.com/office/drawing/2014/main" id="{00000000-0008-0000-5600-00000A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552843" name="Button 11" hidden="1">
              <a:extLst>
                <a:ext uri="{63B3BB69-23CF-44E3-9099-C40C66FF867C}">
                  <a14:compatExt spid="_x0000_s18552843"/>
                </a:ext>
                <a:ext uri="{FF2B5EF4-FFF2-40B4-BE49-F238E27FC236}">
                  <a16:creationId xmlns:a16="http://schemas.microsoft.com/office/drawing/2014/main" id="{00000000-0008-0000-5600-00000B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552844" name="Button 12" hidden="1">
              <a:extLst>
                <a:ext uri="{63B3BB69-23CF-44E3-9099-C40C66FF867C}">
                  <a14:compatExt spid="_x0000_s18552844"/>
                </a:ext>
                <a:ext uri="{FF2B5EF4-FFF2-40B4-BE49-F238E27FC236}">
                  <a16:creationId xmlns:a16="http://schemas.microsoft.com/office/drawing/2014/main" id="{00000000-0008-0000-5600-00000C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552845" name="Button 13" hidden="1">
              <a:extLst>
                <a:ext uri="{63B3BB69-23CF-44E3-9099-C40C66FF867C}">
                  <a14:compatExt spid="_x0000_s18552845"/>
                </a:ext>
                <a:ext uri="{FF2B5EF4-FFF2-40B4-BE49-F238E27FC236}">
                  <a16:creationId xmlns:a16="http://schemas.microsoft.com/office/drawing/2014/main" id="{00000000-0008-0000-5600-00000D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552846" name="Button 14" hidden="1">
              <a:extLst>
                <a:ext uri="{63B3BB69-23CF-44E3-9099-C40C66FF867C}">
                  <a14:compatExt spid="_x0000_s18552846"/>
                </a:ext>
                <a:ext uri="{FF2B5EF4-FFF2-40B4-BE49-F238E27FC236}">
                  <a16:creationId xmlns:a16="http://schemas.microsoft.com/office/drawing/2014/main" id="{00000000-0008-0000-5600-00000E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552847" name="Check Box 15" hidden="1">
              <a:extLst>
                <a:ext uri="{63B3BB69-23CF-44E3-9099-C40C66FF867C}">
                  <a14:compatExt spid="_x0000_s18552847"/>
                </a:ext>
                <a:ext uri="{FF2B5EF4-FFF2-40B4-BE49-F238E27FC236}">
                  <a16:creationId xmlns:a16="http://schemas.microsoft.com/office/drawing/2014/main" id="{00000000-0008-0000-5600-00000F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552848" name="Check Box 16" hidden="1">
              <a:extLst>
                <a:ext uri="{63B3BB69-23CF-44E3-9099-C40C66FF867C}">
                  <a14:compatExt spid="_x0000_s18552848"/>
                </a:ext>
                <a:ext uri="{FF2B5EF4-FFF2-40B4-BE49-F238E27FC236}">
                  <a16:creationId xmlns:a16="http://schemas.microsoft.com/office/drawing/2014/main" id="{00000000-0008-0000-5600-000010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552849" name="Check Box 17" hidden="1">
              <a:extLst>
                <a:ext uri="{63B3BB69-23CF-44E3-9099-C40C66FF867C}">
                  <a14:compatExt spid="_x0000_s18552849"/>
                </a:ext>
                <a:ext uri="{FF2B5EF4-FFF2-40B4-BE49-F238E27FC236}">
                  <a16:creationId xmlns:a16="http://schemas.microsoft.com/office/drawing/2014/main" id="{00000000-0008-0000-5600-000011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552850" name="Check Box 18" hidden="1">
              <a:extLst>
                <a:ext uri="{63B3BB69-23CF-44E3-9099-C40C66FF867C}">
                  <a14:compatExt spid="_x0000_s18552850"/>
                </a:ext>
                <a:ext uri="{FF2B5EF4-FFF2-40B4-BE49-F238E27FC236}">
                  <a16:creationId xmlns:a16="http://schemas.microsoft.com/office/drawing/2014/main" id="{00000000-0008-0000-5600-000012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552851" name="Check Box 19" hidden="1">
              <a:extLst>
                <a:ext uri="{63B3BB69-23CF-44E3-9099-C40C66FF867C}">
                  <a14:compatExt spid="_x0000_s18552851"/>
                </a:ext>
                <a:ext uri="{FF2B5EF4-FFF2-40B4-BE49-F238E27FC236}">
                  <a16:creationId xmlns:a16="http://schemas.microsoft.com/office/drawing/2014/main" id="{00000000-0008-0000-5600-000013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552852" name="Check Box 20" hidden="1">
              <a:extLst>
                <a:ext uri="{63B3BB69-23CF-44E3-9099-C40C66FF867C}">
                  <a14:compatExt spid="_x0000_s18552852"/>
                </a:ext>
                <a:ext uri="{FF2B5EF4-FFF2-40B4-BE49-F238E27FC236}">
                  <a16:creationId xmlns:a16="http://schemas.microsoft.com/office/drawing/2014/main" id="{00000000-0008-0000-5600-000014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552853" name="Check Box 21" hidden="1">
              <a:extLst>
                <a:ext uri="{63B3BB69-23CF-44E3-9099-C40C66FF867C}">
                  <a14:compatExt spid="_x0000_s18552853"/>
                </a:ext>
                <a:ext uri="{FF2B5EF4-FFF2-40B4-BE49-F238E27FC236}">
                  <a16:creationId xmlns:a16="http://schemas.microsoft.com/office/drawing/2014/main" id="{00000000-0008-0000-5600-000015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552854" name="Check Box 22" hidden="1">
              <a:extLst>
                <a:ext uri="{63B3BB69-23CF-44E3-9099-C40C66FF867C}">
                  <a14:compatExt spid="_x0000_s18552854"/>
                </a:ext>
                <a:ext uri="{FF2B5EF4-FFF2-40B4-BE49-F238E27FC236}">
                  <a16:creationId xmlns:a16="http://schemas.microsoft.com/office/drawing/2014/main" id="{00000000-0008-0000-5600-000016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552855" name="Check Box 23" hidden="1">
              <a:extLst>
                <a:ext uri="{63B3BB69-23CF-44E3-9099-C40C66FF867C}">
                  <a14:compatExt spid="_x0000_s18552855"/>
                </a:ext>
                <a:ext uri="{FF2B5EF4-FFF2-40B4-BE49-F238E27FC236}">
                  <a16:creationId xmlns:a16="http://schemas.microsoft.com/office/drawing/2014/main" id="{00000000-0008-0000-5600-000017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552856" name="Check Box 24" hidden="1">
              <a:extLst>
                <a:ext uri="{63B3BB69-23CF-44E3-9099-C40C66FF867C}">
                  <a14:compatExt spid="_x0000_s18552856"/>
                </a:ext>
                <a:ext uri="{FF2B5EF4-FFF2-40B4-BE49-F238E27FC236}">
                  <a16:creationId xmlns:a16="http://schemas.microsoft.com/office/drawing/2014/main" id="{00000000-0008-0000-5600-000018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552857" name="Check Box 25" hidden="1">
              <a:extLst>
                <a:ext uri="{63B3BB69-23CF-44E3-9099-C40C66FF867C}">
                  <a14:compatExt spid="_x0000_s18552857"/>
                </a:ext>
                <a:ext uri="{FF2B5EF4-FFF2-40B4-BE49-F238E27FC236}">
                  <a16:creationId xmlns:a16="http://schemas.microsoft.com/office/drawing/2014/main" id="{00000000-0008-0000-5600-000019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552858" name="Check Box 26" hidden="1">
              <a:extLst>
                <a:ext uri="{63B3BB69-23CF-44E3-9099-C40C66FF867C}">
                  <a14:compatExt spid="_x0000_s18552858"/>
                </a:ext>
                <a:ext uri="{FF2B5EF4-FFF2-40B4-BE49-F238E27FC236}">
                  <a16:creationId xmlns:a16="http://schemas.microsoft.com/office/drawing/2014/main" id="{00000000-0008-0000-5600-00001A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552859" name="Check Box 27" hidden="1">
              <a:extLst>
                <a:ext uri="{63B3BB69-23CF-44E3-9099-C40C66FF867C}">
                  <a14:compatExt spid="_x0000_s18552859"/>
                </a:ext>
                <a:ext uri="{FF2B5EF4-FFF2-40B4-BE49-F238E27FC236}">
                  <a16:creationId xmlns:a16="http://schemas.microsoft.com/office/drawing/2014/main" id="{00000000-0008-0000-5600-00001B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552860" name="Button 28" hidden="1">
              <a:extLst>
                <a:ext uri="{63B3BB69-23CF-44E3-9099-C40C66FF867C}">
                  <a14:compatExt spid="_x0000_s18552860"/>
                </a:ext>
                <a:ext uri="{FF2B5EF4-FFF2-40B4-BE49-F238E27FC236}">
                  <a16:creationId xmlns:a16="http://schemas.microsoft.com/office/drawing/2014/main" id="{00000000-0008-0000-5600-00001C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552861" name="Button 29" hidden="1">
              <a:extLst>
                <a:ext uri="{63B3BB69-23CF-44E3-9099-C40C66FF867C}">
                  <a14:compatExt spid="_x0000_s18552861"/>
                </a:ext>
                <a:ext uri="{FF2B5EF4-FFF2-40B4-BE49-F238E27FC236}">
                  <a16:creationId xmlns:a16="http://schemas.microsoft.com/office/drawing/2014/main" id="{00000000-0008-0000-5600-00001D181B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552862" name="Check Box 30" hidden="1">
              <a:extLst>
                <a:ext uri="{63B3BB69-23CF-44E3-9099-C40C66FF867C}">
                  <a14:compatExt spid="_x0000_s18552862"/>
                </a:ext>
                <a:ext uri="{FF2B5EF4-FFF2-40B4-BE49-F238E27FC236}">
                  <a16:creationId xmlns:a16="http://schemas.microsoft.com/office/drawing/2014/main" id="{00000000-0008-0000-5600-00001E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552863" name="Check Box 31" hidden="1">
              <a:extLst>
                <a:ext uri="{63B3BB69-23CF-44E3-9099-C40C66FF867C}">
                  <a14:compatExt spid="_x0000_s18552863"/>
                </a:ext>
                <a:ext uri="{FF2B5EF4-FFF2-40B4-BE49-F238E27FC236}">
                  <a16:creationId xmlns:a16="http://schemas.microsoft.com/office/drawing/2014/main" id="{00000000-0008-0000-5600-00001F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552864" name="Check Box 32" hidden="1">
              <a:extLst>
                <a:ext uri="{63B3BB69-23CF-44E3-9099-C40C66FF867C}">
                  <a14:compatExt spid="_x0000_s18552864"/>
                </a:ext>
                <a:ext uri="{FF2B5EF4-FFF2-40B4-BE49-F238E27FC236}">
                  <a16:creationId xmlns:a16="http://schemas.microsoft.com/office/drawing/2014/main" id="{00000000-0008-0000-5600-000020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552865" name="Check Box 33" hidden="1">
              <a:extLst>
                <a:ext uri="{63B3BB69-23CF-44E3-9099-C40C66FF867C}">
                  <a14:compatExt spid="_x0000_s18552865"/>
                </a:ext>
                <a:ext uri="{FF2B5EF4-FFF2-40B4-BE49-F238E27FC236}">
                  <a16:creationId xmlns:a16="http://schemas.microsoft.com/office/drawing/2014/main" id="{00000000-0008-0000-5600-000021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552866" name="Check Box 34" hidden="1">
              <a:extLst>
                <a:ext uri="{63B3BB69-23CF-44E3-9099-C40C66FF867C}">
                  <a14:compatExt spid="_x0000_s18552866"/>
                </a:ext>
                <a:ext uri="{FF2B5EF4-FFF2-40B4-BE49-F238E27FC236}">
                  <a16:creationId xmlns:a16="http://schemas.microsoft.com/office/drawing/2014/main" id="{00000000-0008-0000-5600-000022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552867" name="Check Box 35" hidden="1">
              <a:extLst>
                <a:ext uri="{63B3BB69-23CF-44E3-9099-C40C66FF867C}">
                  <a14:compatExt spid="_x0000_s18552867"/>
                </a:ext>
                <a:ext uri="{FF2B5EF4-FFF2-40B4-BE49-F238E27FC236}">
                  <a16:creationId xmlns:a16="http://schemas.microsoft.com/office/drawing/2014/main" id="{00000000-0008-0000-5600-000023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552868" name="Check Box 36" hidden="1">
              <a:extLst>
                <a:ext uri="{63B3BB69-23CF-44E3-9099-C40C66FF867C}">
                  <a14:compatExt spid="_x0000_s18552868"/>
                </a:ext>
                <a:ext uri="{FF2B5EF4-FFF2-40B4-BE49-F238E27FC236}">
                  <a16:creationId xmlns:a16="http://schemas.microsoft.com/office/drawing/2014/main" id="{00000000-0008-0000-5600-000024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552869" name="Check Box 37" hidden="1">
              <a:extLst>
                <a:ext uri="{63B3BB69-23CF-44E3-9099-C40C66FF867C}">
                  <a14:compatExt spid="_x0000_s18552869"/>
                </a:ext>
                <a:ext uri="{FF2B5EF4-FFF2-40B4-BE49-F238E27FC236}">
                  <a16:creationId xmlns:a16="http://schemas.microsoft.com/office/drawing/2014/main" id="{00000000-0008-0000-5600-000025181B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4F6F14B-73A7-44D7-9878-5036F0D013C3}"/>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6F643185-8409-45B6-8F96-8EC9C80690C5}"/>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162689" name="Check Box 1" hidden="1">
              <a:extLst>
                <a:ext uri="{63B3BB69-23CF-44E3-9099-C40C66FF867C}">
                  <a14:compatExt spid="_x0000_s18162689"/>
                </a:ext>
                <a:ext uri="{FF2B5EF4-FFF2-40B4-BE49-F238E27FC236}">
                  <a16:creationId xmlns:a16="http://schemas.microsoft.com/office/drawing/2014/main" id="{00000000-0008-0000-5700-000001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162690" name="Check Box 2" hidden="1">
              <a:extLst>
                <a:ext uri="{63B3BB69-23CF-44E3-9099-C40C66FF867C}">
                  <a14:compatExt spid="_x0000_s18162690"/>
                </a:ext>
                <a:ext uri="{FF2B5EF4-FFF2-40B4-BE49-F238E27FC236}">
                  <a16:creationId xmlns:a16="http://schemas.microsoft.com/office/drawing/2014/main" id="{00000000-0008-0000-5700-000002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162691" name="Check Box 3" hidden="1">
              <a:extLst>
                <a:ext uri="{63B3BB69-23CF-44E3-9099-C40C66FF867C}">
                  <a14:compatExt spid="_x0000_s18162691"/>
                </a:ext>
                <a:ext uri="{FF2B5EF4-FFF2-40B4-BE49-F238E27FC236}">
                  <a16:creationId xmlns:a16="http://schemas.microsoft.com/office/drawing/2014/main" id="{00000000-0008-0000-5700-000003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162692" name="Check Box 4" hidden="1">
              <a:extLst>
                <a:ext uri="{63B3BB69-23CF-44E3-9099-C40C66FF867C}">
                  <a14:compatExt spid="_x0000_s18162692"/>
                </a:ext>
                <a:ext uri="{FF2B5EF4-FFF2-40B4-BE49-F238E27FC236}">
                  <a16:creationId xmlns:a16="http://schemas.microsoft.com/office/drawing/2014/main" id="{00000000-0008-0000-5700-000004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162693" name="Check Box 5" hidden="1">
              <a:extLst>
                <a:ext uri="{63B3BB69-23CF-44E3-9099-C40C66FF867C}">
                  <a14:compatExt spid="_x0000_s18162693"/>
                </a:ext>
                <a:ext uri="{FF2B5EF4-FFF2-40B4-BE49-F238E27FC236}">
                  <a16:creationId xmlns:a16="http://schemas.microsoft.com/office/drawing/2014/main" id="{00000000-0008-0000-5700-000005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162694" name="Check Box 6" hidden="1">
              <a:extLst>
                <a:ext uri="{63B3BB69-23CF-44E3-9099-C40C66FF867C}">
                  <a14:compatExt spid="_x0000_s18162694"/>
                </a:ext>
                <a:ext uri="{FF2B5EF4-FFF2-40B4-BE49-F238E27FC236}">
                  <a16:creationId xmlns:a16="http://schemas.microsoft.com/office/drawing/2014/main" id="{00000000-0008-0000-5700-000006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162695" name="Check Box 7" hidden="1">
              <a:extLst>
                <a:ext uri="{63B3BB69-23CF-44E3-9099-C40C66FF867C}">
                  <a14:compatExt spid="_x0000_s18162695"/>
                </a:ext>
                <a:ext uri="{FF2B5EF4-FFF2-40B4-BE49-F238E27FC236}">
                  <a16:creationId xmlns:a16="http://schemas.microsoft.com/office/drawing/2014/main" id="{00000000-0008-0000-5700-000007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162696" name="Button 8" hidden="1">
              <a:extLst>
                <a:ext uri="{63B3BB69-23CF-44E3-9099-C40C66FF867C}">
                  <a14:compatExt spid="_x0000_s18162696"/>
                </a:ext>
                <a:ext uri="{FF2B5EF4-FFF2-40B4-BE49-F238E27FC236}">
                  <a16:creationId xmlns:a16="http://schemas.microsoft.com/office/drawing/2014/main" id="{00000000-0008-0000-5700-000008241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162697" name="Button 9" hidden="1">
              <a:extLst>
                <a:ext uri="{63B3BB69-23CF-44E3-9099-C40C66FF867C}">
                  <a14:compatExt spid="_x0000_s18162697"/>
                </a:ext>
                <a:ext uri="{FF2B5EF4-FFF2-40B4-BE49-F238E27FC236}">
                  <a16:creationId xmlns:a16="http://schemas.microsoft.com/office/drawing/2014/main" id="{00000000-0008-0000-5700-000009241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162698" name="Check Box 10" hidden="1">
              <a:extLst>
                <a:ext uri="{63B3BB69-23CF-44E3-9099-C40C66FF867C}">
                  <a14:compatExt spid="_x0000_s18162698"/>
                </a:ext>
                <a:ext uri="{FF2B5EF4-FFF2-40B4-BE49-F238E27FC236}">
                  <a16:creationId xmlns:a16="http://schemas.microsoft.com/office/drawing/2014/main" id="{00000000-0008-0000-5700-00000A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162699" name="Button 11" hidden="1">
              <a:extLst>
                <a:ext uri="{63B3BB69-23CF-44E3-9099-C40C66FF867C}">
                  <a14:compatExt spid="_x0000_s18162699"/>
                </a:ext>
                <a:ext uri="{FF2B5EF4-FFF2-40B4-BE49-F238E27FC236}">
                  <a16:creationId xmlns:a16="http://schemas.microsoft.com/office/drawing/2014/main" id="{00000000-0008-0000-5700-00000B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162700" name="Button 12" hidden="1">
              <a:extLst>
                <a:ext uri="{63B3BB69-23CF-44E3-9099-C40C66FF867C}">
                  <a14:compatExt spid="_x0000_s18162700"/>
                </a:ext>
                <a:ext uri="{FF2B5EF4-FFF2-40B4-BE49-F238E27FC236}">
                  <a16:creationId xmlns:a16="http://schemas.microsoft.com/office/drawing/2014/main" id="{00000000-0008-0000-5700-00000C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162701" name="Button 13" hidden="1">
              <a:extLst>
                <a:ext uri="{63B3BB69-23CF-44E3-9099-C40C66FF867C}">
                  <a14:compatExt spid="_x0000_s18162701"/>
                </a:ext>
                <a:ext uri="{FF2B5EF4-FFF2-40B4-BE49-F238E27FC236}">
                  <a16:creationId xmlns:a16="http://schemas.microsoft.com/office/drawing/2014/main" id="{00000000-0008-0000-5700-00000D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162702" name="Button 14" hidden="1">
              <a:extLst>
                <a:ext uri="{63B3BB69-23CF-44E3-9099-C40C66FF867C}">
                  <a14:compatExt spid="_x0000_s18162702"/>
                </a:ext>
                <a:ext uri="{FF2B5EF4-FFF2-40B4-BE49-F238E27FC236}">
                  <a16:creationId xmlns:a16="http://schemas.microsoft.com/office/drawing/2014/main" id="{00000000-0008-0000-5700-00000E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162703" name="Check Box 15" hidden="1">
              <a:extLst>
                <a:ext uri="{63B3BB69-23CF-44E3-9099-C40C66FF867C}">
                  <a14:compatExt spid="_x0000_s18162703"/>
                </a:ext>
                <a:ext uri="{FF2B5EF4-FFF2-40B4-BE49-F238E27FC236}">
                  <a16:creationId xmlns:a16="http://schemas.microsoft.com/office/drawing/2014/main" id="{00000000-0008-0000-5700-00000F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162704" name="Check Box 16" hidden="1">
              <a:extLst>
                <a:ext uri="{63B3BB69-23CF-44E3-9099-C40C66FF867C}">
                  <a14:compatExt spid="_x0000_s18162704"/>
                </a:ext>
                <a:ext uri="{FF2B5EF4-FFF2-40B4-BE49-F238E27FC236}">
                  <a16:creationId xmlns:a16="http://schemas.microsoft.com/office/drawing/2014/main" id="{00000000-0008-0000-5700-000010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162705" name="Check Box 17" hidden="1">
              <a:extLst>
                <a:ext uri="{63B3BB69-23CF-44E3-9099-C40C66FF867C}">
                  <a14:compatExt spid="_x0000_s18162705"/>
                </a:ext>
                <a:ext uri="{FF2B5EF4-FFF2-40B4-BE49-F238E27FC236}">
                  <a16:creationId xmlns:a16="http://schemas.microsoft.com/office/drawing/2014/main" id="{00000000-0008-0000-5700-000011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162706" name="Check Box 18" hidden="1">
              <a:extLst>
                <a:ext uri="{63B3BB69-23CF-44E3-9099-C40C66FF867C}">
                  <a14:compatExt spid="_x0000_s18162706"/>
                </a:ext>
                <a:ext uri="{FF2B5EF4-FFF2-40B4-BE49-F238E27FC236}">
                  <a16:creationId xmlns:a16="http://schemas.microsoft.com/office/drawing/2014/main" id="{00000000-0008-0000-5700-000012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162707" name="Check Box 19" hidden="1">
              <a:extLst>
                <a:ext uri="{63B3BB69-23CF-44E3-9099-C40C66FF867C}">
                  <a14:compatExt spid="_x0000_s18162707"/>
                </a:ext>
                <a:ext uri="{FF2B5EF4-FFF2-40B4-BE49-F238E27FC236}">
                  <a16:creationId xmlns:a16="http://schemas.microsoft.com/office/drawing/2014/main" id="{00000000-0008-0000-5700-000013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162708" name="Check Box 20" hidden="1">
              <a:extLst>
                <a:ext uri="{63B3BB69-23CF-44E3-9099-C40C66FF867C}">
                  <a14:compatExt spid="_x0000_s18162708"/>
                </a:ext>
                <a:ext uri="{FF2B5EF4-FFF2-40B4-BE49-F238E27FC236}">
                  <a16:creationId xmlns:a16="http://schemas.microsoft.com/office/drawing/2014/main" id="{00000000-0008-0000-5700-000014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162709" name="Check Box 21" hidden="1">
              <a:extLst>
                <a:ext uri="{63B3BB69-23CF-44E3-9099-C40C66FF867C}">
                  <a14:compatExt spid="_x0000_s18162709"/>
                </a:ext>
                <a:ext uri="{FF2B5EF4-FFF2-40B4-BE49-F238E27FC236}">
                  <a16:creationId xmlns:a16="http://schemas.microsoft.com/office/drawing/2014/main" id="{00000000-0008-0000-5700-000015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162710" name="Check Box 22" hidden="1">
              <a:extLst>
                <a:ext uri="{63B3BB69-23CF-44E3-9099-C40C66FF867C}">
                  <a14:compatExt spid="_x0000_s18162710"/>
                </a:ext>
                <a:ext uri="{FF2B5EF4-FFF2-40B4-BE49-F238E27FC236}">
                  <a16:creationId xmlns:a16="http://schemas.microsoft.com/office/drawing/2014/main" id="{00000000-0008-0000-5700-000016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162711" name="Check Box 23" hidden="1">
              <a:extLst>
                <a:ext uri="{63B3BB69-23CF-44E3-9099-C40C66FF867C}">
                  <a14:compatExt spid="_x0000_s18162711"/>
                </a:ext>
                <a:ext uri="{FF2B5EF4-FFF2-40B4-BE49-F238E27FC236}">
                  <a16:creationId xmlns:a16="http://schemas.microsoft.com/office/drawing/2014/main" id="{00000000-0008-0000-5700-000017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162712" name="Check Box 24" hidden="1">
              <a:extLst>
                <a:ext uri="{63B3BB69-23CF-44E3-9099-C40C66FF867C}">
                  <a14:compatExt spid="_x0000_s18162712"/>
                </a:ext>
                <a:ext uri="{FF2B5EF4-FFF2-40B4-BE49-F238E27FC236}">
                  <a16:creationId xmlns:a16="http://schemas.microsoft.com/office/drawing/2014/main" id="{00000000-0008-0000-5700-000018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162713" name="Check Box 25" hidden="1">
              <a:extLst>
                <a:ext uri="{63B3BB69-23CF-44E3-9099-C40C66FF867C}">
                  <a14:compatExt spid="_x0000_s18162713"/>
                </a:ext>
                <a:ext uri="{FF2B5EF4-FFF2-40B4-BE49-F238E27FC236}">
                  <a16:creationId xmlns:a16="http://schemas.microsoft.com/office/drawing/2014/main" id="{00000000-0008-0000-5700-000019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162714" name="Check Box 26" hidden="1">
              <a:extLst>
                <a:ext uri="{63B3BB69-23CF-44E3-9099-C40C66FF867C}">
                  <a14:compatExt spid="_x0000_s18162714"/>
                </a:ext>
                <a:ext uri="{FF2B5EF4-FFF2-40B4-BE49-F238E27FC236}">
                  <a16:creationId xmlns:a16="http://schemas.microsoft.com/office/drawing/2014/main" id="{00000000-0008-0000-5700-00001A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162715" name="Check Box 27" hidden="1">
              <a:extLst>
                <a:ext uri="{63B3BB69-23CF-44E3-9099-C40C66FF867C}">
                  <a14:compatExt spid="_x0000_s18162715"/>
                </a:ext>
                <a:ext uri="{FF2B5EF4-FFF2-40B4-BE49-F238E27FC236}">
                  <a16:creationId xmlns:a16="http://schemas.microsoft.com/office/drawing/2014/main" id="{00000000-0008-0000-5700-00001B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162716" name="Button 28" hidden="1">
              <a:extLst>
                <a:ext uri="{63B3BB69-23CF-44E3-9099-C40C66FF867C}">
                  <a14:compatExt spid="_x0000_s18162716"/>
                </a:ext>
                <a:ext uri="{FF2B5EF4-FFF2-40B4-BE49-F238E27FC236}">
                  <a16:creationId xmlns:a16="http://schemas.microsoft.com/office/drawing/2014/main" id="{00000000-0008-0000-5700-00001C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162717" name="Button 29" hidden="1">
              <a:extLst>
                <a:ext uri="{63B3BB69-23CF-44E3-9099-C40C66FF867C}">
                  <a14:compatExt spid="_x0000_s18162717"/>
                </a:ext>
                <a:ext uri="{FF2B5EF4-FFF2-40B4-BE49-F238E27FC236}">
                  <a16:creationId xmlns:a16="http://schemas.microsoft.com/office/drawing/2014/main" id="{00000000-0008-0000-5700-00001D2415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162718" name="Check Box 30" hidden="1">
              <a:extLst>
                <a:ext uri="{63B3BB69-23CF-44E3-9099-C40C66FF867C}">
                  <a14:compatExt spid="_x0000_s18162718"/>
                </a:ext>
                <a:ext uri="{FF2B5EF4-FFF2-40B4-BE49-F238E27FC236}">
                  <a16:creationId xmlns:a16="http://schemas.microsoft.com/office/drawing/2014/main" id="{00000000-0008-0000-5700-00001E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162719" name="Check Box 31" hidden="1">
              <a:extLst>
                <a:ext uri="{63B3BB69-23CF-44E3-9099-C40C66FF867C}">
                  <a14:compatExt spid="_x0000_s18162719"/>
                </a:ext>
                <a:ext uri="{FF2B5EF4-FFF2-40B4-BE49-F238E27FC236}">
                  <a16:creationId xmlns:a16="http://schemas.microsoft.com/office/drawing/2014/main" id="{00000000-0008-0000-5700-00001F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162720" name="Check Box 32" hidden="1">
              <a:extLst>
                <a:ext uri="{63B3BB69-23CF-44E3-9099-C40C66FF867C}">
                  <a14:compatExt spid="_x0000_s18162720"/>
                </a:ext>
                <a:ext uri="{FF2B5EF4-FFF2-40B4-BE49-F238E27FC236}">
                  <a16:creationId xmlns:a16="http://schemas.microsoft.com/office/drawing/2014/main" id="{00000000-0008-0000-5700-000020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162721" name="Check Box 33" hidden="1">
              <a:extLst>
                <a:ext uri="{63B3BB69-23CF-44E3-9099-C40C66FF867C}">
                  <a14:compatExt spid="_x0000_s18162721"/>
                </a:ext>
                <a:ext uri="{FF2B5EF4-FFF2-40B4-BE49-F238E27FC236}">
                  <a16:creationId xmlns:a16="http://schemas.microsoft.com/office/drawing/2014/main" id="{00000000-0008-0000-5700-000021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162722" name="Check Box 34" hidden="1">
              <a:extLst>
                <a:ext uri="{63B3BB69-23CF-44E3-9099-C40C66FF867C}">
                  <a14:compatExt spid="_x0000_s18162722"/>
                </a:ext>
                <a:ext uri="{FF2B5EF4-FFF2-40B4-BE49-F238E27FC236}">
                  <a16:creationId xmlns:a16="http://schemas.microsoft.com/office/drawing/2014/main" id="{00000000-0008-0000-5700-000022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162723" name="Check Box 35" hidden="1">
              <a:extLst>
                <a:ext uri="{63B3BB69-23CF-44E3-9099-C40C66FF867C}">
                  <a14:compatExt spid="_x0000_s18162723"/>
                </a:ext>
                <a:ext uri="{FF2B5EF4-FFF2-40B4-BE49-F238E27FC236}">
                  <a16:creationId xmlns:a16="http://schemas.microsoft.com/office/drawing/2014/main" id="{00000000-0008-0000-5700-000023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162724" name="Check Box 36" hidden="1">
              <a:extLst>
                <a:ext uri="{63B3BB69-23CF-44E3-9099-C40C66FF867C}">
                  <a14:compatExt spid="_x0000_s18162724"/>
                </a:ext>
                <a:ext uri="{FF2B5EF4-FFF2-40B4-BE49-F238E27FC236}">
                  <a16:creationId xmlns:a16="http://schemas.microsoft.com/office/drawing/2014/main" id="{00000000-0008-0000-5700-000024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162725" name="Check Box 37" hidden="1">
              <a:extLst>
                <a:ext uri="{63B3BB69-23CF-44E3-9099-C40C66FF867C}">
                  <a14:compatExt spid="_x0000_s18162725"/>
                </a:ext>
                <a:ext uri="{FF2B5EF4-FFF2-40B4-BE49-F238E27FC236}">
                  <a16:creationId xmlns:a16="http://schemas.microsoft.com/office/drawing/2014/main" id="{00000000-0008-0000-5700-000025241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9750EA2-EBAC-4D90-A184-C434AA8E2F3A}"/>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7B82530-8F26-4F88-A237-049E7EFE8E7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8034689" name="Check Box 1" hidden="1">
              <a:extLst>
                <a:ext uri="{63B3BB69-23CF-44E3-9099-C40C66FF867C}">
                  <a14:compatExt spid="_x0000_s18034689"/>
                </a:ext>
                <a:ext uri="{FF2B5EF4-FFF2-40B4-BE49-F238E27FC236}">
                  <a16:creationId xmlns:a16="http://schemas.microsoft.com/office/drawing/2014/main" id="{00000000-0008-0000-5800-000001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8034690" name="Check Box 2" hidden="1">
              <a:extLst>
                <a:ext uri="{63B3BB69-23CF-44E3-9099-C40C66FF867C}">
                  <a14:compatExt spid="_x0000_s18034690"/>
                </a:ext>
                <a:ext uri="{FF2B5EF4-FFF2-40B4-BE49-F238E27FC236}">
                  <a16:creationId xmlns:a16="http://schemas.microsoft.com/office/drawing/2014/main" id="{00000000-0008-0000-5800-000002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8034691" name="Check Box 3" hidden="1">
              <a:extLst>
                <a:ext uri="{63B3BB69-23CF-44E3-9099-C40C66FF867C}">
                  <a14:compatExt spid="_x0000_s18034691"/>
                </a:ext>
                <a:ext uri="{FF2B5EF4-FFF2-40B4-BE49-F238E27FC236}">
                  <a16:creationId xmlns:a16="http://schemas.microsoft.com/office/drawing/2014/main" id="{00000000-0008-0000-5800-000003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8034692" name="Check Box 4" hidden="1">
              <a:extLst>
                <a:ext uri="{63B3BB69-23CF-44E3-9099-C40C66FF867C}">
                  <a14:compatExt spid="_x0000_s18034692"/>
                </a:ext>
                <a:ext uri="{FF2B5EF4-FFF2-40B4-BE49-F238E27FC236}">
                  <a16:creationId xmlns:a16="http://schemas.microsoft.com/office/drawing/2014/main" id="{00000000-0008-0000-5800-000004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8034693" name="Check Box 5" hidden="1">
              <a:extLst>
                <a:ext uri="{63B3BB69-23CF-44E3-9099-C40C66FF867C}">
                  <a14:compatExt spid="_x0000_s18034693"/>
                </a:ext>
                <a:ext uri="{FF2B5EF4-FFF2-40B4-BE49-F238E27FC236}">
                  <a16:creationId xmlns:a16="http://schemas.microsoft.com/office/drawing/2014/main" id="{00000000-0008-0000-5800-000005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8034694" name="Check Box 6" hidden="1">
              <a:extLst>
                <a:ext uri="{63B3BB69-23CF-44E3-9099-C40C66FF867C}">
                  <a14:compatExt spid="_x0000_s18034694"/>
                </a:ext>
                <a:ext uri="{FF2B5EF4-FFF2-40B4-BE49-F238E27FC236}">
                  <a16:creationId xmlns:a16="http://schemas.microsoft.com/office/drawing/2014/main" id="{00000000-0008-0000-5800-000006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8034695" name="Check Box 7" hidden="1">
              <a:extLst>
                <a:ext uri="{63B3BB69-23CF-44E3-9099-C40C66FF867C}">
                  <a14:compatExt spid="_x0000_s18034695"/>
                </a:ext>
                <a:ext uri="{FF2B5EF4-FFF2-40B4-BE49-F238E27FC236}">
                  <a16:creationId xmlns:a16="http://schemas.microsoft.com/office/drawing/2014/main" id="{00000000-0008-0000-5800-000007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8034696" name="Button 8" hidden="1">
              <a:extLst>
                <a:ext uri="{63B3BB69-23CF-44E3-9099-C40C66FF867C}">
                  <a14:compatExt spid="_x0000_s18034696"/>
                </a:ext>
                <a:ext uri="{FF2B5EF4-FFF2-40B4-BE49-F238E27FC236}">
                  <a16:creationId xmlns:a16="http://schemas.microsoft.com/office/drawing/2014/main" id="{00000000-0008-0000-5800-000008301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8034697" name="Button 9" hidden="1">
              <a:extLst>
                <a:ext uri="{63B3BB69-23CF-44E3-9099-C40C66FF867C}">
                  <a14:compatExt spid="_x0000_s18034697"/>
                </a:ext>
                <a:ext uri="{FF2B5EF4-FFF2-40B4-BE49-F238E27FC236}">
                  <a16:creationId xmlns:a16="http://schemas.microsoft.com/office/drawing/2014/main" id="{00000000-0008-0000-5800-000009301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8034698" name="Check Box 10" hidden="1">
              <a:extLst>
                <a:ext uri="{63B3BB69-23CF-44E3-9099-C40C66FF867C}">
                  <a14:compatExt spid="_x0000_s18034698"/>
                </a:ext>
                <a:ext uri="{FF2B5EF4-FFF2-40B4-BE49-F238E27FC236}">
                  <a16:creationId xmlns:a16="http://schemas.microsoft.com/office/drawing/2014/main" id="{00000000-0008-0000-5800-00000A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8034699" name="Button 11" hidden="1">
              <a:extLst>
                <a:ext uri="{63B3BB69-23CF-44E3-9099-C40C66FF867C}">
                  <a14:compatExt spid="_x0000_s18034699"/>
                </a:ext>
                <a:ext uri="{FF2B5EF4-FFF2-40B4-BE49-F238E27FC236}">
                  <a16:creationId xmlns:a16="http://schemas.microsoft.com/office/drawing/2014/main" id="{00000000-0008-0000-5800-00000B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8034700" name="Button 12" hidden="1">
              <a:extLst>
                <a:ext uri="{63B3BB69-23CF-44E3-9099-C40C66FF867C}">
                  <a14:compatExt spid="_x0000_s18034700"/>
                </a:ext>
                <a:ext uri="{FF2B5EF4-FFF2-40B4-BE49-F238E27FC236}">
                  <a16:creationId xmlns:a16="http://schemas.microsoft.com/office/drawing/2014/main" id="{00000000-0008-0000-5800-00000C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8034701" name="Button 13" hidden="1">
              <a:extLst>
                <a:ext uri="{63B3BB69-23CF-44E3-9099-C40C66FF867C}">
                  <a14:compatExt spid="_x0000_s18034701"/>
                </a:ext>
                <a:ext uri="{FF2B5EF4-FFF2-40B4-BE49-F238E27FC236}">
                  <a16:creationId xmlns:a16="http://schemas.microsoft.com/office/drawing/2014/main" id="{00000000-0008-0000-5800-00000D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8034702" name="Button 14" hidden="1">
              <a:extLst>
                <a:ext uri="{63B3BB69-23CF-44E3-9099-C40C66FF867C}">
                  <a14:compatExt spid="_x0000_s18034702"/>
                </a:ext>
                <a:ext uri="{FF2B5EF4-FFF2-40B4-BE49-F238E27FC236}">
                  <a16:creationId xmlns:a16="http://schemas.microsoft.com/office/drawing/2014/main" id="{00000000-0008-0000-5800-00000E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8034703" name="Check Box 15" hidden="1">
              <a:extLst>
                <a:ext uri="{63B3BB69-23CF-44E3-9099-C40C66FF867C}">
                  <a14:compatExt spid="_x0000_s18034703"/>
                </a:ext>
                <a:ext uri="{FF2B5EF4-FFF2-40B4-BE49-F238E27FC236}">
                  <a16:creationId xmlns:a16="http://schemas.microsoft.com/office/drawing/2014/main" id="{00000000-0008-0000-5800-00000F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8034704" name="Check Box 16" hidden="1">
              <a:extLst>
                <a:ext uri="{63B3BB69-23CF-44E3-9099-C40C66FF867C}">
                  <a14:compatExt spid="_x0000_s18034704"/>
                </a:ext>
                <a:ext uri="{FF2B5EF4-FFF2-40B4-BE49-F238E27FC236}">
                  <a16:creationId xmlns:a16="http://schemas.microsoft.com/office/drawing/2014/main" id="{00000000-0008-0000-5800-000010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8034705" name="Check Box 17" hidden="1">
              <a:extLst>
                <a:ext uri="{63B3BB69-23CF-44E3-9099-C40C66FF867C}">
                  <a14:compatExt spid="_x0000_s18034705"/>
                </a:ext>
                <a:ext uri="{FF2B5EF4-FFF2-40B4-BE49-F238E27FC236}">
                  <a16:creationId xmlns:a16="http://schemas.microsoft.com/office/drawing/2014/main" id="{00000000-0008-0000-5800-000011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8034706" name="Check Box 18" hidden="1">
              <a:extLst>
                <a:ext uri="{63B3BB69-23CF-44E3-9099-C40C66FF867C}">
                  <a14:compatExt spid="_x0000_s18034706"/>
                </a:ext>
                <a:ext uri="{FF2B5EF4-FFF2-40B4-BE49-F238E27FC236}">
                  <a16:creationId xmlns:a16="http://schemas.microsoft.com/office/drawing/2014/main" id="{00000000-0008-0000-5800-000012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8034707" name="Check Box 19" hidden="1">
              <a:extLst>
                <a:ext uri="{63B3BB69-23CF-44E3-9099-C40C66FF867C}">
                  <a14:compatExt spid="_x0000_s18034707"/>
                </a:ext>
                <a:ext uri="{FF2B5EF4-FFF2-40B4-BE49-F238E27FC236}">
                  <a16:creationId xmlns:a16="http://schemas.microsoft.com/office/drawing/2014/main" id="{00000000-0008-0000-5800-000013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8034708" name="Check Box 20" hidden="1">
              <a:extLst>
                <a:ext uri="{63B3BB69-23CF-44E3-9099-C40C66FF867C}">
                  <a14:compatExt spid="_x0000_s18034708"/>
                </a:ext>
                <a:ext uri="{FF2B5EF4-FFF2-40B4-BE49-F238E27FC236}">
                  <a16:creationId xmlns:a16="http://schemas.microsoft.com/office/drawing/2014/main" id="{00000000-0008-0000-5800-000014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8034709" name="Check Box 21" hidden="1">
              <a:extLst>
                <a:ext uri="{63B3BB69-23CF-44E3-9099-C40C66FF867C}">
                  <a14:compatExt spid="_x0000_s18034709"/>
                </a:ext>
                <a:ext uri="{FF2B5EF4-FFF2-40B4-BE49-F238E27FC236}">
                  <a16:creationId xmlns:a16="http://schemas.microsoft.com/office/drawing/2014/main" id="{00000000-0008-0000-5800-000015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8034710" name="Check Box 22" hidden="1">
              <a:extLst>
                <a:ext uri="{63B3BB69-23CF-44E3-9099-C40C66FF867C}">
                  <a14:compatExt spid="_x0000_s18034710"/>
                </a:ext>
                <a:ext uri="{FF2B5EF4-FFF2-40B4-BE49-F238E27FC236}">
                  <a16:creationId xmlns:a16="http://schemas.microsoft.com/office/drawing/2014/main" id="{00000000-0008-0000-5800-000016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8034711" name="Check Box 23" hidden="1">
              <a:extLst>
                <a:ext uri="{63B3BB69-23CF-44E3-9099-C40C66FF867C}">
                  <a14:compatExt spid="_x0000_s18034711"/>
                </a:ext>
                <a:ext uri="{FF2B5EF4-FFF2-40B4-BE49-F238E27FC236}">
                  <a16:creationId xmlns:a16="http://schemas.microsoft.com/office/drawing/2014/main" id="{00000000-0008-0000-5800-000017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8034712" name="Check Box 24" hidden="1">
              <a:extLst>
                <a:ext uri="{63B3BB69-23CF-44E3-9099-C40C66FF867C}">
                  <a14:compatExt spid="_x0000_s18034712"/>
                </a:ext>
                <a:ext uri="{FF2B5EF4-FFF2-40B4-BE49-F238E27FC236}">
                  <a16:creationId xmlns:a16="http://schemas.microsoft.com/office/drawing/2014/main" id="{00000000-0008-0000-5800-000018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8034713" name="Check Box 25" hidden="1">
              <a:extLst>
                <a:ext uri="{63B3BB69-23CF-44E3-9099-C40C66FF867C}">
                  <a14:compatExt spid="_x0000_s18034713"/>
                </a:ext>
                <a:ext uri="{FF2B5EF4-FFF2-40B4-BE49-F238E27FC236}">
                  <a16:creationId xmlns:a16="http://schemas.microsoft.com/office/drawing/2014/main" id="{00000000-0008-0000-5800-000019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8034714" name="Check Box 26" hidden="1">
              <a:extLst>
                <a:ext uri="{63B3BB69-23CF-44E3-9099-C40C66FF867C}">
                  <a14:compatExt spid="_x0000_s18034714"/>
                </a:ext>
                <a:ext uri="{FF2B5EF4-FFF2-40B4-BE49-F238E27FC236}">
                  <a16:creationId xmlns:a16="http://schemas.microsoft.com/office/drawing/2014/main" id="{00000000-0008-0000-5800-00001A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8034715" name="Check Box 27" hidden="1">
              <a:extLst>
                <a:ext uri="{63B3BB69-23CF-44E3-9099-C40C66FF867C}">
                  <a14:compatExt spid="_x0000_s18034715"/>
                </a:ext>
                <a:ext uri="{FF2B5EF4-FFF2-40B4-BE49-F238E27FC236}">
                  <a16:creationId xmlns:a16="http://schemas.microsoft.com/office/drawing/2014/main" id="{00000000-0008-0000-5800-00001B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8034716" name="Button 28" hidden="1">
              <a:extLst>
                <a:ext uri="{63B3BB69-23CF-44E3-9099-C40C66FF867C}">
                  <a14:compatExt spid="_x0000_s18034716"/>
                </a:ext>
                <a:ext uri="{FF2B5EF4-FFF2-40B4-BE49-F238E27FC236}">
                  <a16:creationId xmlns:a16="http://schemas.microsoft.com/office/drawing/2014/main" id="{00000000-0008-0000-5800-00001C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8034717" name="Button 29" hidden="1">
              <a:extLst>
                <a:ext uri="{63B3BB69-23CF-44E3-9099-C40C66FF867C}">
                  <a14:compatExt spid="_x0000_s18034717"/>
                </a:ext>
                <a:ext uri="{FF2B5EF4-FFF2-40B4-BE49-F238E27FC236}">
                  <a16:creationId xmlns:a16="http://schemas.microsoft.com/office/drawing/2014/main" id="{00000000-0008-0000-5800-00001D30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8034718" name="Check Box 30" hidden="1">
              <a:extLst>
                <a:ext uri="{63B3BB69-23CF-44E3-9099-C40C66FF867C}">
                  <a14:compatExt spid="_x0000_s18034718"/>
                </a:ext>
                <a:ext uri="{FF2B5EF4-FFF2-40B4-BE49-F238E27FC236}">
                  <a16:creationId xmlns:a16="http://schemas.microsoft.com/office/drawing/2014/main" id="{00000000-0008-0000-5800-00001E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8034719" name="Check Box 31" hidden="1">
              <a:extLst>
                <a:ext uri="{63B3BB69-23CF-44E3-9099-C40C66FF867C}">
                  <a14:compatExt spid="_x0000_s18034719"/>
                </a:ext>
                <a:ext uri="{FF2B5EF4-FFF2-40B4-BE49-F238E27FC236}">
                  <a16:creationId xmlns:a16="http://schemas.microsoft.com/office/drawing/2014/main" id="{00000000-0008-0000-5800-00001F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8034720" name="Check Box 32" hidden="1">
              <a:extLst>
                <a:ext uri="{63B3BB69-23CF-44E3-9099-C40C66FF867C}">
                  <a14:compatExt spid="_x0000_s18034720"/>
                </a:ext>
                <a:ext uri="{FF2B5EF4-FFF2-40B4-BE49-F238E27FC236}">
                  <a16:creationId xmlns:a16="http://schemas.microsoft.com/office/drawing/2014/main" id="{00000000-0008-0000-5800-000020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8034721" name="Check Box 33" hidden="1">
              <a:extLst>
                <a:ext uri="{63B3BB69-23CF-44E3-9099-C40C66FF867C}">
                  <a14:compatExt spid="_x0000_s18034721"/>
                </a:ext>
                <a:ext uri="{FF2B5EF4-FFF2-40B4-BE49-F238E27FC236}">
                  <a16:creationId xmlns:a16="http://schemas.microsoft.com/office/drawing/2014/main" id="{00000000-0008-0000-5800-000021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8034722" name="Check Box 34" hidden="1">
              <a:extLst>
                <a:ext uri="{63B3BB69-23CF-44E3-9099-C40C66FF867C}">
                  <a14:compatExt spid="_x0000_s18034722"/>
                </a:ext>
                <a:ext uri="{FF2B5EF4-FFF2-40B4-BE49-F238E27FC236}">
                  <a16:creationId xmlns:a16="http://schemas.microsoft.com/office/drawing/2014/main" id="{00000000-0008-0000-5800-000022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8034723" name="Check Box 35" hidden="1">
              <a:extLst>
                <a:ext uri="{63B3BB69-23CF-44E3-9099-C40C66FF867C}">
                  <a14:compatExt spid="_x0000_s18034723"/>
                </a:ext>
                <a:ext uri="{FF2B5EF4-FFF2-40B4-BE49-F238E27FC236}">
                  <a16:creationId xmlns:a16="http://schemas.microsoft.com/office/drawing/2014/main" id="{00000000-0008-0000-5800-000023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8034724" name="Check Box 36" hidden="1">
              <a:extLst>
                <a:ext uri="{63B3BB69-23CF-44E3-9099-C40C66FF867C}">
                  <a14:compatExt spid="_x0000_s18034724"/>
                </a:ext>
                <a:ext uri="{FF2B5EF4-FFF2-40B4-BE49-F238E27FC236}">
                  <a16:creationId xmlns:a16="http://schemas.microsoft.com/office/drawing/2014/main" id="{00000000-0008-0000-5800-000024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8034725" name="Check Box 37" hidden="1">
              <a:extLst>
                <a:ext uri="{63B3BB69-23CF-44E3-9099-C40C66FF867C}">
                  <a14:compatExt spid="_x0000_s18034725"/>
                </a:ext>
                <a:ext uri="{FF2B5EF4-FFF2-40B4-BE49-F238E27FC236}">
                  <a16:creationId xmlns:a16="http://schemas.microsoft.com/office/drawing/2014/main" id="{00000000-0008-0000-5800-000025301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1FA8A8E-23A4-475E-AAF2-FC8AB9C4FBC4}"/>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6B60CC3-FF20-4CA1-AC00-FE5FC0BBB300}"/>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7905665" name="Check Box 1" hidden="1">
              <a:extLst>
                <a:ext uri="{63B3BB69-23CF-44E3-9099-C40C66FF867C}">
                  <a14:compatExt spid="_x0000_s17905665"/>
                </a:ext>
                <a:ext uri="{FF2B5EF4-FFF2-40B4-BE49-F238E27FC236}">
                  <a16:creationId xmlns:a16="http://schemas.microsoft.com/office/drawing/2014/main" id="{00000000-0008-0000-5900-000001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7905666" name="Check Box 2" hidden="1">
              <a:extLst>
                <a:ext uri="{63B3BB69-23CF-44E3-9099-C40C66FF867C}">
                  <a14:compatExt spid="_x0000_s17905666"/>
                </a:ext>
                <a:ext uri="{FF2B5EF4-FFF2-40B4-BE49-F238E27FC236}">
                  <a16:creationId xmlns:a16="http://schemas.microsoft.com/office/drawing/2014/main" id="{00000000-0008-0000-5900-000002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7905667" name="Check Box 3" hidden="1">
              <a:extLst>
                <a:ext uri="{63B3BB69-23CF-44E3-9099-C40C66FF867C}">
                  <a14:compatExt spid="_x0000_s17905667"/>
                </a:ext>
                <a:ext uri="{FF2B5EF4-FFF2-40B4-BE49-F238E27FC236}">
                  <a16:creationId xmlns:a16="http://schemas.microsoft.com/office/drawing/2014/main" id="{00000000-0008-0000-5900-000003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7905668" name="Check Box 4" hidden="1">
              <a:extLst>
                <a:ext uri="{63B3BB69-23CF-44E3-9099-C40C66FF867C}">
                  <a14:compatExt spid="_x0000_s17905668"/>
                </a:ext>
                <a:ext uri="{FF2B5EF4-FFF2-40B4-BE49-F238E27FC236}">
                  <a16:creationId xmlns:a16="http://schemas.microsoft.com/office/drawing/2014/main" id="{00000000-0008-0000-5900-000004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7905669" name="Check Box 5" hidden="1">
              <a:extLst>
                <a:ext uri="{63B3BB69-23CF-44E3-9099-C40C66FF867C}">
                  <a14:compatExt spid="_x0000_s17905669"/>
                </a:ext>
                <a:ext uri="{FF2B5EF4-FFF2-40B4-BE49-F238E27FC236}">
                  <a16:creationId xmlns:a16="http://schemas.microsoft.com/office/drawing/2014/main" id="{00000000-0008-0000-5900-000005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7905670" name="Check Box 6" hidden="1">
              <a:extLst>
                <a:ext uri="{63B3BB69-23CF-44E3-9099-C40C66FF867C}">
                  <a14:compatExt spid="_x0000_s17905670"/>
                </a:ext>
                <a:ext uri="{FF2B5EF4-FFF2-40B4-BE49-F238E27FC236}">
                  <a16:creationId xmlns:a16="http://schemas.microsoft.com/office/drawing/2014/main" id="{00000000-0008-0000-5900-000006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7905671" name="Check Box 7" hidden="1">
              <a:extLst>
                <a:ext uri="{63B3BB69-23CF-44E3-9099-C40C66FF867C}">
                  <a14:compatExt spid="_x0000_s17905671"/>
                </a:ext>
                <a:ext uri="{FF2B5EF4-FFF2-40B4-BE49-F238E27FC236}">
                  <a16:creationId xmlns:a16="http://schemas.microsoft.com/office/drawing/2014/main" id="{00000000-0008-0000-5900-000007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7905672" name="Button 8" hidden="1">
              <a:extLst>
                <a:ext uri="{63B3BB69-23CF-44E3-9099-C40C66FF867C}">
                  <a14:compatExt spid="_x0000_s17905672"/>
                </a:ext>
                <a:ext uri="{FF2B5EF4-FFF2-40B4-BE49-F238E27FC236}">
                  <a16:creationId xmlns:a16="http://schemas.microsoft.com/office/drawing/2014/main" id="{00000000-0008-0000-5900-000008381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7905673" name="Button 9" hidden="1">
              <a:extLst>
                <a:ext uri="{63B3BB69-23CF-44E3-9099-C40C66FF867C}">
                  <a14:compatExt spid="_x0000_s17905673"/>
                </a:ext>
                <a:ext uri="{FF2B5EF4-FFF2-40B4-BE49-F238E27FC236}">
                  <a16:creationId xmlns:a16="http://schemas.microsoft.com/office/drawing/2014/main" id="{00000000-0008-0000-5900-000009381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7905674" name="Check Box 10" hidden="1">
              <a:extLst>
                <a:ext uri="{63B3BB69-23CF-44E3-9099-C40C66FF867C}">
                  <a14:compatExt spid="_x0000_s17905674"/>
                </a:ext>
                <a:ext uri="{FF2B5EF4-FFF2-40B4-BE49-F238E27FC236}">
                  <a16:creationId xmlns:a16="http://schemas.microsoft.com/office/drawing/2014/main" id="{00000000-0008-0000-5900-00000A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7905675" name="Button 11" hidden="1">
              <a:extLst>
                <a:ext uri="{63B3BB69-23CF-44E3-9099-C40C66FF867C}">
                  <a14:compatExt spid="_x0000_s17905675"/>
                </a:ext>
                <a:ext uri="{FF2B5EF4-FFF2-40B4-BE49-F238E27FC236}">
                  <a16:creationId xmlns:a16="http://schemas.microsoft.com/office/drawing/2014/main" id="{00000000-0008-0000-5900-00000B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7905676" name="Button 12" hidden="1">
              <a:extLst>
                <a:ext uri="{63B3BB69-23CF-44E3-9099-C40C66FF867C}">
                  <a14:compatExt spid="_x0000_s17905676"/>
                </a:ext>
                <a:ext uri="{FF2B5EF4-FFF2-40B4-BE49-F238E27FC236}">
                  <a16:creationId xmlns:a16="http://schemas.microsoft.com/office/drawing/2014/main" id="{00000000-0008-0000-5900-00000C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7905677" name="Button 13" hidden="1">
              <a:extLst>
                <a:ext uri="{63B3BB69-23CF-44E3-9099-C40C66FF867C}">
                  <a14:compatExt spid="_x0000_s17905677"/>
                </a:ext>
                <a:ext uri="{FF2B5EF4-FFF2-40B4-BE49-F238E27FC236}">
                  <a16:creationId xmlns:a16="http://schemas.microsoft.com/office/drawing/2014/main" id="{00000000-0008-0000-5900-00000D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7905678" name="Button 14" hidden="1">
              <a:extLst>
                <a:ext uri="{63B3BB69-23CF-44E3-9099-C40C66FF867C}">
                  <a14:compatExt spid="_x0000_s17905678"/>
                </a:ext>
                <a:ext uri="{FF2B5EF4-FFF2-40B4-BE49-F238E27FC236}">
                  <a16:creationId xmlns:a16="http://schemas.microsoft.com/office/drawing/2014/main" id="{00000000-0008-0000-5900-00000E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7905679" name="Check Box 15" hidden="1">
              <a:extLst>
                <a:ext uri="{63B3BB69-23CF-44E3-9099-C40C66FF867C}">
                  <a14:compatExt spid="_x0000_s17905679"/>
                </a:ext>
                <a:ext uri="{FF2B5EF4-FFF2-40B4-BE49-F238E27FC236}">
                  <a16:creationId xmlns:a16="http://schemas.microsoft.com/office/drawing/2014/main" id="{00000000-0008-0000-5900-00000F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7905680" name="Check Box 16" hidden="1">
              <a:extLst>
                <a:ext uri="{63B3BB69-23CF-44E3-9099-C40C66FF867C}">
                  <a14:compatExt spid="_x0000_s17905680"/>
                </a:ext>
                <a:ext uri="{FF2B5EF4-FFF2-40B4-BE49-F238E27FC236}">
                  <a16:creationId xmlns:a16="http://schemas.microsoft.com/office/drawing/2014/main" id="{00000000-0008-0000-5900-000010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7905681" name="Check Box 17" hidden="1">
              <a:extLst>
                <a:ext uri="{63B3BB69-23CF-44E3-9099-C40C66FF867C}">
                  <a14:compatExt spid="_x0000_s17905681"/>
                </a:ext>
                <a:ext uri="{FF2B5EF4-FFF2-40B4-BE49-F238E27FC236}">
                  <a16:creationId xmlns:a16="http://schemas.microsoft.com/office/drawing/2014/main" id="{00000000-0008-0000-5900-000011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7905682" name="Check Box 18" hidden="1">
              <a:extLst>
                <a:ext uri="{63B3BB69-23CF-44E3-9099-C40C66FF867C}">
                  <a14:compatExt spid="_x0000_s17905682"/>
                </a:ext>
                <a:ext uri="{FF2B5EF4-FFF2-40B4-BE49-F238E27FC236}">
                  <a16:creationId xmlns:a16="http://schemas.microsoft.com/office/drawing/2014/main" id="{00000000-0008-0000-5900-000012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7905683" name="Check Box 19" hidden="1">
              <a:extLst>
                <a:ext uri="{63B3BB69-23CF-44E3-9099-C40C66FF867C}">
                  <a14:compatExt spid="_x0000_s17905683"/>
                </a:ext>
                <a:ext uri="{FF2B5EF4-FFF2-40B4-BE49-F238E27FC236}">
                  <a16:creationId xmlns:a16="http://schemas.microsoft.com/office/drawing/2014/main" id="{00000000-0008-0000-5900-000013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7905684" name="Check Box 20" hidden="1">
              <a:extLst>
                <a:ext uri="{63B3BB69-23CF-44E3-9099-C40C66FF867C}">
                  <a14:compatExt spid="_x0000_s17905684"/>
                </a:ext>
                <a:ext uri="{FF2B5EF4-FFF2-40B4-BE49-F238E27FC236}">
                  <a16:creationId xmlns:a16="http://schemas.microsoft.com/office/drawing/2014/main" id="{00000000-0008-0000-5900-000014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7905685" name="Check Box 21" hidden="1">
              <a:extLst>
                <a:ext uri="{63B3BB69-23CF-44E3-9099-C40C66FF867C}">
                  <a14:compatExt spid="_x0000_s17905685"/>
                </a:ext>
                <a:ext uri="{FF2B5EF4-FFF2-40B4-BE49-F238E27FC236}">
                  <a16:creationId xmlns:a16="http://schemas.microsoft.com/office/drawing/2014/main" id="{00000000-0008-0000-5900-000015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7905686" name="Check Box 22" hidden="1">
              <a:extLst>
                <a:ext uri="{63B3BB69-23CF-44E3-9099-C40C66FF867C}">
                  <a14:compatExt spid="_x0000_s17905686"/>
                </a:ext>
                <a:ext uri="{FF2B5EF4-FFF2-40B4-BE49-F238E27FC236}">
                  <a16:creationId xmlns:a16="http://schemas.microsoft.com/office/drawing/2014/main" id="{00000000-0008-0000-5900-000016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7905687" name="Check Box 23" hidden="1">
              <a:extLst>
                <a:ext uri="{63B3BB69-23CF-44E3-9099-C40C66FF867C}">
                  <a14:compatExt spid="_x0000_s17905687"/>
                </a:ext>
                <a:ext uri="{FF2B5EF4-FFF2-40B4-BE49-F238E27FC236}">
                  <a16:creationId xmlns:a16="http://schemas.microsoft.com/office/drawing/2014/main" id="{00000000-0008-0000-5900-000017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7905688" name="Check Box 24" hidden="1">
              <a:extLst>
                <a:ext uri="{63B3BB69-23CF-44E3-9099-C40C66FF867C}">
                  <a14:compatExt spid="_x0000_s17905688"/>
                </a:ext>
                <a:ext uri="{FF2B5EF4-FFF2-40B4-BE49-F238E27FC236}">
                  <a16:creationId xmlns:a16="http://schemas.microsoft.com/office/drawing/2014/main" id="{00000000-0008-0000-5900-000018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7905689" name="Check Box 25" hidden="1">
              <a:extLst>
                <a:ext uri="{63B3BB69-23CF-44E3-9099-C40C66FF867C}">
                  <a14:compatExt spid="_x0000_s17905689"/>
                </a:ext>
                <a:ext uri="{FF2B5EF4-FFF2-40B4-BE49-F238E27FC236}">
                  <a16:creationId xmlns:a16="http://schemas.microsoft.com/office/drawing/2014/main" id="{00000000-0008-0000-5900-000019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7905690" name="Check Box 26" hidden="1">
              <a:extLst>
                <a:ext uri="{63B3BB69-23CF-44E3-9099-C40C66FF867C}">
                  <a14:compatExt spid="_x0000_s17905690"/>
                </a:ext>
                <a:ext uri="{FF2B5EF4-FFF2-40B4-BE49-F238E27FC236}">
                  <a16:creationId xmlns:a16="http://schemas.microsoft.com/office/drawing/2014/main" id="{00000000-0008-0000-5900-00001A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905691" name="Check Box 27" hidden="1">
              <a:extLst>
                <a:ext uri="{63B3BB69-23CF-44E3-9099-C40C66FF867C}">
                  <a14:compatExt spid="_x0000_s17905691"/>
                </a:ext>
                <a:ext uri="{FF2B5EF4-FFF2-40B4-BE49-F238E27FC236}">
                  <a16:creationId xmlns:a16="http://schemas.microsoft.com/office/drawing/2014/main" id="{00000000-0008-0000-5900-00001B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7905692" name="Button 28" hidden="1">
              <a:extLst>
                <a:ext uri="{63B3BB69-23CF-44E3-9099-C40C66FF867C}">
                  <a14:compatExt spid="_x0000_s17905692"/>
                </a:ext>
                <a:ext uri="{FF2B5EF4-FFF2-40B4-BE49-F238E27FC236}">
                  <a16:creationId xmlns:a16="http://schemas.microsoft.com/office/drawing/2014/main" id="{00000000-0008-0000-5900-00001C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7905693" name="Button 29" hidden="1">
              <a:extLst>
                <a:ext uri="{63B3BB69-23CF-44E3-9099-C40C66FF867C}">
                  <a14:compatExt spid="_x0000_s17905693"/>
                </a:ext>
                <a:ext uri="{FF2B5EF4-FFF2-40B4-BE49-F238E27FC236}">
                  <a16:creationId xmlns:a16="http://schemas.microsoft.com/office/drawing/2014/main" id="{00000000-0008-0000-5900-00001D38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7905694" name="Check Box 30" hidden="1">
              <a:extLst>
                <a:ext uri="{63B3BB69-23CF-44E3-9099-C40C66FF867C}">
                  <a14:compatExt spid="_x0000_s17905694"/>
                </a:ext>
                <a:ext uri="{FF2B5EF4-FFF2-40B4-BE49-F238E27FC236}">
                  <a16:creationId xmlns:a16="http://schemas.microsoft.com/office/drawing/2014/main" id="{00000000-0008-0000-5900-00001E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7905695" name="Check Box 31" hidden="1">
              <a:extLst>
                <a:ext uri="{63B3BB69-23CF-44E3-9099-C40C66FF867C}">
                  <a14:compatExt spid="_x0000_s17905695"/>
                </a:ext>
                <a:ext uri="{FF2B5EF4-FFF2-40B4-BE49-F238E27FC236}">
                  <a16:creationId xmlns:a16="http://schemas.microsoft.com/office/drawing/2014/main" id="{00000000-0008-0000-5900-00001F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7905696" name="Check Box 32" hidden="1">
              <a:extLst>
                <a:ext uri="{63B3BB69-23CF-44E3-9099-C40C66FF867C}">
                  <a14:compatExt spid="_x0000_s17905696"/>
                </a:ext>
                <a:ext uri="{FF2B5EF4-FFF2-40B4-BE49-F238E27FC236}">
                  <a16:creationId xmlns:a16="http://schemas.microsoft.com/office/drawing/2014/main" id="{00000000-0008-0000-5900-000020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7905697" name="Check Box 33" hidden="1">
              <a:extLst>
                <a:ext uri="{63B3BB69-23CF-44E3-9099-C40C66FF867C}">
                  <a14:compatExt spid="_x0000_s17905697"/>
                </a:ext>
                <a:ext uri="{FF2B5EF4-FFF2-40B4-BE49-F238E27FC236}">
                  <a16:creationId xmlns:a16="http://schemas.microsoft.com/office/drawing/2014/main" id="{00000000-0008-0000-5900-000021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7905698" name="Check Box 34" hidden="1">
              <a:extLst>
                <a:ext uri="{63B3BB69-23CF-44E3-9099-C40C66FF867C}">
                  <a14:compatExt spid="_x0000_s17905698"/>
                </a:ext>
                <a:ext uri="{FF2B5EF4-FFF2-40B4-BE49-F238E27FC236}">
                  <a16:creationId xmlns:a16="http://schemas.microsoft.com/office/drawing/2014/main" id="{00000000-0008-0000-5900-000022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7905699" name="Check Box 35" hidden="1">
              <a:extLst>
                <a:ext uri="{63B3BB69-23CF-44E3-9099-C40C66FF867C}">
                  <a14:compatExt spid="_x0000_s17905699"/>
                </a:ext>
                <a:ext uri="{FF2B5EF4-FFF2-40B4-BE49-F238E27FC236}">
                  <a16:creationId xmlns:a16="http://schemas.microsoft.com/office/drawing/2014/main" id="{00000000-0008-0000-5900-000023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7905700" name="Check Box 36" hidden="1">
              <a:extLst>
                <a:ext uri="{63B3BB69-23CF-44E3-9099-C40C66FF867C}">
                  <a14:compatExt spid="_x0000_s17905700"/>
                </a:ext>
                <a:ext uri="{FF2B5EF4-FFF2-40B4-BE49-F238E27FC236}">
                  <a16:creationId xmlns:a16="http://schemas.microsoft.com/office/drawing/2014/main" id="{00000000-0008-0000-5900-000024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7905701" name="Check Box 37" hidden="1">
              <a:extLst>
                <a:ext uri="{63B3BB69-23CF-44E3-9099-C40C66FF867C}">
                  <a14:compatExt spid="_x0000_s17905701"/>
                </a:ext>
                <a:ext uri="{FF2B5EF4-FFF2-40B4-BE49-F238E27FC236}">
                  <a16:creationId xmlns:a16="http://schemas.microsoft.com/office/drawing/2014/main" id="{00000000-0008-0000-5900-000025381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89.xml><?xml version="1.0" encoding="utf-8"?>
<xdr:wsDr xmlns:xdr="http://schemas.openxmlformats.org/drawingml/2006/spreadsheetDrawing" xmlns:a="http://schemas.openxmlformats.org/drawingml/2006/main">
  <xdr:twoCellAnchor>
    <xdr:from>
      <xdr:col>0</xdr:col>
      <xdr:colOff>28574</xdr:colOff>
      <xdr:row>9</xdr:row>
      <xdr:rowOff>28576</xdr:rowOff>
    </xdr:from>
    <xdr:to>
      <xdr:col>8</xdr:col>
      <xdr:colOff>866775</xdr:colOff>
      <xdr:row>19</xdr:row>
      <xdr:rowOff>142876</xdr:rowOff>
    </xdr:to>
    <xdr:sp macro="" textlink="">
      <xdr:nvSpPr>
        <xdr:cNvPr id="2" name="TextBox 1">
          <a:extLst>
            <a:ext uri="{FF2B5EF4-FFF2-40B4-BE49-F238E27FC236}">
              <a16:creationId xmlns:a16="http://schemas.microsoft.com/office/drawing/2014/main" id="{66392415-114C-492B-A5E5-ACFD875B2A04}"/>
            </a:ext>
          </a:extLst>
        </xdr:cNvPr>
        <xdr:cNvSpPr txBox="1"/>
      </xdr:nvSpPr>
      <xdr:spPr>
        <a:xfrm>
          <a:off x="28574" y="1781176"/>
          <a:ext cx="5715001" cy="201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chemeClr val="dk1"/>
              </a:solidFill>
              <a:latin typeface="+mn-lt"/>
              <a:ea typeface="+mn-ea"/>
              <a:cs typeface="+mn-cs"/>
            </a:rPr>
            <a:t>1. Confirm registered builder or owner builder job (OB cert or insurance and contract required).</a:t>
          </a:r>
        </a:p>
        <a:p>
          <a:r>
            <a:rPr lang="en-AU" sz="800" b="0" i="0" u="none" strike="noStrike" baseline="0">
              <a:solidFill>
                <a:schemeClr val="accent4"/>
              </a:solidFill>
              <a:latin typeface="+mn-lt"/>
              <a:ea typeface="+mn-ea"/>
              <a:cs typeface="+mn-cs"/>
            </a:rPr>
            <a:t>2. Provide DA approval - as per MCP 3B. (note required as proposal is closer to boundaries than allowed)</a:t>
          </a:r>
        </a:p>
        <a:p>
          <a:r>
            <a:rPr lang="en-AU" sz="800" b="1" i="0" u="none" strike="noStrike" baseline="0">
              <a:solidFill>
                <a:schemeClr val="dk1"/>
              </a:solidFill>
              <a:latin typeface="+mn-lt"/>
              <a:ea typeface="+mn-ea"/>
              <a:cs typeface="+mn-cs"/>
            </a:rPr>
            <a:t>RFI Checklist</a:t>
          </a:r>
        </a:p>
        <a:p>
          <a:r>
            <a:rPr lang="en-AU" sz="800" b="0" i="0" u="none" strike="noStrike" baseline="0">
              <a:solidFill>
                <a:srgbClr val="00B050"/>
              </a:solidFill>
              <a:latin typeface="+mn-lt"/>
              <a:ea typeface="+mn-ea"/>
              <a:cs typeface="+mn-cs"/>
            </a:rPr>
            <a:t>3. Provide completed building surveyor appointment form.</a:t>
          </a:r>
        </a:p>
        <a:p>
          <a:r>
            <a:rPr lang="en-AU" sz="800" b="0" i="0" u="none" strike="noStrike" baseline="0">
              <a:solidFill>
                <a:srgbClr val="00B050"/>
              </a:solidFill>
              <a:latin typeface="+mn-lt"/>
              <a:ea typeface="+mn-ea"/>
              <a:cs typeface="+mn-cs"/>
            </a:rPr>
            <a:t>4. Statement of Use response letter to be completed by owner and returned.</a:t>
          </a:r>
        </a:p>
        <a:p>
          <a:r>
            <a:rPr lang="en-AU" sz="800" b="0" i="0" u="none" strike="noStrike" baseline="0">
              <a:solidFill>
                <a:srgbClr val="00B050"/>
              </a:solidFill>
              <a:latin typeface="+mn-lt"/>
              <a:ea typeface="+mn-ea"/>
              <a:cs typeface="+mn-cs"/>
            </a:rPr>
            <a:t>5. Provide of ASIC statement - indicating your client as an owner/director of company as noted on title</a:t>
          </a:r>
        </a:p>
        <a:p>
          <a:r>
            <a:rPr lang="en-AU" sz="800" b="0" i="0" u="none" strike="noStrike" baseline="0">
              <a:solidFill>
                <a:schemeClr val="dk1"/>
              </a:solidFill>
              <a:latin typeface="+mn-lt"/>
              <a:ea typeface="+mn-ea"/>
              <a:cs typeface="+mn-cs"/>
            </a:rPr>
            <a:t>6. Provide elevations for proposed works. (elevations provided do not indicate apex height to assess</a:t>
          </a:r>
        </a:p>
        <a:p>
          <a:r>
            <a:rPr lang="en-AU" sz="800" b="0" i="0" u="none" strike="noStrike" baseline="0">
              <a:solidFill>
                <a:schemeClr val="dk1"/>
              </a:solidFill>
              <a:latin typeface="+mn-lt"/>
              <a:ea typeface="+mn-ea"/>
              <a:cs typeface="+mn-cs"/>
            </a:rPr>
            <a:t>offset requirements).</a:t>
          </a:r>
        </a:p>
        <a:p>
          <a:r>
            <a:rPr lang="en-AU" sz="800" b="0" i="0" u="none" strike="noStrike" baseline="0">
              <a:solidFill>
                <a:schemeClr val="dk1"/>
              </a:solidFill>
              <a:latin typeface="+mn-lt"/>
              <a:ea typeface="+mn-ea"/>
              <a:cs typeface="+mn-cs"/>
            </a:rPr>
            <a:t>7. Provide engineering documents.</a:t>
          </a:r>
        </a:p>
        <a:p>
          <a:r>
            <a:rPr lang="en-AU" sz="800" b="0" i="0" u="none" strike="noStrike" baseline="0">
              <a:solidFill>
                <a:schemeClr val="dk1"/>
              </a:solidFill>
              <a:latin typeface="+mn-lt"/>
              <a:ea typeface="+mn-ea"/>
              <a:cs typeface="+mn-cs"/>
            </a:rPr>
            <a:t>8. Provide engineers certificate of compliance Reg. 126 with Michael Harvey noted as the RBS.</a:t>
          </a:r>
        </a:p>
        <a:p>
          <a:r>
            <a:rPr lang="en-AU" sz="800" b="0" i="0" u="none" strike="noStrike" baseline="0">
              <a:solidFill>
                <a:schemeClr val="dk1"/>
              </a:solidFill>
              <a:latin typeface="+mn-lt"/>
              <a:ea typeface="+mn-ea"/>
              <a:cs typeface="+mn-cs"/>
            </a:rPr>
            <a:t>9. Provide LPOD (legal point of stormwater discharge) form council building department.</a:t>
          </a:r>
          <a:endParaRPr lang="en-AU" sz="8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50A8039-F243-4BD9-890F-922E4D19657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7654785" name="Check Box 1" hidden="1">
              <a:extLst>
                <a:ext uri="{63B3BB69-23CF-44E3-9099-C40C66FF867C}">
                  <a14:compatExt spid="_x0000_s17654785"/>
                </a:ext>
                <a:ext uri="{FF2B5EF4-FFF2-40B4-BE49-F238E27FC236}">
                  <a16:creationId xmlns:a16="http://schemas.microsoft.com/office/drawing/2014/main" id="{00000000-0008-0000-5A00-000001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7654786" name="Check Box 2" hidden="1">
              <a:extLst>
                <a:ext uri="{63B3BB69-23CF-44E3-9099-C40C66FF867C}">
                  <a14:compatExt spid="_x0000_s17654786"/>
                </a:ext>
                <a:ext uri="{FF2B5EF4-FFF2-40B4-BE49-F238E27FC236}">
                  <a16:creationId xmlns:a16="http://schemas.microsoft.com/office/drawing/2014/main" id="{00000000-0008-0000-5A00-000002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7654787" name="Check Box 3" hidden="1">
              <a:extLst>
                <a:ext uri="{63B3BB69-23CF-44E3-9099-C40C66FF867C}">
                  <a14:compatExt spid="_x0000_s17654787"/>
                </a:ext>
                <a:ext uri="{FF2B5EF4-FFF2-40B4-BE49-F238E27FC236}">
                  <a16:creationId xmlns:a16="http://schemas.microsoft.com/office/drawing/2014/main" id="{00000000-0008-0000-5A00-000003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7654788" name="Check Box 4" hidden="1">
              <a:extLst>
                <a:ext uri="{63B3BB69-23CF-44E3-9099-C40C66FF867C}">
                  <a14:compatExt spid="_x0000_s17654788"/>
                </a:ext>
                <a:ext uri="{FF2B5EF4-FFF2-40B4-BE49-F238E27FC236}">
                  <a16:creationId xmlns:a16="http://schemas.microsoft.com/office/drawing/2014/main" id="{00000000-0008-0000-5A00-000004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7654789" name="Check Box 5" hidden="1">
              <a:extLst>
                <a:ext uri="{63B3BB69-23CF-44E3-9099-C40C66FF867C}">
                  <a14:compatExt spid="_x0000_s17654789"/>
                </a:ext>
                <a:ext uri="{FF2B5EF4-FFF2-40B4-BE49-F238E27FC236}">
                  <a16:creationId xmlns:a16="http://schemas.microsoft.com/office/drawing/2014/main" id="{00000000-0008-0000-5A00-000005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7654790" name="Check Box 6" hidden="1">
              <a:extLst>
                <a:ext uri="{63B3BB69-23CF-44E3-9099-C40C66FF867C}">
                  <a14:compatExt spid="_x0000_s17654790"/>
                </a:ext>
                <a:ext uri="{FF2B5EF4-FFF2-40B4-BE49-F238E27FC236}">
                  <a16:creationId xmlns:a16="http://schemas.microsoft.com/office/drawing/2014/main" id="{00000000-0008-0000-5A00-000006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7654791" name="Check Box 7" hidden="1">
              <a:extLst>
                <a:ext uri="{63B3BB69-23CF-44E3-9099-C40C66FF867C}">
                  <a14:compatExt spid="_x0000_s17654791"/>
                </a:ext>
                <a:ext uri="{FF2B5EF4-FFF2-40B4-BE49-F238E27FC236}">
                  <a16:creationId xmlns:a16="http://schemas.microsoft.com/office/drawing/2014/main" id="{00000000-0008-0000-5A00-000007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7654792" name="Button 8" hidden="1">
              <a:extLst>
                <a:ext uri="{63B3BB69-23CF-44E3-9099-C40C66FF867C}">
                  <a14:compatExt spid="_x0000_s17654792"/>
                </a:ext>
                <a:ext uri="{FF2B5EF4-FFF2-40B4-BE49-F238E27FC236}">
                  <a16:creationId xmlns:a16="http://schemas.microsoft.com/office/drawing/2014/main" id="{00000000-0008-0000-5A00-000008640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7654793" name="Button 9" hidden="1">
              <a:extLst>
                <a:ext uri="{63B3BB69-23CF-44E3-9099-C40C66FF867C}">
                  <a14:compatExt spid="_x0000_s17654793"/>
                </a:ext>
                <a:ext uri="{FF2B5EF4-FFF2-40B4-BE49-F238E27FC236}">
                  <a16:creationId xmlns:a16="http://schemas.microsoft.com/office/drawing/2014/main" id="{00000000-0008-0000-5A00-000009640D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7654794" name="Check Box 10" hidden="1">
              <a:extLst>
                <a:ext uri="{63B3BB69-23CF-44E3-9099-C40C66FF867C}">
                  <a14:compatExt spid="_x0000_s17654794"/>
                </a:ext>
                <a:ext uri="{FF2B5EF4-FFF2-40B4-BE49-F238E27FC236}">
                  <a16:creationId xmlns:a16="http://schemas.microsoft.com/office/drawing/2014/main" id="{00000000-0008-0000-5A00-00000A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7654795" name="Button 11" hidden="1">
              <a:extLst>
                <a:ext uri="{63B3BB69-23CF-44E3-9099-C40C66FF867C}">
                  <a14:compatExt spid="_x0000_s17654795"/>
                </a:ext>
                <a:ext uri="{FF2B5EF4-FFF2-40B4-BE49-F238E27FC236}">
                  <a16:creationId xmlns:a16="http://schemas.microsoft.com/office/drawing/2014/main" id="{00000000-0008-0000-5A00-00000B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7654796" name="Button 12" hidden="1">
              <a:extLst>
                <a:ext uri="{63B3BB69-23CF-44E3-9099-C40C66FF867C}">
                  <a14:compatExt spid="_x0000_s17654796"/>
                </a:ext>
                <a:ext uri="{FF2B5EF4-FFF2-40B4-BE49-F238E27FC236}">
                  <a16:creationId xmlns:a16="http://schemas.microsoft.com/office/drawing/2014/main" id="{00000000-0008-0000-5A00-00000C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7654797" name="Button 13" hidden="1">
              <a:extLst>
                <a:ext uri="{63B3BB69-23CF-44E3-9099-C40C66FF867C}">
                  <a14:compatExt spid="_x0000_s17654797"/>
                </a:ext>
                <a:ext uri="{FF2B5EF4-FFF2-40B4-BE49-F238E27FC236}">
                  <a16:creationId xmlns:a16="http://schemas.microsoft.com/office/drawing/2014/main" id="{00000000-0008-0000-5A00-00000D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7654798" name="Button 14" hidden="1">
              <a:extLst>
                <a:ext uri="{63B3BB69-23CF-44E3-9099-C40C66FF867C}">
                  <a14:compatExt spid="_x0000_s17654798"/>
                </a:ext>
                <a:ext uri="{FF2B5EF4-FFF2-40B4-BE49-F238E27FC236}">
                  <a16:creationId xmlns:a16="http://schemas.microsoft.com/office/drawing/2014/main" id="{00000000-0008-0000-5A00-00000E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7654799" name="Check Box 15" hidden="1">
              <a:extLst>
                <a:ext uri="{63B3BB69-23CF-44E3-9099-C40C66FF867C}">
                  <a14:compatExt spid="_x0000_s17654799"/>
                </a:ext>
                <a:ext uri="{FF2B5EF4-FFF2-40B4-BE49-F238E27FC236}">
                  <a16:creationId xmlns:a16="http://schemas.microsoft.com/office/drawing/2014/main" id="{00000000-0008-0000-5A00-00000F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7654800" name="Check Box 16" hidden="1">
              <a:extLst>
                <a:ext uri="{63B3BB69-23CF-44E3-9099-C40C66FF867C}">
                  <a14:compatExt spid="_x0000_s17654800"/>
                </a:ext>
                <a:ext uri="{FF2B5EF4-FFF2-40B4-BE49-F238E27FC236}">
                  <a16:creationId xmlns:a16="http://schemas.microsoft.com/office/drawing/2014/main" id="{00000000-0008-0000-5A00-000010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7654801" name="Check Box 17" hidden="1">
              <a:extLst>
                <a:ext uri="{63B3BB69-23CF-44E3-9099-C40C66FF867C}">
                  <a14:compatExt spid="_x0000_s17654801"/>
                </a:ext>
                <a:ext uri="{FF2B5EF4-FFF2-40B4-BE49-F238E27FC236}">
                  <a16:creationId xmlns:a16="http://schemas.microsoft.com/office/drawing/2014/main" id="{00000000-0008-0000-5A00-000011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7654802" name="Check Box 18" hidden="1">
              <a:extLst>
                <a:ext uri="{63B3BB69-23CF-44E3-9099-C40C66FF867C}">
                  <a14:compatExt spid="_x0000_s17654802"/>
                </a:ext>
                <a:ext uri="{FF2B5EF4-FFF2-40B4-BE49-F238E27FC236}">
                  <a16:creationId xmlns:a16="http://schemas.microsoft.com/office/drawing/2014/main" id="{00000000-0008-0000-5A00-000012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7654803" name="Check Box 19" hidden="1">
              <a:extLst>
                <a:ext uri="{63B3BB69-23CF-44E3-9099-C40C66FF867C}">
                  <a14:compatExt spid="_x0000_s17654803"/>
                </a:ext>
                <a:ext uri="{FF2B5EF4-FFF2-40B4-BE49-F238E27FC236}">
                  <a16:creationId xmlns:a16="http://schemas.microsoft.com/office/drawing/2014/main" id="{00000000-0008-0000-5A00-000013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7654804" name="Check Box 20" hidden="1">
              <a:extLst>
                <a:ext uri="{63B3BB69-23CF-44E3-9099-C40C66FF867C}">
                  <a14:compatExt spid="_x0000_s17654804"/>
                </a:ext>
                <a:ext uri="{FF2B5EF4-FFF2-40B4-BE49-F238E27FC236}">
                  <a16:creationId xmlns:a16="http://schemas.microsoft.com/office/drawing/2014/main" id="{00000000-0008-0000-5A00-000014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7654805" name="Check Box 21" hidden="1">
              <a:extLst>
                <a:ext uri="{63B3BB69-23CF-44E3-9099-C40C66FF867C}">
                  <a14:compatExt spid="_x0000_s17654805"/>
                </a:ext>
                <a:ext uri="{FF2B5EF4-FFF2-40B4-BE49-F238E27FC236}">
                  <a16:creationId xmlns:a16="http://schemas.microsoft.com/office/drawing/2014/main" id="{00000000-0008-0000-5A00-000015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7654806" name="Check Box 22" hidden="1">
              <a:extLst>
                <a:ext uri="{63B3BB69-23CF-44E3-9099-C40C66FF867C}">
                  <a14:compatExt spid="_x0000_s17654806"/>
                </a:ext>
                <a:ext uri="{FF2B5EF4-FFF2-40B4-BE49-F238E27FC236}">
                  <a16:creationId xmlns:a16="http://schemas.microsoft.com/office/drawing/2014/main" id="{00000000-0008-0000-5A00-000016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7654807" name="Check Box 23" hidden="1">
              <a:extLst>
                <a:ext uri="{63B3BB69-23CF-44E3-9099-C40C66FF867C}">
                  <a14:compatExt spid="_x0000_s17654807"/>
                </a:ext>
                <a:ext uri="{FF2B5EF4-FFF2-40B4-BE49-F238E27FC236}">
                  <a16:creationId xmlns:a16="http://schemas.microsoft.com/office/drawing/2014/main" id="{00000000-0008-0000-5A00-000017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7654808" name="Check Box 24" hidden="1">
              <a:extLst>
                <a:ext uri="{63B3BB69-23CF-44E3-9099-C40C66FF867C}">
                  <a14:compatExt spid="_x0000_s17654808"/>
                </a:ext>
                <a:ext uri="{FF2B5EF4-FFF2-40B4-BE49-F238E27FC236}">
                  <a16:creationId xmlns:a16="http://schemas.microsoft.com/office/drawing/2014/main" id="{00000000-0008-0000-5A00-000018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7654809" name="Check Box 25" hidden="1">
              <a:extLst>
                <a:ext uri="{63B3BB69-23CF-44E3-9099-C40C66FF867C}">
                  <a14:compatExt spid="_x0000_s17654809"/>
                </a:ext>
                <a:ext uri="{FF2B5EF4-FFF2-40B4-BE49-F238E27FC236}">
                  <a16:creationId xmlns:a16="http://schemas.microsoft.com/office/drawing/2014/main" id="{00000000-0008-0000-5A00-000019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7654810" name="Check Box 26" hidden="1">
              <a:extLst>
                <a:ext uri="{63B3BB69-23CF-44E3-9099-C40C66FF867C}">
                  <a14:compatExt spid="_x0000_s17654810"/>
                </a:ext>
                <a:ext uri="{FF2B5EF4-FFF2-40B4-BE49-F238E27FC236}">
                  <a16:creationId xmlns:a16="http://schemas.microsoft.com/office/drawing/2014/main" id="{00000000-0008-0000-5A00-00001A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654811" name="Check Box 27" hidden="1">
              <a:extLst>
                <a:ext uri="{63B3BB69-23CF-44E3-9099-C40C66FF867C}">
                  <a14:compatExt spid="_x0000_s17654811"/>
                </a:ext>
                <a:ext uri="{FF2B5EF4-FFF2-40B4-BE49-F238E27FC236}">
                  <a16:creationId xmlns:a16="http://schemas.microsoft.com/office/drawing/2014/main" id="{00000000-0008-0000-5A00-00001B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7654812" name="Button 28" hidden="1">
              <a:extLst>
                <a:ext uri="{63B3BB69-23CF-44E3-9099-C40C66FF867C}">
                  <a14:compatExt spid="_x0000_s17654812"/>
                </a:ext>
                <a:ext uri="{FF2B5EF4-FFF2-40B4-BE49-F238E27FC236}">
                  <a16:creationId xmlns:a16="http://schemas.microsoft.com/office/drawing/2014/main" id="{00000000-0008-0000-5A00-00001C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7654813" name="Button 29" hidden="1">
              <a:extLst>
                <a:ext uri="{63B3BB69-23CF-44E3-9099-C40C66FF867C}">
                  <a14:compatExt spid="_x0000_s17654813"/>
                </a:ext>
                <a:ext uri="{FF2B5EF4-FFF2-40B4-BE49-F238E27FC236}">
                  <a16:creationId xmlns:a16="http://schemas.microsoft.com/office/drawing/2014/main" id="{00000000-0008-0000-5A00-00001D640D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7654814" name="Check Box 30" hidden="1">
              <a:extLst>
                <a:ext uri="{63B3BB69-23CF-44E3-9099-C40C66FF867C}">
                  <a14:compatExt spid="_x0000_s17654814"/>
                </a:ext>
                <a:ext uri="{FF2B5EF4-FFF2-40B4-BE49-F238E27FC236}">
                  <a16:creationId xmlns:a16="http://schemas.microsoft.com/office/drawing/2014/main" id="{00000000-0008-0000-5A00-00001E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7654815" name="Check Box 31" hidden="1">
              <a:extLst>
                <a:ext uri="{63B3BB69-23CF-44E3-9099-C40C66FF867C}">
                  <a14:compatExt spid="_x0000_s17654815"/>
                </a:ext>
                <a:ext uri="{FF2B5EF4-FFF2-40B4-BE49-F238E27FC236}">
                  <a16:creationId xmlns:a16="http://schemas.microsoft.com/office/drawing/2014/main" id="{00000000-0008-0000-5A00-00001F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7654816" name="Check Box 32" hidden="1">
              <a:extLst>
                <a:ext uri="{63B3BB69-23CF-44E3-9099-C40C66FF867C}">
                  <a14:compatExt spid="_x0000_s17654816"/>
                </a:ext>
                <a:ext uri="{FF2B5EF4-FFF2-40B4-BE49-F238E27FC236}">
                  <a16:creationId xmlns:a16="http://schemas.microsoft.com/office/drawing/2014/main" id="{00000000-0008-0000-5A00-000020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7654817" name="Check Box 33" hidden="1">
              <a:extLst>
                <a:ext uri="{63B3BB69-23CF-44E3-9099-C40C66FF867C}">
                  <a14:compatExt spid="_x0000_s17654817"/>
                </a:ext>
                <a:ext uri="{FF2B5EF4-FFF2-40B4-BE49-F238E27FC236}">
                  <a16:creationId xmlns:a16="http://schemas.microsoft.com/office/drawing/2014/main" id="{00000000-0008-0000-5A00-000021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7654818" name="Check Box 34" hidden="1">
              <a:extLst>
                <a:ext uri="{63B3BB69-23CF-44E3-9099-C40C66FF867C}">
                  <a14:compatExt spid="_x0000_s17654818"/>
                </a:ext>
                <a:ext uri="{FF2B5EF4-FFF2-40B4-BE49-F238E27FC236}">
                  <a16:creationId xmlns:a16="http://schemas.microsoft.com/office/drawing/2014/main" id="{00000000-0008-0000-5A00-000022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7654819" name="Check Box 35" hidden="1">
              <a:extLst>
                <a:ext uri="{63B3BB69-23CF-44E3-9099-C40C66FF867C}">
                  <a14:compatExt spid="_x0000_s17654819"/>
                </a:ext>
                <a:ext uri="{FF2B5EF4-FFF2-40B4-BE49-F238E27FC236}">
                  <a16:creationId xmlns:a16="http://schemas.microsoft.com/office/drawing/2014/main" id="{00000000-0008-0000-5A00-000023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7654820" name="Check Box 36" hidden="1">
              <a:extLst>
                <a:ext uri="{63B3BB69-23CF-44E3-9099-C40C66FF867C}">
                  <a14:compatExt spid="_x0000_s17654820"/>
                </a:ext>
                <a:ext uri="{FF2B5EF4-FFF2-40B4-BE49-F238E27FC236}">
                  <a16:creationId xmlns:a16="http://schemas.microsoft.com/office/drawing/2014/main" id="{00000000-0008-0000-5A00-000024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7654821" name="Check Box 37" hidden="1">
              <a:extLst>
                <a:ext uri="{63B3BB69-23CF-44E3-9099-C40C66FF867C}">
                  <a14:compatExt spid="_x0000_s17654821"/>
                </a:ext>
                <a:ext uri="{FF2B5EF4-FFF2-40B4-BE49-F238E27FC236}">
                  <a16:creationId xmlns:a16="http://schemas.microsoft.com/office/drawing/2014/main" id="{00000000-0008-0000-5A00-000025640D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E8712307-871E-4C9C-9818-93162941A7D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163BFFD5-4DCD-45D6-9DB7-89199BC19A0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7022977" name="Check Box 1" hidden="1">
              <a:extLst>
                <a:ext uri="{63B3BB69-23CF-44E3-9099-C40C66FF867C}">
                  <a14:compatExt spid="_x0000_s17022977"/>
                </a:ext>
                <a:ext uri="{FF2B5EF4-FFF2-40B4-BE49-F238E27FC236}">
                  <a16:creationId xmlns:a16="http://schemas.microsoft.com/office/drawing/2014/main" id="{00000000-0008-0000-5B00-000001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7022978" name="Check Box 2" hidden="1">
              <a:extLst>
                <a:ext uri="{63B3BB69-23CF-44E3-9099-C40C66FF867C}">
                  <a14:compatExt spid="_x0000_s17022978"/>
                </a:ext>
                <a:ext uri="{FF2B5EF4-FFF2-40B4-BE49-F238E27FC236}">
                  <a16:creationId xmlns:a16="http://schemas.microsoft.com/office/drawing/2014/main" id="{00000000-0008-0000-5B00-000002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7022979" name="Check Box 3" hidden="1">
              <a:extLst>
                <a:ext uri="{63B3BB69-23CF-44E3-9099-C40C66FF867C}">
                  <a14:compatExt spid="_x0000_s17022979"/>
                </a:ext>
                <a:ext uri="{FF2B5EF4-FFF2-40B4-BE49-F238E27FC236}">
                  <a16:creationId xmlns:a16="http://schemas.microsoft.com/office/drawing/2014/main" id="{00000000-0008-0000-5B00-000003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7022980" name="Check Box 4" hidden="1">
              <a:extLst>
                <a:ext uri="{63B3BB69-23CF-44E3-9099-C40C66FF867C}">
                  <a14:compatExt spid="_x0000_s17022980"/>
                </a:ext>
                <a:ext uri="{FF2B5EF4-FFF2-40B4-BE49-F238E27FC236}">
                  <a16:creationId xmlns:a16="http://schemas.microsoft.com/office/drawing/2014/main" id="{00000000-0008-0000-5B00-000004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7022981" name="Check Box 5" hidden="1">
              <a:extLst>
                <a:ext uri="{63B3BB69-23CF-44E3-9099-C40C66FF867C}">
                  <a14:compatExt spid="_x0000_s17022981"/>
                </a:ext>
                <a:ext uri="{FF2B5EF4-FFF2-40B4-BE49-F238E27FC236}">
                  <a16:creationId xmlns:a16="http://schemas.microsoft.com/office/drawing/2014/main" id="{00000000-0008-0000-5B00-000005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7022982" name="Check Box 6" hidden="1">
              <a:extLst>
                <a:ext uri="{63B3BB69-23CF-44E3-9099-C40C66FF867C}">
                  <a14:compatExt spid="_x0000_s17022982"/>
                </a:ext>
                <a:ext uri="{FF2B5EF4-FFF2-40B4-BE49-F238E27FC236}">
                  <a16:creationId xmlns:a16="http://schemas.microsoft.com/office/drawing/2014/main" id="{00000000-0008-0000-5B00-000006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7022983" name="Check Box 7" hidden="1">
              <a:extLst>
                <a:ext uri="{63B3BB69-23CF-44E3-9099-C40C66FF867C}">
                  <a14:compatExt spid="_x0000_s17022983"/>
                </a:ext>
                <a:ext uri="{FF2B5EF4-FFF2-40B4-BE49-F238E27FC236}">
                  <a16:creationId xmlns:a16="http://schemas.microsoft.com/office/drawing/2014/main" id="{00000000-0008-0000-5B00-000007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7022984" name="Button 8" hidden="1">
              <a:extLst>
                <a:ext uri="{63B3BB69-23CF-44E3-9099-C40C66FF867C}">
                  <a14:compatExt spid="_x0000_s17022984"/>
                </a:ext>
                <a:ext uri="{FF2B5EF4-FFF2-40B4-BE49-F238E27FC236}">
                  <a16:creationId xmlns:a16="http://schemas.microsoft.com/office/drawing/2014/main" id="{00000000-0008-0000-5B00-000008C00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7022985" name="Button 9" hidden="1">
              <a:extLst>
                <a:ext uri="{63B3BB69-23CF-44E3-9099-C40C66FF867C}">
                  <a14:compatExt spid="_x0000_s17022985"/>
                </a:ext>
                <a:ext uri="{FF2B5EF4-FFF2-40B4-BE49-F238E27FC236}">
                  <a16:creationId xmlns:a16="http://schemas.microsoft.com/office/drawing/2014/main" id="{00000000-0008-0000-5B00-000009C003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7022986" name="Check Box 10" hidden="1">
              <a:extLst>
                <a:ext uri="{63B3BB69-23CF-44E3-9099-C40C66FF867C}">
                  <a14:compatExt spid="_x0000_s17022986"/>
                </a:ext>
                <a:ext uri="{FF2B5EF4-FFF2-40B4-BE49-F238E27FC236}">
                  <a16:creationId xmlns:a16="http://schemas.microsoft.com/office/drawing/2014/main" id="{00000000-0008-0000-5B00-00000A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7022987" name="Button 11" hidden="1">
              <a:extLst>
                <a:ext uri="{63B3BB69-23CF-44E3-9099-C40C66FF867C}">
                  <a14:compatExt spid="_x0000_s17022987"/>
                </a:ext>
                <a:ext uri="{FF2B5EF4-FFF2-40B4-BE49-F238E27FC236}">
                  <a16:creationId xmlns:a16="http://schemas.microsoft.com/office/drawing/2014/main" id="{00000000-0008-0000-5B00-00000B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7022988" name="Button 12" hidden="1">
              <a:extLst>
                <a:ext uri="{63B3BB69-23CF-44E3-9099-C40C66FF867C}">
                  <a14:compatExt spid="_x0000_s17022988"/>
                </a:ext>
                <a:ext uri="{FF2B5EF4-FFF2-40B4-BE49-F238E27FC236}">
                  <a16:creationId xmlns:a16="http://schemas.microsoft.com/office/drawing/2014/main" id="{00000000-0008-0000-5B00-00000C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7022989" name="Button 13" hidden="1">
              <a:extLst>
                <a:ext uri="{63B3BB69-23CF-44E3-9099-C40C66FF867C}">
                  <a14:compatExt spid="_x0000_s17022989"/>
                </a:ext>
                <a:ext uri="{FF2B5EF4-FFF2-40B4-BE49-F238E27FC236}">
                  <a16:creationId xmlns:a16="http://schemas.microsoft.com/office/drawing/2014/main" id="{00000000-0008-0000-5B00-00000D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7022990" name="Button 14" hidden="1">
              <a:extLst>
                <a:ext uri="{63B3BB69-23CF-44E3-9099-C40C66FF867C}">
                  <a14:compatExt spid="_x0000_s17022990"/>
                </a:ext>
                <a:ext uri="{FF2B5EF4-FFF2-40B4-BE49-F238E27FC236}">
                  <a16:creationId xmlns:a16="http://schemas.microsoft.com/office/drawing/2014/main" id="{00000000-0008-0000-5B00-00000E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7022991" name="Check Box 15" hidden="1">
              <a:extLst>
                <a:ext uri="{63B3BB69-23CF-44E3-9099-C40C66FF867C}">
                  <a14:compatExt spid="_x0000_s17022991"/>
                </a:ext>
                <a:ext uri="{FF2B5EF4-FFF2-40B4-BE49-F238E27FC236}">
                  <a16:creationId xmlns:a16="http://schemas.microsoft.com/office/drawing/2014/main" id="{00000000-0008-0000-5B00-00000F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7022992" name="Check Box 16" hidden="1">
              <a:extLst>
                <a:ext uri="{63B3BB69-23CF-44E3-9099-C40C66FF867C}">
                  <a14:compatExt spid="_x0000_s17022992"/>
                </a:ext>
                <a:ext uri="{FF2B5EF4-FFF2-40B4-BE49-F238E27FC236}">
                  <a16:creationId xmlns:a16="http://schemas.microsoft.com/office/drawing/2014/main" id="{00000000-0008-0000-5B00-000010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7022993" name="Check Box 17" hidden="1">
              <a:extLst>
                <a:ext uri="{63B3BB69-23CF-44E3-9099-C40C66FF867C}">
                  <a14:compatExt spid="_x0000_s17022993"/>
                </a:ext>
                <a:ext uri="{FF2B5EF4-FFF2-40B4-BE49-F238E27FC236}">
                  <a16:creationId xmlns:a16="http://schemas.microsoft.com/office/drawing/2014/main" id="{00000000-0008-0000-5B00-000011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7022994" name="Check Box 18" hidden="1">
              <a:extLst>
                <a:ext uri="{63B3BB69-23CF-44E3-9099-C40C66FF867C}">
                  <a14:compatExt spid="_x0000_s17022994"/>
                </a:ext>
                <a:ext uri="{FF2B5EF4-FFF2-40B4-BE49-F238E27FC236}">
                  <a16:creationId xmlns:a16="http://schemas.microsoft.com/office/drawing/2014/main" id="{00000000-0008-0000-5B00-000012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7022995" name="Check Box 19" hidden="1">
              <a:extLst>
                <a:ext uri="{63B3BB69-23CF-44E3-9099-C40C66FF867C}">
                  <a14:compatExt spid="_x0000_s17022995"/>
                </a:ext>
                <a:ext uri="{FF2B5EF4-FFF2-40B4-BE49-F238E27FC236}">
                  <a16:creationId xmlns:a16="http://schemas.microsoft.com/office/drawing/2014/main" id="{00000000-0008-0000-5B00-000013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7022996" name="Check Box 20" hidden="1">
              <a:extLst>
                <a:ext uri="{63B3BB69-23CF-44E3-9099-C40C66FF867C}">
                  <a14:compatExt spid="_x0000_s17022996"/>
                </a:ext>
                <a:ext uri="{FF2B5EF4-FFF2-40B4-BE49-F238E27FC236}">
                  <a16:creationId xmlns:a16="http://schemas.microsoft.com/office/drawing/2014/main" id="{00000000-0008-0000-5B00-000014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7022997" name="Check Box 21" hidden="1">
              <a:extLst>
                <a:ext uri="{63B3BB69-23CF-44E3-9099-C40C66FF867C}">
                  <a14:compatExt spid="_x0000_s17022997"/>
                </a:ext>
                <a:ext uri="{FF2B5EF4-FFF2-40B4-BE49-F238E27FC236}">
                  <a16:creationId xmlns:a16="http://schemas.microsoft.com/office/drawing/2014/main" id="{00000000-0008-0000-5B00-000015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7022998" name="Check Box 22" hidden="1">
              <a:extLst>
                <a:ext uri="{63B3BB69-23CF-44E3-9099-C40C66FF867C}">
                  <a14:compatExt spid="_x0000_s17022998"/>
                </a:ext>
                <a:ext uri="{FF2B5EF4-FFF2-40B4-BE49-F238E27FC236}">
                  <a16:creationId xmlns:a16="http://schemas.microsoft.com/office/drawing/2014/main" id="{00000000-0008-0000-5B00-000016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7022999" name="Check Box 23" hidden="1">
              <a:extLst>
                <a:ext uri="{63B3BB69-23CF-44E3-9099-C40C66FF867C}">
                  <a14:compatExt spid="_x0000_s17022999"/>
                </a:ext>
                <a:ext uri="{FF2B5EF4-FFF2-40B4-BE49-F238E27FC236}">
                  <a16:creationId xmlns:a16="http://schemas.microsoft.com/office/drawing/2014/main" id="{00000000-0008-0000-5B00-000017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7023000" name="Check Box 24" hidden="1">
              <a:extLst>
                <a:ext uri="{63B3BB69-23CF-44E3-9099-C40C66FF867C}">
                  <a14:compatExt spid="_x0000_s17023000"/>
                </a:ext>
                <a:ext uri="{FF2B5EF4-FFF2-40B4-BE49-F238E27FC236}">
                  <a16:creationId xmlns:a16="http://schemas.microsoft.com/office/drawing/2014/main" id="{00000000-0008-0000-5B00-000018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7023001" name="Check Box 25" hidden="1">
              <a:extLst>
                <a:ext uri="{63B3BB69-23CF-44E3-9099-C40C66FF867C}">
                  <a14:compatExt spid="_x0000_s17023001"/>
                </a:ext>
                <a:ext uri="{FF2B5EF4-FFF2-40B4-BE49-F238E27FC236}">
                  <a16:creationId xmlns:a16="http://schemas.microsoft.com/office/drawing/2014/main" id="{00000000-0008-0000-5B00-000019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7023002" name="Check Box 26" hidden="1">
              <a:extLst>
                <a:ext uri="{63B3BB69-23CF-44E3-9099-C40C66FF867C}">
                  <a14:compatExt spid="_x0000_s17023002"/>
                </a:ext>
                <a:ext uri="{FF2B5EF4-FFF2-40B4-BE49-F238E27FC236}">
                  <a16:creationId xmlns:a16="http://schemas.microsoft.com/office/drawing/2014/main" id="{00000000-0008-0000-5B00-00001A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023003" name="Check Box 27" hidden="1">
              <a:extLst>
                <a:ext uri="{63B3BB69-23CF-44E3-9099-C40C66FF867C}">
                  <a14:compatExt spid="_x0000_s17023003"/>
                </a:ext>
                <a:ext uri="{FF2B5EF4-FFF2-40B4-BE49-F238E27FC236}">
                  <a16:creationId xmlns:a16="http://schemas.microsoft.com/office/drawing/2014/main" id="{00000000-0008-0000-5B00-00001B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7023004" name="Button 28" hidden="1">
              <a:extLst>
                <a:ext uri="{63B3BB69-23CF-44E3-9099-C40C66FF867C}">
                  <a14:compatExt spid="_x0000_s17023004"/>
                </a:ext>
                <a:ext uri="{FF2B5EF4-FFF2-40B4-BE49-F238E27FC236}">
                  <a16:creationId xmlns:a16="http://schemas.microsoft.com/office/drawing/2014/main" id="{00000000-0008-0000-5B00-00001C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7023005" name="Button 29" hidden="1">
              <a:extLst>
                <a:ext uri="{63B3BB69-23CF-44E3-9099-C40C66FF867C}">
                  <a14:compatExt spid="_x0000_s17023005"/>
                </a:ext>
                <a:ext uri="{FF2B5EF4-FFF2-40B4-BE49-F238E27FC236}">
                  <a16:creationId xmlns:a16="http://schemas.microsoft.com/office/drawing/2014/main" id="{00000000-0008-0000-5B00-00001DC00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7023006" name="Check Box 30" hidden="1">
              <a:extLst>
                <a:ext uri="{63B3BB69-23CF-44E3-9099-C40C66FF867C}">
                  <a14:compatExt spid="_x0000_s17023006"/>
                </a:ext>
                <a:ext uri="{FF2B5EF4-FFF2-40B4-BE49-F238E27FC236}">
                  <a16:creationId xmlns:a16="http://schemas.microsoft.com/office/drawing/2014/main" id="{00000000-0008-0000-5B00-00001E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7023007" name="Check Box 31" hidden="1">
              <a:extLst>
                <a:ext uri="{63B3BB69-23CF-44E3-9099-C40C66FF867C}">
                  <a14:compatExt spid="_x0000_s17023007"/>
                </a:ext>
                <a:ext uri="{FF2B5EF4-FFF2-40B4-BE49-F238E27FC236}">
                  <a16:creationId xmlns:a16="http://schemas.microsoft.com/office/drawing/2014/main" id="{00000000-0008-0000-5B00-00001F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7023008" name="Check Box 32" hidden="1">
              <a:extLst>
                <a:ext uri="{63B3BB69-23CF-44E3-9099-C40C66FF867C}">
                  <a14:compatExt spid="_x0000_s17023008"/>
                </a:ext>
                <a:ext uri="{FF2B5EF4-FFF2-40B4-BE49-F238E27FC236}">
                  <a16:creationId xmlns:a16="http://schemas.microsoft.com/office/drawing/2014/main" id="{00000000-0008-0000-5B00-000020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7023009" name="Check Box 33" hidden="1">
              <a:extLst>
                <a:ext uri="{63B3BB69-23CF-44E3-9099-C40C66FF867C}">
                  <a14:compatExt spid="_x0000_s17023009"/>
                </a:ext>
                <a:ext uri="{FF2B5EF4-FFF2-40B4-BE49-F238E27FC236}">
                  <a16:creationId xmlns:a16="http://schemas.microsoft.com/office/drawing/2014/main" id="{00000000-0008-0000-5B00-000021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7023010" name="Check Box 34" hidden="1">
              <a:extLst>
                <a:ext uri="{63B3BB69-23CF-44E3-9099-C40C66FF867C}">
                  <a14:compatExt spid="_x0000_s17023010"/>
                </a:ext>
                <a:ext uri="{FF2B5EF4-FFF2-40B4-BE49-F238E27FC236}">
                  <a16:creationId xmlns:a16="http://schemas.microsoft.com/office/drawing/2014/main" id="{00000000-0008-0000-5B00-000022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7023011" name="Check Box 35" hidden="1">
              <a:extLst>
                <a:ext uri="{63B3BB69-23CF-44E3-9099-C40C66FF867C}">
                  <a14:compatExt spid="_x0000_s17023011"/>
                </a:ext>
                <a:ext uri="{FF2B5EF4-FFF2-40B4-BE49-F238E27FC236}">
                  <a16:creationId xmlns:a16="http://schemas.microsoft.com/office/drawing/2014/main" id="{00000000-0008-0000-5B00-000023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7023012" name="Check Box 36" hidden="1">
              <a:extLst>
                <a:ext uri="{63B3BB69-23CF-44E3-9099-C40C66FF867C}">
                  <a14:compatExt spid="_x0000_s17023012"/>
                </a:ext>
                <a:ext uri="{FF2B5EF4-FFF2-40B4-BE49-F238E27FC236}">
                  <a16:creationId xmlns:a16="http://schemas.microsoft.com/office/drawing/2014/main" id="{00000000-0008-0000-5B00-000024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7023013" name="Check Box 37" hidden="1">
              <a:extLst>
                <a:ext uri="{63B3BB69-23CF-44E3-9099-C40C66FF867C}">
                  <a14:compatExt spid="_x0000_s17023013"/>
                </a:ext>
                <a:ext uri="{FF2B5EF4-FFF2-40B4-BE49-F238E27FC236}">
                  <a16:creationId xmlns:a16="http://schemas.microsoft.com/office/drawing/2014/main" id="{00000000-0008-0000-5B00-000025C00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A0B6DE63-6DD8-4CA4-8B17-162C915B3CB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93AE0E18-B4EF-4AFE-AF1A-F75AD4D5B38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6776193" name="Check Box 1" hidden="1">
              <a:extLst>
                <a:ext uri="{63B3BB69-23CF-44E3-9099-C40C66FF867C}">
                  <a14:compatExt spid="_x0000_s16776193"/>
                </a:ext>
                <a:ext uri="{FF2B5EF4-FFF2-40B4-BE49-F238E27FC236}">
                  <a16:creationId xmlns:a16="http://schemas.microsoft.com/office/drawing/2014/main" id="{00000000-0008-0000-5C00-000001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6776194" name="Check Box 2" hidden="1">
              <a:extLst>
                <a:ext uri="{63B3BB69-23CF-44E3-9099-C40C66FF867C}">
                  <a14:compatExt spid="_x0000_s16776194"/>
                </a:ext>
                <a:ext uri="{FF2B5EF4-FFF2-40B4-BE49-F238E27FC236}">
                  <a16:creationId xmlns:a16="http://schemas.microsoft.com/office/drawing/2014/main" id="{00000000-0008-0000-5C00-000002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6776195" name="Check Box 3" hidden="1">
              <a:extLst>
                <a:ext uri="{63B3BB69-23CF-44E3-9099-C40C66FF867C}">
                  <a14:compatExt spid="_x0000_s16776195"/>
                </a:ext>
                <a:ext uri="{FF2B5EF4-FFF2-40B4-BE49-F238E27FC236}">
                  <a16:creationId xmlns:a16="http://schemas.microsoft.com/office/drawing/2014/main" id="{00000000-0008-0000-5C00-000003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6776196" name="Check Box 4" hidden="1">
              <a:extLst>
                <a:ext uri="{63B3BB69-23CF-44E3-9099-C40C66FF867C}">
                  <a14:compatExt spid="_x0000_s16776196"/>
                </a:ext>
                <a:ext uri="{FF2B5EF4-FFF2-40B4-BE49-F238E27FC236}">
                  <a16:creationId xmlns:a16="http://schemas.microsoft.com/office/drawing/2014/main" id="{00000000-0008-0000-5C00-000004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6776197" name="Check Box 5" hidden="1">
              <a:extLst>
                <a:ext uri="{63B3BB69-23CF-44E3-9099-C40C66FF867C}">
                  <a14:compatExt spid="_x0000_s16776197"/>
                </a:ext>
                <a:ext uri="{FF2B5EF4-FFF2-40B4-BE49-F238E27FC236}">
                  <a16:creationId xmlns:a16="http://schemas.microsoft.com/office/drawing/2014/main" id="{00000000-0008-0000-5C00-000005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6776198" name="Check Box 6" hidden="1">
              <a:extLst>
                <a:ext uri="{63B3BB69-23CF-44E3-9099-C40C66FF867C}">
                  <a14:compatExt spid="_x0000_s16776198"/>
                </a:ext>
                <a:ext uri="{FF2B5EF4-FFF2-40B4-BE49-F238E27FC236}">
                  <a16:creationId xmlns:a16="http://schemas.microsoft.com/office/drawing/2014/main" id="{00000000-0008-0000-5C00-000006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6776199" name="Check Box 7" hidden="1">
              <a:extLst>
                <a:ext uri="{63B3BB69-23CF-44E3-9099-C40C66FF867C}">
                  <a14:compatExt spid="_x0000_s16776199"/>
                </a:ext>
                <a:ext uri="{FF2B5EF4-FFF2-40B4-BE49-F238E27FC236}">
                  <a16:creationId xmlns:a16="http://schemas.microsoft.com/office/drawing/2014/main" id="{00000000-0008-0000-5C00-000007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6776200" name="Button 8" hidden="1">
              <a:extLst>
                <a:ext uri="{63B3BB69-23CF-44E3-9099-C40C66FF867C}">
                  <a14:compatExt spid="_x0000_s16776200"/>
                </a:ext>
                <a:ext uri="{FF2B5EF4-FFF2-40B4-BE49-F238E27FC236}">
                  <a16:creationId xmlns:a16="http://schemas.microsoft.com/office/drawing/2014/main" id="{00000000-0008-0000-5C00-000008FCF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6776201" name="Button 9" hidden="1">
              <a:extLst>
                <a:ext uri="{63B3BB69-23CF-44E3-9099-C40C66FF867C}">
                  <a14:compatExt spid="_x0000_s16776201"/>
                </a:ext>
                <a:ext uri="{FF2B5EF4-FFF2-40B4-BE49-F238E27FC236}">
                  <a16:creationId xmlns:a16="http://schemas.microsoft.com/office/drawing/2014/main" id="{00000000-0008-0000-5C00-000009FCF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6776202" name="Check Box 10" hidden="1">
              <a:extLst>
                <a:ext uri="{63B3BB69-23CF-44E3-9099-C40C66FF867C}">
                  <a14:compatExt spid="_x0000_s16776202"/>
                </a:ext>
                <a:ext uri="{FF2B5EF4-FFF2-40B4-BE49-F238E27FC236}">
                  <a16:creationId xmlns:a16="http://schemas.microsoft.com/office/drawing/2014/main" id="{00000000-0008-0000-5C00-00000A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6776203" name="Button 11" hidden="1">
              <a:extLst>
                <a:ext uri="{63B3BB69-23CF-44E3-9099-C40C66FF867C}">
                  <a14:compatExt spid="_x0000_s16776203"/>
                </a:ext>
                <a:ext uri="{FF2B5EF4-FFF2-40B4-BE49-F238E27FC236}">
                  <a16:creationId xmlns:a16="http://schemas.microsoft.com/office/drawing/2014/main" id="{00000000-0008-0000-5C00-00000B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6776204" name="Button 12" hidden="1">
              <a:extLst>
                <a:ext uri="{63B3BB69-23CF-44E3-9099-C40C66FF867C}">
                  <a14:compatExt spid="_x0000_s16776204"/>
                </a:ext>
                <a:ext uri="{FF2B5EF4-FFF2-40B4-BE49-F238E27FC236}">
                  <a16:creationId xmlns:a16="http://schemas.microsoft.com/office/drawing/2014/main" id="{00000000-0008-0000-5C00-00000C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6776205" name="Button 13" hidden="1">
              <a:extLst>
                <a:ext uri="{63B3BB69-23CF-44E3-9099-C40C66FF867C}">
                  <a14:compatExt spid="_x0000_s16776205"/>
                </a:ext>
                <a:ext uri="{FF2B5EF4-FFF2-40B4-BE49-F238E27FC236}">
                  <a16:creationId xmlns:a16="http://schemas.microsoft.com/office/drawing/2014/main" id="{00000000-0008-0000-5C00-00000D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6776206" name="Button 14" hidden="1">
              <a:extLst>
                <a:ext uri="{63B3BB69-23CF-44E3-9099-C40C66FF867C}">
                  <a14:compatExt spid="_x0000_s16776206"/>
                </a:ext>
                <a:ext uri="{FF2B5EF4-FFF2-40B4-BE49-F238E27FC236}">
                  <a16:creationId xmlns:a16="http://schemas.microsoft.com/office/drawing/2014/main" id="{00000000-0008-0000-5C00-00000E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6776207" name="Check Box 15" hidden="1">
              <a:extLst>
                <a:ext uri="{63B3BB69-23CF-44E3-9099-C40C66FF867C}">
                  <a14:compatExt spid="_x0000_s16776207"/>
                </a:ext>
                <a:ext uri="{FF2B5EF4-FFF2-40B4-BE49-F238E27FC236}">
                  <a16:creationId xmlns:a16="http://schemas.microsoft.com/office/drawing/2014/main" id="{00000000-0008-0000-5C00-00000F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6776208" name="Check Box 16" hidden="1">
              <a:extLst>
                <a:ext uri="{63B3BB69-23CF-44E3-9099-C40C66FF867C}">
                  <a14:compatExt spid="_x0000_s16776208"/>
                </a:ext>
                <a:ext uri="{FF2B5EF4-FFF2-40B4-BE49-F238E27FC236}">
                  <a16:creationId xmlns:a16="http://schemas.microsoft.com/office/drawing/2014/main" id="{00000000-0008-0000-5C00-000010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6776209" name="Check Box 17" hidden="1">
              <a:extLst>
                <a:ext uri="{63B3BB69-23CF-44E3-9099-C40C66FF867C}">
                  <a14:compatExt spid="_x0000_s16776209"/>
                </a:ext>
                <a:ext uri="{FF2B5EF4-FFF2-40B4-BE49-F238E27FC236}">
                  <a16:creationId xmlns:a16="http://schemas.microsoft.com/office/drawing/2014/main" id="{00000000-0008-0000-5C00-000011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6776210" name="Check Box 18" hidden="1">
              <a:extLst>
                <a:ext uri="{63B3BB69-23CF-44E3-9099-C40C66FF867C}">
                  <a14:compatExt spid="_x0000_s16776210"/>
                </a:ext>
                <a:ext uri="{FF2B5EF4-FFF2-40B4-BE49-F238E27FC236}">
                  <a16:creationId xmlns:a16="http://schemas.microsoft.com/office/drawing/2014/main" id="{00000000-0008-0000-5C00-000012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6776211" name="Check Box 19" hidden="1">
              <a:extLst>
                <a:ext uri="{63B3BB69-23CF-44E3-9099-C40C66FF867C}">
                  <a14:compatExt spid="_x0000_s16776211"/>
                </a:ext>
                <a:ext uri="{FF2B5EF4-FFF2-40B4-BE49-F238E27FC236}">
                  <a16:creationId xmlns:a16="http://schemas.microsoft.com/office/drawing/2014/main" id="{00000000-0008-0000-5C00-000013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6776212" name="Check Box 20" hidden="1">
              <a:extLst>
                <a:ext uri="{63B3BB69-23CF-44E3-9099-C40C66FF867C}">
                  <a14:compatExt spid="_x0000_s16776212"/>
                </a:ext>
                <a:ext uri="{FF2B5EF4-FFF2-40B4-BE49-F238E27FC236}">
                  <a16:creationId xmlns:a16="http://schemas.microsoft.com/office/drawing/2014/main" id="{00000000-0008-0000-5C00-000014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6776213" name="Check Box 21" hidden="1">
              <a:extLst>
                <a:ext uri="{63B3BB69-23CF-44E3-9099-C40C66FF867C}">
                  <a14:compatExt spid="_x0000_s16776213"/>
                </a:ext>
                <a:ext uri="{FF2B5EF4-FFF2-40B4-BE49-F238E27FC236}">
                  <a16:creationId xmlns:a16="http://schemas.microsoft.com/office/drawing/2014/main" id="{00000000-0008-0000-5C00-000015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6776214" name="Check Box 22" hidden="1">
              <a:extLst>
                <a:ext uri="{63B3BB69-23CF-44E3-9099-C40C66FF867C}">
                  <a14:compatExt spid="_x0000_s16776214"/>
                </a:ext>
                <a:ext uri="{FF2B5EF4-FFF2-40B4-BE49-F238E27FC236}">
                  <a16:creationId xmlns:a16="http://schemas.microsoft.com/office/drawing/2014/main" id="{00000000-0008-0000-5C00-000016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6776215" name="Check Box 23" hidden="1">
              <a:extLst>
                <a:ext uri="{63B3BB69-23CF-44E3-9099-C40C66FF867C}">
                  <a14:compatExt spid="_x0000_s16776215"/>
                </a:ext>
                <a:ext uri="{FF2B5EF4-FFF2-40B4-BE49-F238E27FC236}">
                  <a16:creationId xmlns:a16="http://schemas.microsoft.com/office/drawing/2014/main" id="{00000000-0008-0000-5C00-000017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6776216" name="Check Box 24" hidden="1">
              <a:extLst>
                <a:ext uri="{63B3BB69-23CF-44E3-9099-C40C66FF867C}">
                  <a14:compatExt spid="_x0000_s16776216"/>
                </a:ext>
                <a:ext uri="{FF2B5EF4-FFF2-40B4-BE49-F238E27FC236}">
                  <a16:creationId xmlns:a16="http://schemas.microsoft.com/office/drawing/2014/main" id="{00000000-0008-0000-5C00-000018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6776217" name="Check Box 25" hidden="1">
              <a:extLst>
                <a:ext uri="{63B3BB69-23CF-44E3-9099-C40C66FF867C}">
                  <a14:compatExt spid="_x0000_s16776217"/>
                </a:ext>
                <a:ext uri="{FF2B5EF4-FFF2-40B4-BE49-F238E27FC236}">
                  <a16:creationId xmlns:a16="http://schemas.microsoft.com/office/drawing/2014/main" id="{00000000-0008-0000-5C00-000019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6776218" name="Check Box 26" hidden="1">
              <a:extLst>
                <a:ext uri="{63B3BB69-23CF-44E3-9099-C40C66FF867C}">
                  <a14:compatExt spid="_x0000_s16776218"/>
                </a:ext>
                <a:ext uri="{FF2B5EF4-FFF2-40B4-BE49-F238E27FC236}">
                  <a16:creationId xmlns:a16="http://schemas.microsoft.com/office/drawing/2014/main" id="{00000000-0008-0000-5C00-00001A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6776219" name="Check Box 27" hidden="1">
              <a:extLst>
                <a:ext uri="{63B3BB69-23CF-44E3-9099-C40C66FF867C}">
                  <a14:compatExt spid="_x0000_s16776219"/>
                </a:ext>
                <a:ext uri="{FF2B5EF4-FFF2-40B4-BE49-F238E27FC236}">
                  <a16:creationId xmlns:a16="http://schemas.microsoft.com/office/drawing/2014/main" id="{00000000-0008-0000-5C00-00001B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6776220" name="Button 28" hidden="1">
              <a:extLst>
                <a:ext uri="{63B3BB69-23CF-44E3-9099-C40C66FF867C}">
                  <a14:compatExt spid="_x0000_s16776220"/>
                </a:ext>
                <a:ext uri="{FF2B5EF4-FFF2-40B4-BE49-F238E27FC236}">
                  <a16:creationId xmlns:a16="http://schemas.microsoft.com/office/drawing/2014/main" id="{00000000-0008-0000-5C00-00001C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6776221" name="Button 29" hidden="1">
              <a:extLst>
                <a:ext uri="{63B3BB69-23CF-44E3-9099-C40C66FF867C}">
                  <a14:compatExt spid="_x0000_s16776221"/>
                </a:ext>
                <a:ext uri="{FF2B5EF4-FFF2-40B4-BE49-F238E27FC236}">
                  <a16:creationId xmlns:a16="http://schemas.microsoft.com/office/drawing/2014/main" id="{00000000-0008-0000-5C00-00001DFCF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6776222" name="Check Box 30" hidden="1">
              <a:extLst>
                <a:ext uri="{63B3BB69-23CF-44E3-9099-C40C66FF867C}">
                  <a14:compatExt spid="_x0000_s16776222"/>
                </a:ext>
                <a:ext uri="{FF2B5EF4-FFF2-40B4-BE49-F238E27FC236}">
                  <a16:creationId xmlns:a16="http://schemas.microsoft.com/office/drawing/2014/main" id="{00000000-0008-0000-5C00-00001E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6776223" name="Check Box 31" hidden="1">
              <a:extLst>
                <a:ext uri="{63B3BB69-23CF-44E3-9099-C40C66FF867C}">
                  <a14:compatExt spid="_x0000_s16776223"/>
                </a:ext>
                <a:ext uri="{FF2B5EF4-FFF2-40B4-BE49-F238E27FC236}">
                  <a16:creationId xmlns:a16="http://schemas.microsoft.com/office/drawing/2014/main" id="{00000000-0008-0000-5C00-00001F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6776224" name="Check Box 32" hidden="1">
              <a:extLst>
                <a:ext uri="{63B3BB69-23CF-44E3-9099-C40C66FF867C}">
                  <a14:compatExt spid="_x0000_s16776224"/>
                </a:ext>
                <a:ext uri="{FF2B5EF4-FFF2-40B4-BE49-F238E27FC236}">
                  <a16:creationId xmlns:a16="http://schemas.microsoft.com/office/drawing/2014/main" id="{00000000-0008-0000-5C00-000020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6776225" name="Check Box 33" hidden="1">
              <a:extLst>
                <a:ext uri="{63B3BB69-23CF-44E3-9099-C40C66FF867C}">
                  <a14:compatExt spid="_x0000_s16776225"/>
                </a:ext>
                <a:ext uri="{FF2B5EF4-FFF2-40B4-BE49-F238E27FC236}">
                  <a16:creationId xmlns:a16="http://schemas.microsoft.com/office/drawing/2014/main" id="{00000000-0008-0000-5C00-000021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6776226" name="Check Box 34" hidden="1">
              <a:extLst>
                <a:ext uri="{63B3BB69-23CF-44E3-9099-C40C66FF867C}">
                  <a14:compatExt spid="_x0000_s16776226"/>
                </a:ext>
                <a:ext uri="{FF2B5EF4-FFF2-40B4-BE49-F238E27FC236}">
                  <a16:creationId xmlns:a16="http://schemas.microsoft.com/office/drawing/2014/main" id="{00000000-0008-0000-5C00-000022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6776227" name="Check Box 35" hidden="1">
              <a:extLst>
                <a:ext uri="{63B3BB69-23CF-44E3-9099-C40C66FF867C}">
                  <a14:compatExt spid="_x0000_s16776227"/>
                </a:ext>
                <a:ext uri="{FF2B5EF4-FFF2-40B4-BE49-F238E27FC236}">
                  <a16:creationId xmlns:a16="http://schemas.microsoft.com/office/drawing/2014/main" id="{00000000-0008-0000-5C00-000023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6776228" name="Check Box 36" hidden="1">
              <a:extLst>
                <a:ext uri="{63B3BB69-23CF-44E3-9099-C40C66FF867C}">
                  <a14:compatExt spid="_x0000_s16776228"/>
                </a:ext>
                <a:ext uri="{FF2B5EF4-FFF2-40B4-BE49-F238E27FC236}">
                  <a16:creationId xmlns:a16="http://schemas.microsoft.com/office/drawing/2014/main" id="{00000000-0008-0000-5C00-000024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6776229" name="Check Box 37" hidden="1">
              <a:extLst>
                <a:ext uri="{63B3BB69-23CF-44E3-9099-C40C66FF867C}">
                  <a14:compatExt spid="_x0000_s16776229"/>
                </a:ext>
                <a:ext uri="{FF2B5EF4-FFF2-40B4-BE49-F238E27FC236}">
                  <a16:creationId xmlns:a16="http://schemas.microsoft.com/office/drawing/2014/main" id="{00000000-0008-0000-5C00-000025FCF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9753EF77-8121-4043-A27F-97E6F51B6B9D}"/>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79B5668-2582-4F46-9869-F5B7EA0E6C4C}"/>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6652289" name="Check Box 1" hidden="1">
              <a:extLst>
                <a:ext uri="{63B3BB69-23CF-44E3-9099-C40C66FF867C}">
                  <a14:compatExt spid="_x0000_s16652289"/>
                </a:ext>
                <a:ext uri="{FF2B5EF4-FFF2-40B4-BE49-F238E27FC236}">
                  <a16:creationId xmlns:a16="http://schemas.microsoft.com/office/drawing/2014/main" id="{00000000-0008-0000-5D00-000001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6652290" name="Check Box 2" hidden="1">
              <a:extLst>
                <a:ext uri="{63B3BB69-23CF-44E3-9099-C40C66FF867C}">
                  <a14:compatExt spid="_x0000_s16652290"/>
                </a:ext>
                <a:ext uri="{FF2B5EF4-FFF2-40B4-BE49-F238E27FC236}">
                  <a16:creationId xmlns:a16="http://schemas.microsoft.com/office/drawing/2014/main" id="{00000000-0008-0000-5D00-000002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6652291" name="Check Box 3" hidden="1">
              <a:extLst>
                <a:ext uri="{63B3BB69-23CF-44E3-9099-C40C66FF867C}">
                  <a14:compatExt spid="_x0000_s16652291"/>
                </a:ext>
                <a:ext uri="{FF2B5EF4-FFF2-40B4-BE49-F238E27FC236}">
                  <a16:creationId xmlns:a16="http://schemas.microsoft.com/office/drawing/2014/main" id="{00000000-0008-0000-5D00-000003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6652292" name="Check Box 4" hidden="1">
              <a:extLst>
                <a:ext uri="{63B3BB69-23CF-44E3-9099-C40C66FF867C}">
                  <a14:compatExt spid="_x0000_s16652292"/>
                </a:ext>
                <a:ext uri="{FF2B5EF4-FFF2-40B4-BE49-F238E27FC236}">
                  <a16:creationId xmlns:a16="http://schemas.microsoft.com/office/drawing/2014/main" id="{00000000-0008-0000-5D00-000004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6652293" name="Check Box 5" hidden="1">
              <a:extLst>
                <a:ext uri="{63B3BB69-23CF-44E3-9099-C40C66FF867C}">
                  <a14:compatExt spid="_x0000_s16652293"/>
                </a:ext>
                <a:ext uri="{FF2B5EF4-FFF2-40B4-BE49-F238E27FC236}">
                  <a16:creationId xmlns:a16="http://schemas.microsoft.com/office/drawing/2014/main" id="{00000000-0008-0000-5D00-000005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6652294" name="Check Box 6" hidden="1">
              <a:extLst>
                <a:ext uri="{63B3BB69-23CF-44E3-9099-C40C66FF867C}">
                  <a14:compatExt spid="_x0000_s16652294"/>
                </a:ext>
                <a:ext uri="{FF2B5EF4-FFF2-40B4-BE49-F238E27FC236}">
                  <a16:creationId xmlns:a16="http://schemas.microsoft.com/office/drawing/2014/main" id="{00000000-0008-0000-5D00-000006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6652295" name="Check Box 7" hidden="1">
              <a:extLst>
                <a:ext uri="{63B3BB69-23CF-44E3-9099-C40C66FF867C}">
                  <a14:compatExt spid="_x0000_s16652295"/>
                </a:ext>
                <a:ext uri="{FF2B5EF4-FFF2-40B4-BE49-F238E27FC236}">
                  <a16:creationId xmlns:a16="http://schemas.microsoft.com/office/drawing/2014/main" id="{00000000-0008-0000-5D00-000007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6652296" name="Button 8" hidden="1">
              <a:extLst>
                <a:ext uri="{63B3BB69-23CF-44E3-9099-C40C66FF867C}">
                  <a14:compatExt spid="_x0000_s16652296"/>
                </a:ext>
                <a:ext uri="{FF2B5EF4-FFF2-40B4-BE49-F238E27FC236}">
                  <a16:creationId xmlns:a16="http://schemas.microsoft.com/office/drawing/2014/main" id="{00000000-0008-0000-5D00-00000818F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6652297" name="Button 9" hidden="1">
              <a:extLst>
                <a:ext uri="{63B3BB69-23CF-44E3-9099-C40C66FF867C}">
                  <a14:compatExt spid="_x0000_s16652297"/>
                </a:ext>
                <a:ext uri="{FF2B5EF4-FFF2-40B4-BE49-F238E27FC236}">
                  <a16:creationId xmlns:a16="http://schemas.microsoft.com/office/drawing/2014/main" id="{00000000-0008-0000-5D00-00000918F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6652298" name="Check Box 10" hidden="1">
              <a:extLst>
                <a:ext uri="{63B3BB69-23CF-44E3-9099-C40C66FF867C}">
                  <a14:compatExt spid="_x0000_s16652298"/>
                </a:ext>
                <a:ext uri="{FF2B5EF4-FFF2-40B4-BE49-F238E27FC236}">
                  <a16:creationId xmlns:a16="http://schemas.microsoft.com/office/drawing/2014/main" id="{00000000-0008-0000-5D00-00000A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6652299" name="Button 11" hidden="1">
              <a:extLst>
                <a:ext uri="{63B3BB69-23CF-44E3-9099-C40C66FF867C}">
                  <a14:compatExt spid="_x0000_s16652299"/>
                </a:ext>
                <a:ext uri="{FF2B5EF4-FFF2-40B4-BE49-F238E27FC236}">
                  <a16:creationId xmlns:a16="http://schemas.microsoft.com/office/drawing/2014/main" id="{00000000-0008-0000-5D00-00000B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6652300" name="Button 12" hidden="1">
              <a:extLst>
                <a:ext uri="{63B3BB69-23CF-44E3-9099-C40C66FF867C}">
                  <a14:compatExt spid="_x0000_s16652300"/>
                </a:ext>
                <a:ext uri="{FF2B5EF4-FFF2-40B4-BE49-F238E27FC236}">
                  <a16:creationId xmlns:a16="http://schemas.microsoft.com/office/drawing/2014/main" id="{00000000-0008-0000-5D00-00000C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6652301" name="Button 13" hidden="1">
              <a:extLst>
                <a:ext uri="{63B3BB69-23CF-44E3-9099-C40C66FF867C}">
                  <a14:compatExt spid="_x0000_s16652301"/>
                </a:ext>
                <a:ext uri="{FF2B5EF4-FFF2-40B4-BE49-F238E27FC236}">
                  <a16:creationId xmlns:a16="http://schemas.microsoft.com/office/drawing/2014/main" id="{00000000-0008-0000-5D00-00000D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6652302" name="Button 14" hidden="1">
              <a:extLst>
                <a:ext uri="{63B3BB69-23CF-44E3-9099-C40C66FF867C}">
                  <a14:compatExt spid="_x0000_s16652302"/>
                </a:ext>
                <a:ext uri="{FF2B5EF4-FFF2-40B4-BE49-F238E27FC236}">
                  <a16:creationId xmlns:a16="http://schemas.microsoft.com/office/drawing/2014/main" id="{00000000-0008-0000-5D00-00000E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6652303" name="Check Box 15" hidden="1">
              <a:extLst>
                <a:ext uri="{63B3BB69-23CF-44E3-9099-C40C66FF867C}">
                  <a14:compatExt spid="_x0000_s16652303"/>
                </a:ext>
                <a:ext uri="{FF2B5EF4-FFF2-40B4-BE49-F238E27FC236}">
                  <a16:creationId xmlns:a16="http://schemas.microsoft.com/office/drawing/2014/main" id="{00000000-0008-0000-5D00-00000F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6652304" name="Check Box 16" hidden="1">
              <a:extLst>
                <a:ext uri="{63B3BB69-23CF-44E3-9099-C40C66FF867C}">
                  <a14:compatExt spid="_x0000_s16652304"/>
                </a:ext>
                <a:ext uri="{FF2B5EF4-FFF2-40B4-BE49-F238E27FC236}">
                  <a16:creationId xmlns:a16="http://schemas.microsoft.com/office/drawing/2014/main" id="{00000000-0008-0000-5D00-000010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6652305" name="Check Box 17" hidden="1">
              <a:extLst>
                <a:ext uri="{63B3BB69-23CF-44E3-9099-C40C66FF867C}">
                  <a14:compatExt spid="_x0000_s16652305"/>
                </a:ext>
                <a:ext uri="{FF2B5EF4-FFF2-40B4-BE49-F238E27FC236}">
                  <a16:creationId xmlns:a16="http://schemas.microsoft.com/office/drawing/2014/main" id="{00000000-0008-0000-5D00-000011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6652306" name="Check Box 18" hidden="1">
              <a:extLst>
                <a:ext uri="{63B3BB69-23CF-44E3-9099-C40C66FF867C}">
                  <a14:compatExt spid="_x0000_s16652306"/>
                </a:ext>
                <a:ext uri="{FF2B5EF4-FFF2-40B4-BE49-F238E27FC236}">
                  <a16:creationId xmlns:a16="http://schemas.microsoft.com/office/drawing/2014/main" id="{00000000-0008-0000-5D00-000012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6652307" name="Check Box 19" hidden="1">
              <a:extLst>
                <a:ext uri="{63B3BB69-23CF-44E3-9099-C40C66FF867C}">
                  <a14:compatExt spid="_x0000_s16652307"/>
                </a:ext>
                <a:ext uri="{FF2B5EF4-FFF2-40B4-BE49-F238E27FC236}">
                  <a16:creationId xmlns:a16="http://schemas.microsoft.com/office/drawing/2014/main" id="{00000000-0008-0000-5D00-000013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6652308" name="Check Box 20" hidden="1">
              <a:extLst>
                <a:ext uri="{63B3BB69-23CF-44E3-9099-C40C66FF867C}">
                  <a14:compatExt spid="_x0000_s16652308"/>
                </a:ext>
                <a:ext uri="{FF2B5EF4-FFF2-40B4-BE49-F238E27FC236}">
                  <a16:creationId xmlns:a16="http://schemas.microsoft.com/office/drawing/2014/main" id="{00000000-0008-0000-5D00-000014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6652309" name="Check Box 21" hidden="1">
              <a:extLst>
                <a:ext uri="{63B3BB69-23CF-44E3-9099-C40C66FF867C}">
                  <a14:compatExt spid="_x0000_s16652309"/>
                </a:ext>
                <a:ext uri="{FF2B5EF4-FFF2-40B4-BE49-F238E27FC236}">
                  <a16:creationId xmlns:a16="http://schemas.microsoft.com/office/drawing/2014/main" id="{00000000-0008-0000-5D00-000015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6652310" name="Check Box 22" hidden="1">
              <a:extLst>
                <a:ext uri="{63B3BB69-23CF-44E3-9099-C40C66FF867C}">
                  <a14:compatExt spid="_x0000_s16652310"/>
                </a:ext>
                <a:ext uri="{FF2B5EF4-FFF2-40B4-BE49-F238E27FC236}">
                  <a16:creationId xmlns:a16="http://schemas.microsoft.com/office/drawing/2014/main" id="{00000000-0008-0000-5D00-000016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6652311" name="Check Box 23" hidden="1">
              <a:extLst>
                <a:ext uri="{63B3BB69-23CF-44E3-9099-C40C66FF867C}">
                  <a14:compatExt spid="_x0000_s16652311"/>
                </a:ext>
                <a:ext uri="{FF2B5EF4-FFF2-40B4-BE49-F238E27FC236}">
                  <a16:creationId xmlns:a16="http://schemas.microsoft.com/office/drawing/2014/main" id="{00000000-0008-0000-5D00-000017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6652312" name="Check Box 24" hidden="1">
              <a:extLst>
                <a:ext uri="{63B3BB69-23CF-44E3-9099-C40C66FF867C}">
                  <a14:compatExt spid="_x0000_s16652312"/>
                </a:ext>
                <a:ext uri="{FF2B5EF4-FFF2-40B4-BE49-F238E27FC236}">
                  <a16:creationId xmlns:a16="http://schemas.microsoft.com/office/drawing/2014/main" id="{00000000-0008-0000-5D00-000018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6652313" name="Check Box 25" hidden="1">
              <a:extLst>
                <a:ext uri="{63B3BB69-23CF-44E3-9099-C40C66FF867C}">
                  <a14:compatExt spid="_x0000_s16652313"/>
                </a:ext>
                <a:ext uri="{FF2B5EF4-FFF2-40B4-BE49-F238E27FC236}">
                  <a16:creationId xmlns:a16="http://schemas.microsoft.com/office/drawing/2014/main" id="{00000000-0008-0000-5D00-000019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6652314" name="Check Box 26" hidden="1">
              <a:extLst>
                <a:ext uri="{63B3BB69-23CF-44E3-9099-C40C66FF867C}">
                  <a14:compatExt spid="_x0000_s16652314"/>
                </a:ext>
                <a:ext uri="{FF2B5EF4-FFF2-40B4-BE49-F238E27FC236}">
                  <a16:creationId xmlns:a16="http://schemas.microsoft.com/office/drawing/2014/main" id="{00000000-0008-0000-5D00-00001A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6652315" name="Check Box 27" hidden="1">
              <a:extLst>
                <a:ext uri="{63B3BB69-23CF-44E3-9099-C40C66FF867C}">
                  <a14:compatExt spid="_x0000_s16652315"/>
                </a:ext>
                <a:ext uri="{FF2B5EF4-FFF2-40B4-BE49-F238E27FC236}">
                  <a16:creationId xmlns:a16="http://schemas.microsoft.com/office/drawing/2014/main" id="{00000000-0008-0000-5D00-00001B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6652316" name="Button 28" hidden="1">
              <a:extLst>
                <a:ext uri="{63B3BB69-23CF-44E3-9099-C40C66FF867C}">
                  <a14:compatExt spid="_x0000_s16652316"/>
                </a:ext>
                <a:ext uri="{FF2B5EF4-FFF2-40B4-BE49-F238E27FC236}">
                  <a16:creationId xmlns:a16="http://schemas.microsoft.com/office/drawing/2014/main" id="{00000000-0008-0000-5D00-00001C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6652317" name="Button 29" hidden="1">
              <a:extLst>
                <a:ext uri="{63B3BB69-23CF-44E3-9099-C40C66FF867C}">
                  <a14:compatExt spid="_x0000_s16652317"/>
                </a:ext>
                <a:ext uri="{FF2B5EF4-FFF2-40B4-BE49-F238E27FC236}">
                  <a16:creationId xmlns:a16="http://schemas.microsoft.com/office/drawing/2014/main" id="{00000000-0008-0000-5D00-00001D18F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6652318" name="Check Box 30" hidden="1">
              <a:extLst>
                <a:ext uri="{63B3BB69-23CF-44E3-9099-C40C66FF867C}">
                  <a14:compatExt spid="_x0000_s16652318"/>
                </a:ext>
                <a:ext uri="{FF2B5EF4-FFF2-40B4-BE49-F238E27FC236}">
                  <a16:creationId xmlns:a16="http://schemas.microsoft.com/office/drawing/2014/main" id="{00000000-0008-0000-5D00-00001E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6652319" name="Check Box 31" hidden="1">
              <a:extLst>
                <a:ext uri="{63B3BB69-23CF-44E3-9099-C40C66FF867C}">
                  <a14:compatExt spid="_x0000_s16652319"/>
                </a:ext>
                <a:ext uri="{FF2B5EF4-FFF2-40B4-BE49-F238E27FC236}">
                  <a16:creationId xmlns:a16="http://schemas.microsoft.com/office/drawing/2014/main" id="{00000000-0008-0000-5D00-00001F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6652320" name="Check Box 32" hidden="1">
              <a:extLst>
                <a:ext uri="{63B3BB69-23CF-44E3-9099-C40C66FF867C}">
                  <a14:compatExt spid="_x0000_s16652320"/>
                </a:ext>
                <a:ext uri="{FF2B5EF4-FFF2-40B4-BE49-F238E27FC236}">
                  <a16:creationId xmlns:a16="http://schemas.microsoft.com/office/drawing/2014/main" id="{00000000-0008-0000-5D00-000020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6652321" name="Check Box 33" hidden="1">
              <a:extLst>
                <a:ext uri="{63B3BB69-23CF-44E3-9099-C40C66FF867C}">
                  <a14:compatExt spid="_x0000_s16652321"/>
                </a:ext>
                <a:ext uri="{FF2B5EF4-FFF2-40B4-BE49-F238E27FC236}">
                  <a16:creationId xmlns:a16="http://schemas.microsoft.com/office/drawing/2014/main" id="{00000000-0008-0000-5D00-000021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6652322" name="Check Box 34" hidden="1">
              <a:extLst>
                <a:ext uri="{63B3BB69-23CF-44E3-9099-C40C66FF867C}">
                  <a14:compatExt spid="_x0000_s16652322"/>
                </a:ext>
                <a:ext uri="{FF2B5EF4-FFF2-40B4-BE49-F238E27FC236}">
                  <a16:creationId xmlns:a16="http://schemas.microsoft.com/office/drawing/2014/main" id="{00000000-0008-0000-5D00-000022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6652323" name="Check Box 35" hidden="1">
              <a:extLst>
                <a:ext uri="{63B3BB69-23CF-44E3-9099-C40C66FF867C}">
                  <a14:compatExt spid="_x0000_s16652323"/>
                </a:ext>
                <a:ext uri="{FF2B5EF4-FFF2-40B4-BE49-F238E27FC236}">
                  <a16:creationId xmlns:a16="http://schemas.microsoft.com/office/drawing/2014/main" id="{00000000-0008-0000-5D00-000023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6652324" name="Check Box 36" hidden="1">
              <a:extLst>
                <a:ext uri="{63B3BB69-23CF-44E3-9099-C40C66FF867C}">
                  <a14:compatExt spid="_x0000_s16652324"/>
                </a:ext>
                <a:ext uri="{FF2B5EF4-FFF2-40B4-BE49-F238E27FC236}">
                  <a16:creationId xmlns:a16="http://schemas.microsoft.com/office/drawing/2014/main" id="{00000000-0008-0000-5D00-000024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6652325" name="Check Box 37" hidden="1">
              <a:extLst>
                <a:ext uri="{63B3BB69-23CF-44E3-9099-C40C66FF867C}">
                  <a14:compatExt spid="_x0000_s16652325"/>
                </a:ext>
                <a:ext uri="{FF2B5EF4-FFF2-40B4-BE49-F238E27FC236}">
                  <a16:creationId xmlns:a16="http://schemas.microsoft.com/office/drawing/2014/main" id="{00000000-0008-0000-5D00-00002518F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F02EB59-CB31-4331-B285-493ECEE419E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A2383637-537D-4FD7-97FB-262C669ADC53}"/>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6057345" name="Check Box 1" hidden="1">
              <a:extLst>
                <a:ext uri="{63B3BB69-23CF-44E3-9099-C40C66FF867C}">
                  <a14:compatExt spid="_x0000_s16057345"/>
                </a:ext>
                <a:ext uri="{FF2B5EF4-FFF2-40B4-BE49-F238E27FC236}">
                  <a16:creationId xmlns:a16="http://schemas.microsoft.com/office/drawing/2014/main" id="{00000000-0008-0000-5E00-000001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6057346" name="Check Box 2" hidden="1">
              <a:extLst>
                <a:ext uri="{63B3BB69-23CF-44E3-9099-C40C66FF867C}">
                  <a14:compatExt spid="_x0000_s16057346"/>
                </a:ext>
                <a:ext uri="{FF2B5EF4-FFF2-40B4-BE49-F238E27FC236}">
                  <a16:creationId xmlns:a16="http://schemas.microsoft.com/office/drawing/2014/main" id="{00000000-0008-0000-5E00-000002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6057347" name="Check Box 3" hidden="1">
              <a:extLst>
                <a:ext uri="{63B3BB69-23CF-44E3-9099-C40C66FF867C}">
                  <a14:compatExt spid="_x0000_s16057347"/>
                </a:ext>
                <a:ext uri="{FF2B5EF4-FFF2-40B4-BE49-F238E27FC236}">
                  <a16:creationId xmlns:a16="http://schemas.microsoft.com/office/drawing/2014/main" id="{00000000-0008-0000-5E00-000003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6057348" name="Check Box 4" hidden="1">
              <a:extLst>
                <a:ext uri="{63B3BB69-23CF-44E3-9099-C40C66FF867C}">
                  <a14:compatExt spid="_x0000_s16057348"/>
                </a:ext>
                <a:ext uri="{FF2B5EF4-FFF2-40B4-BE49-F238E27FC236}">
                  <a16:creationId xmlns:a16="http://schemas.microsoft.com/office/drawing/2014/main" id="{00000000-0008-0000-5E00-000004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6057349" name="Check Box 5" hidden="1">
              <a:extLst>
                <a:ext uri="{63B3BB69-23CF-44E3-9099-C40C66FF867C}">
                  <a14:compatExt spid="_x0000_s16057349"/>
                </a:ext>
                <a:ext uri="{FF2B5EF4-FFF2-40B4-BE49-F238E27FC236}">
                  <a16:creationId xmlns:a16="http://schemas.microsoft.com/office/drawing/2014/main" id="{00000000-0008-0000-5E00-000005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6057350" name="Check Box 6" hidden="1">
              <a:extLst>
                <a:ext uri="{63B3BB69-23CF-44E3-9099-C40C66FF867C}">
                  <a14:compatExt spid="_x0000_s16057350"/>
                </a:ext>
                <a:ext uri="{FF2B5EF4-FFF2-40B4-BE49-F238E27FC236}">
                  <a16:creationId xmlns:a16="http://schemas.microsoft.com/office/drawing/2014/main" id="{00000000-0008-0000-5E00-000006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6057351" name="Check Box 7" hidden="1">
              <a:extLst>
                <a:ext uri="{63B3BB69-23CF-44E3-9099-C40C66FF867C}">
                  <a14:compatExt spid="_x0000_s16057351"/>
                </a:ext>
                <a:ext uri="{FF2B5EF4-FFF2-40B4-BE49-F238E27FC236}">
                  <a16:creationId xmlns:a16="http://schemas.microsoft.com/office/drawing/2014/main" id="{00000000-0008-0000-5E00-000007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6057352" name="Button 8" hidden="1">
              <a:extLst>
                <a:ext uri="{63B3BB69-23CF-44E3-9099-C40C66FF867C}">
                  <a14:compatExt spid="_x0000_s16057352"/>
                </a:ext>
                <a:ext uri="{FF2B5EF4-FFF2-40B4-BE49-F238E27FC236}">
                  <a16:creationId xmlns:a16="http://schemas.microsoft.com/office/drawing/2014/main" id="{00000000-0008-0000-5E00-00000804F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6057353" name="Button 9" hidden="1">
              <a:extLst>
                <a:ext uri="{63B3BB69-23CF-44E3-9099-C40C66FF867C}">
                  <a14:compatExt spid="_x0000_s16057353"/>
                </a:ext>
                <a:ext uri="{FF2B5EF4-FFF2-40B4-BE49-F238E27FC236}">
                  <a16:creationId xmlns:a16="http://schemas.microsoft.com/office/drawing/2014/main" id="{00000000-0008-0000-5E00-00000904F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6057354" name="Check Box 10" hidden="1">
              <a:extLst>
                <a:ext uri="{63B3BB69-23CF-44E3-9099-C40C66FF867C}">
                  <a14:compatExt spid="_x0000_s16057354"/>
                </a:ext>
                <a:ext uri="{FF2B5EF4-FFF2-40B4-BE49-F238E27FC236}">
                  <a16:creationId xmlns:a16="http://schemas.microsoft.com/office/drawing/2014/main" id="{00000000-0008-0000-5E00-00000A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6057355" name="Button 11" hidden="1">
              <a:extLst>
                <a:ext uri="{63B3BB69-23CF-44E3-9099-C40C66FF867C}">
                  <a14:compatExt spid="_x0000_s16057355"/>
                </a:ext>
                <a:ext uri="{FF2B5EF4-FFF2-40B4-BE49-F238E27FC236}">
                  <a16:creationId xmlns:a16="http://schemas.microsoft.com/office/drawing/2014/main" id="{00000000-0008-0000-5E00-00000B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6057356" name="Button 12" hidden="1">
              <a:extLst>
                <a:ext uri="{63B3BB69-23CF-44E3-9099-C40C66FF867C}">
                  <a14:compatExt spid="_x0000_s16057356"/>
                </a:ext>
                <a:ext uri="{FF2B5EF4-FFF2-40B4-BE49-F238E27FC236}">
                  <a16:creationId xmlns:a16="http://schemas.microsoft.com/office/drawing/2014/main" id="{00000000-0008-0000-5E00-00000C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6057357" name="Button 13" hidden="1">
              <a:extLst>
                <a:ext uri="{63B3BB69-23CF-44E3-9099-C40C66FF867C}">
                  <a14:compatExt spid="_x0000_s16057357"/>
                </a:ext>
                <a:ext uri="{FF2B5EF4-FFF2-40B4-BE49-F238E27FC236}">
                  <a16:creationId xmlns:a16="http://schemas.microsoft.com/office/drawing/2014/main" id="{00000000-0008-0000-5E00-00000D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6057358" name="Button 14" hidden="1">
              <a:extLst>
                <a:ext uri="{63B3BB69-23CF-44E3-9099-C40C66FF867C}">
                  <a14:compatExt spid="_x0000_s16057358"/>
                </a:ext>
                <a:ext uri="{FF2B5EF4-FFF2-40B4-BE49-F238E27FC236}">
                  <a16:creationId xmlns:a16="http://schemas.microsoft.com/office/drawing/2014/main" id="{00000000-0008-0000-5E00-00000E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6057359" name="Check Box 15" hidden="1">
              <a:extLst>
                <a:ext uri="{63B3BB69-23CF-44E3-9099-C40C66FF867C}">
                  <a14:compatExt spid="_x0000_s16057359"/>
                </a:ext>
                <a:ext uri="{FF2B5EF4-FFF2-40B4-BE49-F238E27FC236}">
                  <a16:creationId xmlns:a16="http://schemas.microsoft.com/office/drawing/2014/main" id="{00000000-0008-0000-5E00-00000F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6057360" name="Check Box 16" hidden="1">
              <a:extLst>
                <a:ext uri="{63B3BB69-23CF-44E3-9099-C40C66FF867C}">
                  <a14:compatExt spid="_x0000_s16057360"/>
                </a:ext>
                <a:ext uri="{FF2B5EF4-FFF2-40B4-BE49-F238E27FC236}">
                  <a16:creationId xmlns:a16="http://schemas.microsoft.com/office/drawing/2014/main" id="{00000000-0008-0000-5E00-000010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6057361" name="Check Box 17" hidden="1">
              <a:extLst>
                <a:ext uri="{63B3BB69-23CF-44E3-9099-C40C66FF867C}">
                  <a14:compatExt spid="_x0000_s16057361"/>
                </a:ext>
                <a:ext uri="{FF2B5EF4-FFF2-40B4-BE49-F238E27FC236}">
                  <a16:creationId xmlns:a16="http://schemas.microsoft.com/office/drawing/2014/main" id="{00000000-0008-0000-5E00-000011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6057362" name="Check Box 18" hidden="1">
              <a:extLst>
                <a:ext uri="{63B3BB69-23CF-44E3-9099-C40C66FF867C}">
                  <a14:compatExt spid="_x0000_s16057362"/>
                </a:ext>
                <a:ext uri="{FF2B5EF4-FFF2-40B4-BE49-F238E27FC236}">
                  <a16:creationId xmlns:a16="http://schemas.microsoft.com/office/drawing/2014/main" id="{00000000-0008-0000-5E00-000012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6057363" name="Check Box 19" hidden="1">
              <a:extLst>
                <a:ext uri="{63B3BB69-23CF-44E3-9099-C40C66FF867C}">
                  <a14:compatExt spid="_x0000_s16057363"/>
                </a:ext>
                <a:ext uri="{FF2B5EF4-FFF2-40B4-BE49-F238E27FC236}">
                  <a16:creationId xmlns:a16="http://schemas.microsoft.com/office/drawing/2014/main" id="{00000000-0008-0000-5E00-000013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6057364" name="Check Box 20" hidden="1">
              <a:extLst>
                <a:ext uri="{63B3BB69-23CF-44E3-9099-C40C66FF867C}">
                  <a14:compatExt spid="_x0000_s16057364"/>
                </a:ext>
                <a:ext uri="{FF2B5EF4-FFF2-40B4-BE49-F238E27FC236}">
                  <a16:creationId xmlns:a16="http://schemas.microsoft.com/office/drawing/2014/main" id="{00000000-0008-0000-5E00-000014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6057365" name="Check Box 21" hidden="1">
              <a:extLst>
                <a:ext uri="{63B3BB69-23CF-44E3-9099-C40C66FF867C}">
                  <a14:compatExt spid="_x0000_s16057365"/>
                </a:ext>
                <a:ext uri="{FF2B5EF4-FFF2-40B4-BE49-F238E27FC236}">
                  <a16:creationId xmlns:a16="http://schemas.microsoft.com/office/drawing/2014/main" id="{00000000-0008-0000-5E00-000015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6057366" name="Check Box 22" hidden="1">
              <a:extLst>
                <a:ext uri="{63B3BB69-23CF-44E3-9099-C40C66FF867C}">
                  <a14:compatExt spid="_x0000_s16057366"/>
                </a:ext>
                <a:ext uri="{FF2B5EF4-FFF2-40B4-BE49-F238E27FC236}">
                  <a16:creationId xmlns:a16="http://schemas.microsoft.com/office/drawing/2014/main" id="{00000000-0008-0000-5E00-000016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6057367" name="Check Box 23" hidden="1">
              <a:extLst>
                <a:ext uri="{63B3BB69-23CF-44E3-9099-C40C66FF867C}">
                  <a14:compatExt spid="_x0000_s16057367"/>
                </a:ext>
                <a:ext uri="{FF2B5EF4-FFF2-40B4-BE49-F238E27FC236}">
                  <a16:creationId xmlns:a16="http://schemas.microsoft.com/office/drawing/2014/main" id="{00000000-0008-0000-5E00-000017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6057368" name="Check Box 24" hidden="1">
              <a:extLst>
                <a:ext uri="{63B3BB69-23CF-44E3-9099-C40C66FF867C}">
                  <a14:compatExt spid="_x0000_s16057368"/>
                </a:ext>
                <a:ext uri="{FF2B5EF4-FFF2-40B4-BE49-F238E27FC236}">
                  <a16:creationId xmlns:a16="http://schemas.microsoft.com/office/drawing/2014/main" id="{00000000-0008-0000-5E00-000018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6057369" name="Check Box 25" hidden="1">
              <a:extLst>
                <a:ext uri="{63B3BB69-23CF-44E3-9099-C40C66FF867C}">
                  <a14:compatExt spid="_x0000_s16057369"/>
                </a:ext>
                <a:ext uri="{FF2B5EF4-FFF2-40B4-BE49-F238E27FC236}">
                  <a16:creationId xmlns:a16="http://schemas.microsoft.com/office/drawing/2014/main" id="{00000000-0008-0000-5E00-000019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6057370" name="Check Box 26" hidden="1">
              <a:extLst>
                <a:ext uri="{63B3BB69-23CF-44E3-9099-C40C66FF867C}">
                  <a14:compatExt spid="_x0000_s16057370"/>
                </a:ext>
                <a:ext uri="{FF2B5EF4-FFF2-40B4-BE49-F238E27FC236}">
                  <a16:creationId xmlns:a16="http://schemas.microsoft.com/office/drawing/2014/main" id="{00000000-0008-0000-5E00-00001A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6057371" name="Check Box 27" hidden="1">
              <a:extLst>
                <a:ext uri="{63B3BB69-23CF-44E3-9099-C40C66FF867C}">
                  <a14:compatExt spid="_x0000_s16057371"/>
                </a:ext>
                <a:ext uri="{FF2B5EF4-FFF2-40B4-BE49-F238E27FC236}">
                  <a16:creationId xmlns:a16="http://schemas.microsoft.com/office/drawing/2014/main" id="{00000000-0008-0000-5E00-00001B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6057372" name="Button 28" hidden="1">
              <a:extLst>
                <a:ext uri="{63B3BB69-23CF-44E3-9099-C40C66FF867C}">
                  <a14:compatExt spid="_x0000_s16057372"/>
                </a:ext>
                <a:ext uri="{FF2B5EF4-FFF2-40B4-BE49-F238E27FC236}">
                  <a16:creationId xmlns:a16="http://schemas.microsoft.com/office/drawing/2014/main" id="{00000000-0008-0000-5E00-00001C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6057373" name="Button 29" hidden="1">
              <a:extLst>
                <a:ext uri="{63B3BB69-23CF-44E3-9099-C40C66FF867C}">
                  <a14:compatExt spid="_x0000_s16057373"/>
                </a:ext>
                <a:ext uri="{FF2B5EF4-FFF2-40B4-BE49-F238E27FC236}">
                  <a16:creationId xmlns:a16="http://schemas.microsoft.com/office/drawing/2014/main" id="{00000000-0008-0000-5E00-00001D04F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6057374" name="Check Box 30" hidden="1">
              <a:extLst>
                <a:ext uri="{63B3BB69-23CF-44E3-9099-C40C66FF867C}">
                  <a14:compatExt spid="_x0000_s16057374"/>
                </a:ext>
                <a:ext uri="{FF2B5EF4-FFF2-40B4-BE49-F238E27FC236}">
                  <a16:creationId xmlns:a16="http://schemas.microsoft.com/office/drawing/2014/main" id="{00000000-0008-0000-5E00-00001E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6057375" name="Check Box 31" hidden="1">
              <a:extLst>
                <a:ext uri="{63B3BB69-23CF-44E3-9099-C40C66FF867C}">
                  <a14:compatExt spid="_x0000_s16057375"/>
                </a:ext>
                <a:ext uri="{FF2B5EF4-FFF2-40B4-BE49-F238E27FC236}">
                  <a16:creationId xmlns:a16="http://schemas.microsoft.com/office/drawing/2014/main" id="{00000000-0008-0000-5E00-00001F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6057376" name="Check Box 32" hidden="1">
              <a:extLst>
                <a:ext uri="{63B3BB69-23CF-44E3-9099-C40C66FF867C}">
                  <a14:compatExt spid="_x0000_s16057376"/>
                </a:ext>
                <a:ext uri="{FF2B5EF4-FFF2-40B4-BE49-F238E27FC236}">
                  <a16:creationId xmlns:a16="http://schemas.microsoft.com/office/drawing/2014/main" id="{00000000-0008-0000-5E00-000020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6057377" name="Check Box 33" hidden="1">
              <a:extLst>
                <a:ext uri="{63B3BB69-23CF-44E3-9099-C40C66FF867C}">
                  <a14:compatExt spid="_x0000_s16057377"/>
                </a:ext>
                <a:ext uri="{FF2B5EF4-FFF2-40B4-BE49-F238E27FC236}">
                  <a16:creationId xmlns:a16="http://schemas.microsoft.com/office/drawing/2014/main" id="{00000000-0008-0000-5E00-000021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6057378" name="Check Box 34" hidden="1">
              <a:extLst>
                <a:ext uri="{63B3BB69-23CF-44E3-9099-C40C66FF867C}">
                  <a14:compatExt spid="_x0000_s16057378"/>
                </a:ext>
                <a:ext uri="{FF2B5EF4-FFF2-40B4-BE49-F238E27FC236}">
                  <a16:creationId xmlns:a16="http://schemas.microsoft.com/office/drawing/2014/main" id="{00000000-0008-0000-5E00-000022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6057379" name="Check Box 35" hidden="1">
              <a:extLst>
                <a:ext uri="{63B3BB69-23CF-44E3-9099-C40C66FF867C}">
                  <a14:compatExt spid="_x0000_s16057379"/>
                </a:ext>
                <a:ext uri="{FF2B5EF4-FFF2-40B4-BE49-F238E27FC236}">
                  <a16:creationId xmlns:a16="http://schemas.microsoft.com/office/drawing/2014/main" id="{00000000-0008-0000-5E00-000023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6057380" name="Check Box 36" hidden="1">
              <a:extLst>
                <a:ext uri="{63B3BB69-23CF-44E3-9099-C40C66FF867C}">
                  <a14:compatExt spid="_x0000_s16057380"/>
                </a:ext>
                <a:ext uri="{FF2B5EF4-FFF2-40B4-BE49-F238E27FC236}">
                  <a16:creationId xmlns:a16="http://schemas.microsoft.com/office/drawing/2014/main" id="{00000000-0008-0000-5E00-000024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6057381" name="Check Box 37" hidden="1">
              <a:extLst>
                <a:ext uri="{63B3BB69-23CF-44E3-9099-C40C66FF867C}">
                  <a14:compatExt spid="_x0000_s16057381"/>
                </a:ext>
                <a:ext uri="{FF2B5EF4-FFF2-40B4-BE49-F238E27FC236}">
                  <a16:creationId xmlns:a16="http://schemas.microsoft.com/office/drawing/2014/main" id="{00000000-0008-0000-5E00-00002504F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E0FEF55-ED1C-4DC7-AE54-65B71869DE6D}"/>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A.D</a:t>
          </a:r>
          <a:r>
            <a:rPr lang="en-AU" sz="1100" baseline="0"/>
            <a:t> noticed that this job got dropped after site plan completion, delaying the permit by approximately 1 month.</a:t>
          </a:r>
        </a:p>
        <a:p>
          <a:r>
            <a:rPr lang="en-AU" sz="1100" baseline="0"/>
            <a:t>To expedite the process, A.D applied for planning upon realising, with the intent to send the invoice to the customer for planning payment upon receiving the invoice from COGB</a:t>
          </a:r>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B21863C4-D247-4A3A-B8B7-45F220C3FB6E}"/>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937537" name="Check Box 1" hidden="1">
              <a:extLst>
                <a:ext uri="{63B3BB69-23CF-44E3-9099-C40C66FF867C}">
                  <a14:compatExt spid="_x0000_s15937537"/>
                </a:ext>
                <a:ext uri="{FF2B5EF4-FFF2-40B4-BE49-F238E27FC236}">
                  <a16:creationId xmlns:a16="http://schemas.microsoft.com/office/drawing/2014/main" id="{00000000-0008-0000-5F00-000001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937538" name="Check Box 2" hidden="1">
              <a:extLst>
                <a:ext uri="{63B3BB69-23CF-44E3-9099-C40C66FF867C}">
                  <a14:compatExt spid="_x0000_s15937538"/>
                </a:ext>
                <a:ext uri="{FF2B5EF4-FFF2-40B4-BE49-F238E27FC236}">
                  <a16:creationId xmlns:a16="http://schemas.microsoft.com/office/drawing/2014/main" id="{00000000-0008-0000-5F00-000002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937539" name="Check Box 3" hidden="1">
              <a:extLst>
                <a:ext uri="{63B3BB69-23CF-44E3-9099-C40C66FF867C}">
                  <a14:compatExt spid="_x0000_s15937539"/>
                </a:ext>
                <a:ext uri="{FF2B5EF4-FFF2-40B4-BE49-F238E27FC236}">
                  <a16:creationId xmlns:a16="http://schemas.microsoft.com/office/drawing/2014/main" id="{00000000-0008-0000-5F00-000003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937540" name="Check Box 4" hidden="1">
              <a:extLst>
                <a:ext uri="{63B3BB69-23CF-44E3-9099-C40C66FF867C}">
                  <a14:compatExt spid="_x0000_s15937540"/>
                </a:ext>
                <a:ext uri="{FF2B5EF4-FFF2-40B4-BE49-F238E27FC236}">
                  <a16:creationId xmlns:a16="http://schemas.microsoft.com/office/drawing/2014/main" id="{00000000-0008-0000-5F00-000004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937541" name="Check Box 5" hidden="1">
              <a:extLst>
                <a:ext uri="{63B3BB69-23CF-44E3-9099-C40C66FF867C}">
                  <a14:compatExt spid="_x0000_s15937541"/>
                </a:ext>
                <a:ext uri="{FF2B5EF4-FFF2-40B4-BE49-F238E27FC236}">
                  <a16:creationId xmlns:a16="http://schemas.microsoft.com/office/drawing/2014/main" id="{00000000-0008-0000-5F00-000005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937542" name="Check Box 6" hidden="1">
              <a:extLst>
                <a:ext uri="{63B3BB69-23CF-44E3-9099-C40C66FF867C}">
                  <a14:compatExt spid="_x0000_s15937542"/>
                </a:ext>
                <a:ext uri="{FF2B5EF4-FFF2-40B4-BE49-F238E27FC236}">
                  <a16:creationId xmlns:a16="http://schemas.microsoft.com/office/drawing/2014/main" id="{00000000-0008-0000-5F00-000006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937543" name="Check Box 7" hidden="1">
              <a:extLst>
                <a:ext uri="{63B3BB69-23CF-44E3-9099-C40C66FF867C}">
                  <a14:compatExt spid="_x0000_s15937543"/>
                </a:ext>
                <a:ext uri="{FF2B5EF4-FFF2-40B4-BE49-F238E27FC236}">
                  <a16:creationId xmlns:a16="http://schemas.microsoft.com/office/drawing/2014/main" id="{00000000-0008-0000-5F00-000007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937544" name="Button 8" hidden="1">
              <a:extLst>
                <a:ext uri="{63B3BB69-23CF-44E3-9099-C40C66FF867C}">
                  <a14:compatExt spid="_x0000_s15937544"/>
                </a:ext>
                <a:ext uri="{FF2B5EF4-FFF2-40B4-BE49-F238E27FC236}">
                  <a16:creationId xmlns:a16="http://schemas.microsoft.com/office/drawing/2014/main" id="{00000000-0008-0000-5F00-00000830F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937545" name="Button 9" hidden="1">
              <a:extLst>
                <a:ext uri="{63B3BB69-23CF-44E3-9099-C40C66FF867C}">
                  <a14:compatExt spid="_x0000_s15937545"/>
                </a:ext>
                <a:ext uri="{FF2B5EF4-FFF2-40B4-BE49-F238E27FC236}">
                  <a16:creationId xmlns:a16="http://schemas.microsoft.com/office/drawing/2014/main" id="{00000000-0008-0000-5F00-00000930F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937546" name="Check Box 10" hidden="1">
              <a:extLst>
                <a:ext uri="{63B3BB69-23CF-44E3-9099-C40C66FF867C}">
                  <a14:compatExt spid="_x0000_s15937546"/>
                </a:ext>
                <a:ext uri="{FF2B5EF4-FFF2-40B4-BE49-F238E27FC236}">
                  <a16:creationId xmlns:a16="http://schemas.microsoft.com/office/drawing/2014/main" id="{00000000-0008-0000-5F00-00000A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937547" name="Button 11" hidden="1">
              <a:extLst>
                <a:ext uri="{63B3BB69-23CF-44E3-9099-C40C66FF867C}">
                  <a14:compatExt spid="_x0000_s15937547"/>
                </a:ext>
                <a:ext uri="{FF2B5EF4-FFF2-40B4-BE49-F238E27FC236}">
                  <a16:creationId xmlns:a16="http://schemas.microsoft.com/office/drawing/2014/main" id="{00000000-0008-0000-5F00-00000B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937548" name="Button 12" hidden="1">
              <a:extLst>
                <a:ext uri="{63B3BB69-23CF-44E3-9099-C40C66FF867C}">
                  <a14:compatExt spid="_x0000_s15937548"/>
                </a:ext>
                <a:ext uri="{FF2B5EF4-FFF2-40B4-BE49-F238E27FC236}">
                  <a16:creationId xmlns:a16="http://schemas.microsoft.com/office/drawing/2014/main" id="{00000000-0008-0000-5F00-00000C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937549" name="Button 13" hidden="1">
              <a:extLst>
                <a:ext uri="{63B3BB69-23CF-44E3-9099-C40C66FF867C}">
                  <a14:compatExt spid="_x0000_s15937549"/>
                </a:ext>
                <a:ext uri="{FF2B5EF4-FFF2-40B4-BE49-F238E27FC236}">
                  <a16:creationId xmlns:a16="http://schemas.microsoft.com/office/drawing/2014/main" id="{00000000-0008-0000-5F00-00000D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937550" name="Button 14" hidden="1">
              <a:extLst>
                <a:ext uri="{63B3BB69-23CF-44E3-9099-C40C66FF867C}">
                  <a14:compatExt spid="_x0000_s15937550"/>
                </a:ext>
                <a:ext uri="{FF2B5EF4-FFF2-40B4-BE49-F238E27FC236}">
                  <a16:creationId xmlns:a16="http://schemas.microsoft.com/office/drawing/2014/main" id="{00000000-0008-0000-5F00-00000E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937551" name="Check Box 15" hidden="1">
              <a:extLst>
                <a:ext uri="{63B3BB69-23CF-44E3-9099-C40C66FF867C}">
                  <a14:compatExt spid="_x0000_s15937551"/>
                </a:ext>
                <a:ext uri="{FF2B5EF4-FFF2-40B4-BE49-F238E27FC236}">
                  <a16:creationId xmlns:a16="http://schemas.microsoft.com/office/drawing/2014/main" id="{00000000-0008-0000-5F00-00000F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937552" name="Check Box 16" hidden="1">
              <a:extLst>
                <a:ext uri="{63B3BB69-23CF-44E3-9099-C40C66FF867C}">
                  <a14:compatExt spid="_x0000_s15937552"/>
                </a:ext>
                <a:ext uri="{FF2B5EF4-FFF2-40B4-BE49-F238E27FC236}">
                  <a16:creationId xmlns:a16="http://schemas.microsoft.com/office/drawing/2014/main" id="{00000000-0008-0000-5F00-000010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937553" name="Check Box 17" hidden="1">
              <a:extLst>
                <a:ext uri="{63B3BB69-23CF-44E3-9099-C40C66FF867C}">
                  <a14:compatExt spid="_x0000_s15937553"/>
                </a:ext>
                <a:ext uri="{FF2B5EF4-FFF2-40B4-BE49-F238E27FC236}">
                  <a16:creationId xmlns:a16="http://schemas.microsoft.com/office/drawing/2014/main" id="{00000000-0008-0000-5F00-000011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937554" name="Check Box 18" hidden="1">
              <a:extLst>
                <a:ext uri="{63B3BB69-23CF-44E3-9099-C40C66FF867C}">
                  <a14:compatExt spid="_x0000_s15937554"/>
                </a:ext>
                <a:ext uri="{FF2B5EF4-FFF2-40B4-BE49-F238E27FC236}">
                  <a16:creationId xmlns:a16="http://schemas.microsoft.com/office/drawing/2014/main" id="{00000000-0008-0000-5F00-000012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937555" name="Check Box 19" hidden="1">
              <a:extLst>
                <a:ext uri="{63B3BB69-23CF-44E3-9099-C40C66FF867C}">
                  <a14:compatExt spid="_x0000_s15937555"/>
                </a:ext>
                <a:ext uri="{FF2B5EF4-FFF2-40B4-BE49-F238E27FC236}">
                  <a16:creationId xmlns:a16="http://schemas.microsoft.com/office/drawing/2014/main" id="{00000000-0008-0000-5F00-000013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937556" name="Check Box 20" hidden="1">
              <a:extLst>
                <a:ext uri="{63B3BB69-23CF-44E3-9099-C40C66FF867C}">
                  <a14:compatExt spid="_x0000_s15937556"/>
                </a:ext>
                <a:ext uri="{FF2B5EF4-FFF2-40B4-BE49-F238E27FC236}">
                  <a16:creationId xmlns:a16="http://schemas.microsoft.com/office/drawing/2014/main" id="{00000000-0008-0000-5F00-000014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937557" name="Check Box 21" hidden="1">
              <a:extLst>
                <a:ext uri="{63B3BB69-23CF-44E3-9099-C40C66FF867C}">
                  <a14:compatExt spid="_x0000_s15937557"/>
                </a:ext>
                <a:ext uri="{FF2B5EF4-FFF2-40B4-BE49-F238E27FC236}">
                  <a16:creationId xmlns:a16="http://schemas.microsoft.com/office/drawing/2014/main" id="{00000000-0008-0000-5F00-000015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937558" name="Check Box 22" hidden="1">
              <a:extLst>
                <a:ext uri="{63B3BB69-23CF-44E3-9099-C40C66FF867C}">
                  <a14:compatExt spid="_x0000_s15937558"/>
                </a:ext>
                <a:ext uri="{FF2B5EF4-FFF2-40B4-BE49-F238E27FC236}">
                  <a16:creationId xmlns:a16="http://schemas.microsoft.com/office/drawing/2014/main" id="{00000000-0008-0000-5F00-000016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937559" name="Check Box 23" hidden="1">
              <a:extLst>
                <a:ext uri="{63B3BB69-23CF-44E3-9099-C40C66FF867C}">
                  <a14:compatExt spid="_x0000_s15937559"/>
                </a:ext>
                <a:ext uri="{FF2B5EF4-FFF2-40B4-BE49-F238E27FC236}">
                  <a16:creationId xmlns:a16="http://schemas.microsoft.com/office/drawing/2014/main" id="{00000000-0008-0000-5F00-000017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937560" name="Check Box 24" hidden="1">
              <a:extLst>
                <a:ext uri="{63B3BB69-23CF-44E3-9099-C40C66FF867C}">
                  <a14:compatExt spid="_x0000_s15937560"/>
                </a:ext>
                <a:ext uri="{FF2B5EF4-FFF2-40B4-BE49-F238E27FC236}">
                  <a16:creationId xmlns:a16="http://schemas.microsoft.com/office/drawing/2014/main" id="{00000000-0008-0000-5F00-000018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937561" name="Check Box 25" hidden="1">
              <a:extLst>
                <a:ext uri="{63B3BB69-23CF-44E3-9099-C40C66FF867C}">
                  <a14:compatExt spid="_x0000_s15937561"/>
                </a:ext>
                <a:ext uri="{FF2B5EF4-FFF2-40B4-BE49-F238E27FC236}">
                  <a16:creationId xmlns:a16="http://schemas.microsoft.com/office/drawing/2014/main" id="{00000000-0008-0000-5F00-000019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937562" name="Check Box 26" hidden="1">
              <a:extLst>
                <a:ext uri="{63B3BB69-23CF-44E3-9099-C40C66FF867C}">
                  <a14:compatExt spid="_x0000_s15937562"/>
                </a:ext>
                <a:ext uri="{FF2B5EF4-FFF2-40B4-BE49-F238E27FC236}">
                  <a16:creationId xmlns:a16="http://schemas.microsoft.com/office/drawing/2014/main" id="{00000000-0008-0000-5F00-00001A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937563" name="Check Box 27" hidden="1">
              <a:extLst>
                <a:ext uri="{63B3BB69-23CF-44E3-9099-C40C66FF867C}">
                  <a14:compatExt spid="_x0000_s15937563"/>
                </a:ext>
                <a:ext uri="{FF2B5EF4-FFF2-40B4-BE49-F238E27FC236}">
                  <a16:creationId xmlns:a16="http://schemas.microsoft.com/office/drawing/2014/main" id="{00000000-0008-0000-5F00-00001B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937564" name="Button 28" hidden="1">
              <a:extLst>
                <a:ext uri="{63B3BB69-23CF-44E3-9099-C40C66FF867C}">
                  <a14:compatExt spid="_x0000_s15937564"/>
                </a:ext>
                <a:ext uri="{FF2B5EF4-FFF2-40B4-BE49-F238E27FC236}">
                  <a16:creationId xmlns:a16="http://schemas.microsoft.com/office/drawing/2014/main" id="{00000000-0008-0000-5F00-00001C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937565" name="Button 29" hidden="1">
              <a:extLst>
                <a:ext uri="{63B3BB69-23CF-44E3-9099-C40C66FF867C}">
                  <a14:compatExt spid="_x0000_s15937565"/>
                </a:ext>
                <a:ext uri="{FF2B5EF4-FFF2-40B4-BE49-F238E27FC236}">
                  <a16:creationId xmlns:a16="http://schemas.microsoft.com/office/drawing/2014/main" id="{00000000-0008-0000-5F00-00001D30F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937566" name="Check Box 30" hidden="1">
              <a:extLst>
                <a:ext uri="{63B3BB69-23CF-44E3-9099-C40C66FF867C}">
                  <a14:compatExt spid="_x0000_s15937566"/>
                </a:ext>
                <a:ext uri="{FF2B5EF4-FFF2-40B4-BE49-F238E27FC236}">
                  <a16:creationId xmlns:a16="http://schemas.microsoft.com/office/drawing/2014/main" id="{00000000-0008-0000-5F00-00001E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937567" name="Check Box 31" hidden="1">
              <a:extLst>
                <a:ext uri="{63B3BB69-23CF-44E3-9099-C40C66FF867C}">
                  <a14:compatExt spid="_x0000_s15937567"/>
                </a:ext>
                <a:ext uri="{FF2B5EF4-FFF2-40B4-BE49-F238E27FC236}">
                  <a16:creationId xmlns:a16="http://schemas.microsoft.com/office/drawing/2014/main" id="{00000000-0008-0000-5F00-00001F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937568" name="Check Box 32" hidden="1">
              <a:extLst>
                <a:ext uri="{63B3BB69-23CF-44E3-9099-C40C66FF867C}">
                  <a14:compatExt spid="_x0000_s15937568"/>
                </a:ext>
                <a:ext uri="{FF2B5EF4-FFF2-40B4-BE49-F238E27FC236}">
                  <a16:creationId xmlns:a16="http://schemas.microsoft.com/office/drawing/2014/main" id="{00000000-0008-0000-5F00-000020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937569" name="Check Box 33" hidden="1">
              <a:extLst>
                <a:ext uri="{63B3BB69-23CF-44E3-9099-C40C66FF867C}">
                  <a14:compatExt spid="_x0000_s15937569"/>
                </a:ext>
                <a:ext uri="{FF2B5EF4-FFF2-40B4-BE49-F238E27FC236}">
                  <a16:creationId xmlns:a16="http://schemas.microsoft.com/office/drawing/2014/main" id="{00000000-0008-0000-5F00-000021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937570" name="Check Box 34" hidden="1">
              <a:extLst>
                <a:ext uri="{63B3BB69-23CF-44E3-9099-C40C66FF867C}">
                  <a14:compatExt spid="_x0000_s15937570"/>
                </a:ext>
                <a:ext uri="{FF2B5EF4-FFF2-40B4-BE49-F238E27FC236}">
                  <a16:creationId xmlns:a16="http://schemas.microsoft.com/office/drawing/2014/main" id="{00000000-0008-0000-5F00-000022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937571" name="Check Box 35" hidden="1">
              <a:extLst>
                <a:ext uri="{63B3BB69-23CF-44E3-9099-C40C66FF867C}">
                  <a14:compatExt spid="_x0000_s15937571"/>
                </a:ext>
                <a:ext uri="{FF2B5EF4-FFF2-40B4-BE49-F238E27FC236}">
                  <a16:creationId xmlns:a16="http://schemas.microsoft.com/office/drawing/2014/main" id="{00000000-0008-0000-5F00-000023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937572" name="Check Box 36" hidden="1">
              <a:extLst>
                <a:ext uri="{63B3BB69-23CF-44E3-9099-C40C66FF867C}">
                  <a14:compatExt spid="_x0000_s15937572"/>
                </a:ext>
                <a:ext uri="{FF2B5EF4-FFF2-40B4-BE49-F238E27FC236}">
                  <a16:creationId xmlns:a16="http://schemas.microsoft.com/office/drawing/2014/main" id="{00000000-0008-0000-5F00-000024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937573" name="Check Box 37" hidden="1">
              <a:extLst>
                <a:ext uri="{63B3BB69-23CF-44E3-9099-C40C66FF867C}">
                  <a14:compatExt spid="_x0000_s15937573"/>
                </a:ext>
                <a:ext uri="{FF2B5EF4-FFF2-40B4-BE49-F238E27FC236}">
                  <a16:creationId xmlns:a16="http://schemas.microsoft.com/office/drawing/2014/main" id="{00000000-0008-0000-5F00-00002530F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DE5FEF73-545E-4E5B-B209-7E121C814A86}"/>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Darcie talk to @ loddon shire for planning exemption. </a:t>
          </a: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73AD21E4-2726-411E-A32E-55888FE3C52D}"/>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699969" name="Check Box 1" hidden="1">
              <a:extLst>
                <a:ext uri="{63B3BB69-23CF-44E3-9099-C40C66FF867C}">
                  <a14:compatExt spid="_x0000_s15699969"/>
                </a:ext>
                <a:ext uri="{FF2B5EF4-FFF2-40B4-BE49-F238E27FC236}">
                  <a16:creationId xmlns:a16="http://schemas.microsoft.com/office/drawing/2014/main" id="{00000000-0008-0000-6000-000001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699970" name="Check Box 2" hidden="1">
              <a:extLst>
                <a:ext uri="{63B3BB69-23CF-44E3-9099-C40C66FF867C}">
                  <a14:compatExt spid="_x0000_s15699970"/>
                </a:ext>
                <a:ext uri="{FF2B5EF4-FFF2-40B4-BE49-F238E27FC236}">
                  <a16:creationId xmlns:a16="http://schemas.microsoft.com/office/drawing/2014/main" id="{00000000-0008-0000-6000-000002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699971" name="Check Box 3" hidden="1">
              <a:extLst>
                <a:ext uri="{63B3BB69-23CF-44E3-9099-C40C66FF867C}">
                  <a14:compatExt spid="_x0000_s15699971"/>
                </a:ext>
                <a:ext uri="{FF2B5EF4-FFF2-40B4-BE49-F238E27FC236}">
                  <a16:creationId xmlns:a16="http://schemas.microsoft.com/office/drawing/2014/main" id="{00000000-0008-0000-6000-000003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699972" name="Check Box 4" hidden="1">
              <a:extLst>
                <a:ext uri="{63B3BB69-23CF-44E3-9099-C40C66FF867C}">
                  <a14:compatExt spid="_x0000_s15699972"/>
                </a:ext>
                <a:ext uri="{FF2B5EF4-FFF2-40B4-BE49-F238E27FC236}">
                  <a16:creationId xmlns:a16="http://schemas.microsoft.com/office/drawing/2014/main" id="{00000000-0008-0000-6000-000004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699973" name="Check Box 5" hidden="1">
              <a:extLst>
                <a:ext uri="{63B3BB69-23CF-44E3-9099-C40C66FF867C}">
                  <a14:compatExt spid="_x0000_s15699973"/>
                </a:ext>
                <a:ext uri="{FF2B5EF4-FFF2-40B4-BE49-F238E27FC236}">
                  <a16:creationId xmlns:a16="http://schemas.microsoft.com/office/drawing/2014/main" id="{00000000-0008-0000-6000-000005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699974" name="Check Box 6" hidden="1">
              <a:extLst>
                <a:ext uri="{63B3BB69-23CF-44E3-9099-C40C66FF867C}">
                  <a14:compatExt spid="_x0000_s15699974"/>
                </a:ext>
                <a:ext uri="{FF2B5EF4-FFF2-40B4-BE49-F238E27FC236}">
                  <a16:creationId xmlns:a16="http://schemas.microsoft.com/office/drawing/2014/main" id="{00000000-0008-0000-6000-000006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699975" name="Check Box 7" hidden="1">
              <a:extLst>
                <a:ext uri="{63B3BB69-23CF-44E3-9099-C40C66FF867C}">
                  <a14:compatExt spid="_x0000_s15699975"/>
                </a:ext>
                <a:ext uri="{FF2B5EF4-FFF2-40B4-BE49-F238E27FC236}">
                  <a16:creationId xmlns:a16="http://schemas.microsoft.com/office/drawing/2014/main" id="{00000000-0008-0000-6000-000007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699976" name="Button 8" hidden="1">
              <a:extLst>
                <a:ext uri="{63B3BB69-23CF-44E3-9099-C40C66FF867C}">
                  <a14:compatExt spid="_x0000_s15699976"/>
                </a:ext>
                <a:ext uri="{FF2B5EF4-FFF2-40B4-BE49-F238E27FC236}">
                  <a16:creationId xmlns:a16="http://schemas.microsoft.com/office/drawing/2014/main" id="{00000000-0008-0000-6000-00000890E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699977" name="Button 9" hidden="1">
              <a:extLst>
                <a:ext uri="{63B3BB69-23CF-44E3-9099-C40C66FF867C}">
                  <a14:compatExt spid="_x0000_s15699977"/>
                </a:ext>
                <a:ext uri="{FF2B5EF4-FFF2-40B4-BE49-F238E27FC236}">
                  <a16:creationId xmlns:a16="http://schemas.microsoft.com/office/drawing/2014/main" id="{00000000-0008-0000-6000-00000990E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699978" name="Check Box 10" hidden="1">
              <a:extLst>
                <a:ext uri="{63B3BB69-23CF-44E3-9099-C40C66FF867C}">
                  <a14:compatExt spid="_x0000_s15699978"/>
                </a:ext>
                <a:ext uri="{FF2B5EF4-FFF2-40B4-BE49-F238E27FC236}">
                  <a16:creationId xmlns:a16="http://schemas.microsoft.com/office/drawing/2014/main" id="{00000000-0008-0000-6000-00000A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699979" name="Button 11" hidden="1">
              <a:extLst>
                <a:ext uri="{63B3BB69-23CF-44E3-9099-C40C66FF867C}">
                  <a14:compatExt spid="_x0000_s15699979"/>
                </a:ext>
                <a:ext uri="{FF2B5EF4-FFF2-40B4-BE49-F238E27FC236}">
                  <a16:creationId xmlns:a16="http://schemas.microsoft.com/office/drawing/2014/main" id="{00000000-0008-0000-6000-00000B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699980" name="Button 12" hidden="1">
              <a:extLst>
                <a:ext uri="{63B3BB69-23CF-44E3-9099-C40C66FF867C}">
                  <a14:compatExt spid="_x0000_s15699980"/>
                </a:ext>
                <a:ext uri="{FF2B5EF4-FFF2-40B4-BE49-F238E27FC236}">
                  <a16:creationId xmlns:a16="http://schemas.microsoft.com/office/drawing/2014/main" id="{00000000-0008-0000-6000-00000C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699981" name="Button 13" hidden="1">
              <a:extLst>
                <a:ext uri="{63B3BB69-23CF-44E3-9099-C40C66FF867C}">
                  <a14:compatExt spid="_x0000_s15699981"/>
                </a:ext>
                <a:ext uri="{FF2B5EF4-FFF2-40B4-BE49-F238E27FC236}">
                  <a16:creationId xmlns:a16="http://schemas.microsoft.com/office/drawing/2014/main" id="{00000000-0008-0000-6000-00000D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699982" name="Button 14" hidden="1">
              <a:extLst>
                <a:ext uri="{63B3BB69-23CF-44E3-9099-C40C66FF867C}">
                  <a14:compatExt spid="_x0000_s15699982"/>
                </a:ext>
                <a:ext uri="{FF2B5EF4-FFF2-40B4-BE49-F238E27FC236}">
                  <a16:creationId xmlns:a16="http://schemas.microsoft.com/office/drawing/2014/main" id="{00000000-0008-0000-6000-00000E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699983" name="Check Box 15" hidden="1">
              <a:extLst>
                <a:ext uri="{63B3BB69-23CF-44E3-9099-C40C66FF867C}">
                  <a14:compatExt spid="_x0000_s15699983"/>
                </a:ext>
                <a:ext uri="{FF2B5EF4-FFF2-40B4-BE49-F238E27FC236}">
                  <a16:creationId xmlns:a16="http://schemas.microsoft.com/office/drawing/2014/main" id="{00000000-0008-0000-6000-00000F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699984" name="Check Box 16" hidden="1">
              <a:extLst>
                <a:ext uri="{63B3BB69-23CF-44E3-9099-C40C66FF867C}">
                  <a14:compatExt spid="_x0000_s15699984"/>
                </a:ext>
                <a:ext uri="{FF2B5EF4-FFF2-40B4-BE49-F238E27FC236}">
                  <a16:creationId xmlns:a16="http://schemas.microsoft.com/office/drawing/2014/main" id="{00000000-0008-0000-6000-000010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699985" name="Check Box 17" hidden="1">
              <a:extLst>
                <a:ext uri="{63B3BB69-23CF-44E3-9099-C40C66FF867C}">
                  <a14:compatExt spid="_x0000_s15699985"/>
                </a:ext>
                <a:ext uri="{FF2B5EF4-FFF2-40B4-BE49-F238E27FC236}">
                  <a16:creationId xmlns:a16="http://schemas.microsoft.com/office/drawing/2014/main" id="{00000000-0008-0000-6000-000011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699986" name="Check Box 18" hidden="1">
              <a:extLst>
                <a:ext uri="{63B3BB69-23CF-44E3-9099-C40C66FF867C}">
                  <a14:compatExt spid="_x0000_s15699986"/>
                </a:ext>
                <a:ext uri="{FF2B5EF4-FFF2-40B4-BE49-F238E27FC236}">
                  <a16:creationId xmlns:a16="http://schemas.microsoft.com/office/drawing/2014/main" id="{00000000-0008-0000-6000-000012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699987" name="Check Box 19" hidden="1">
              <a:extLst>
                <a:ext uri="{63B3BB69-23CF-44E3-9099-C40C66FF867C}">
                  <a14:compatExt spid="_x0000_s15699987"/>
                </a:ext>
                <a:ext uri="{FF2B5EF4-FFF2-40B4-BE49-F238E27FC236}">
                  <a16:creationId xmlns:a16="http://schemas.microsoft.com/office/drawing/2014/main" id="{00000000-0008-0000-6000-000013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699988" name="Check Box 20" hidden="1">
              <a:extLst>
                <a:ext uri="{63B3BB69-23CF-44E3-9099-C40C66FF867C}">
                  <a14:compatExt spid="_x0000_s15699988"/>
                </a:ext>
                <a:ext uri="{FF2B5EF4-FFF2-40B4-BE49-F238E27FC236}">
                  <a16:creationId xmlns:a16="http://schemas.microsoft.com/office/drawing/2014/main" id="{00000000-0008-0000-6000-000014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699989" name="Check Box 21" hidden="1">
              <a:extLst>
                <a:ext uri="{63B3BB69-23CF-44E3-9099-C40C66FF867C}">
                  <a14:compatExt spid="_x0000_s15699989"/>
                </a:ext>
                <a:ext uri="{FF2B5EF4-FFF2-40B4-BE49-F238E27FC236}">
                  <a16:creationId xmlns:a16="http://schemas.microsoft.com/office/drawing/2014/main" id="{00000000-0008-0000-6000-000015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699990" name="Check Box 22" hidden="1">
              <a:extLst>
                <a:ext uri="{63B3BB69-23CF-44E3-9099-C40C66FF867C}">
                  <a14:compatExt spid="_x0000_s15699990"/>
                </a:ext>
                <a:ext uri="{FF2B5EF4-FFF2-40B4-BE49-F238E27FC236}">
                  <a16:creationId xmlns:a16="http://schemas.microsoft.com/office/drawing/2014/main" id="{00000000-0008-0000-6000-000016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699991" name="Check Box 23" hidden="1">
              <a:extLst>
                <a:ext uri="{63B3BB69-23CF-44E3-9099-C40C66FF867C}">
                  <a14:compatExt spid="_x0000_s15699991"/>
                </a:ext>
                <a:ext uri="{FF2B5EF4-FFF2-40B4-BE49-F238E27FC236}">
                  <a16:creationId xmlns:a16="http://schemas.microsoft.com/office/drawing/2014/main" id="{00000000-0008-0000-6000-000017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699992" name="Check Box 24" hidden="1">
              <a:extLst>
                <a:ext uri="{63B3BB69-23CF-44E3-9099-C40C66FF867C}">
                  <a14:compatExt spid="_x0000_s15699992"/>
                </a:ext>
                <a:ext uri="{FF2B5EF4-FFF2-40B4-BE49-F238E27FC236}">
                  <a16:creationId xmlns:a16="http://schemas.microsoft.com/office/drawing/2014/main" id="{00000000-0008-0000-6000-000018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699993" name="Check Box 25" hidden="1">
              <a:extLst>
                <a:ext uri="{63B3BB69-23CF-44E3-9099-C40C66FF867C}">
                  <a14:compatExt spid="_x0000_s15699993"/>
                </a:ext>
                <a:ext uri="{FF2B5EF4-FFF2-40B4-BE49-F238E27FC236}">
                  <a16:creationId xmlns:a16="http://schemas.microsoft.com/office/drawing/2014/main" id="{00000000-0008-0000-6000-000019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699994" name="Check Box 26" hidden="1">
              <a:extLst>
                <a:ext uri="{63B3BB69-23CF-44E3-9099-C40C66FF867C}">
                  <a14:compatExt spid="_x0000_s15699994"/>
                </a:ext>
                <a:ext uri="{FF2B5EF4-FFF2-40B4-BE49-F238E27FC236}">
                  <a16:creationId xmlns:a16="http://schemas.microsoft.com/office/drawing/2014/main" id="{00000000-0008-0000-6000-00001A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699995" name="Check Box 27" hidden="1">
              <a:extLst>
                <a:ext uri="{63B3BB69-23CF-44E3-9099-C40C66FF867C}">
                  <a14:compatExt spid="_x0000_s15699995"/>
                </a:ext>
                <a:ext uri="{FF2B5EF4-FFF2-40B4-BE49-F238E27FC236}">
                  <a16:creationId xmlns:a16="http://schemas.microsoft.com/office/drawing/2014/main" id="{00000000-0008-0000-6000-00001B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699996" name="Button 28" hidden="1">
              <a:extLst>
                <a:ext uri="{63B3BB69-23CF-44E3-9099-C40C66FF867C}">
                  <a14:compatExt spid="_x0000_s15699996"/>
                </a:ext>
                <a:ext uri="{FF2B5EF4-FFF2-40B4-BE49-F238E27FC236}">
                  <a16:creationId xmlns:a16="http://schemas.microsoft.com/office/drawing/2014/main" id="{00000000-0008-0000-6000-00001C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699997" name="Button 29" hidden="1">
              <a:extLst>
                <a:ext uri="{63B3BB69-23CF-44E3-9099-C40C66FF867C}">
                  <a14:compatExt spid="_x0000_s15699997"/>
                </a:ext>
                <a:ext uri="{FF2B5EF4-FFF2-40B4-BE49-F238E27FC236}">
                  <a16:creationId xmlns:a16="http://schemas.microsoft.com/office/drawing/2014/main" id="{00000000-0008-0000-6000-00001D90E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699998" name="Check Box 30" hidden="1">
              <a:extLst>
                <a:ext uri="{63B3BB69-23CF-44E3-9099-C40C66FF867C}">
                  <a14:compatExt spid="_x0000_s15699998"/>
                </a:ext>
                <a:ext uri="{FF2B5EF4-FFF2-40B4-BE49-F238E27FC236}">
                  <a16:creationId xmlns:a16="http://schemas.microsoft.com/office/drawing/2014/main" id="{00000000-0008-0000-6000-00001E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699999" name="Check Box 31" hidden="1">
              <a:extLst>
                <a:ext uri="{63B3BB69-23CF-44E3-9099-C40C66FF867C}">
                  <a14:compatExt spid="_x0000_s15699999"/>
                </a:ext>
                <a:ext uri="{FF2B5EF4-FFF2-40B4-BE49-F238E27FC236}">
                  <a16:creationId xmlns:a16="http://schemas.microsoft.com/office/drawing/2014/main" id="{00000000-0008-0000-6000-00001F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700000" name="Check Box 32" hidden="1">
              <a:extLst>
                <a:ext uri="{63B3BB69-23CF-44E3-9099-C40C66FF867C}">
                  <a14:compatExt spid="_x0000_s15700000"/>
                </a:ext>
                <a:ext uri="{FF2B5EF4-FFF2-40B4-BE49-F238E27FC236}">
                  <a16:creationId xmlns:a16="http://schemas.microsoft.com/office/drawing/2014/main" id="{00000000-0008-0000-6000-000020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700001" name="Check Box 33" hidden="1">
              <a:extLst>
                <a:ext uri="{63B3BB69-23CF-44E3-9099-C40C66FF867C}">
                  <a14:compatExt spid="_x0000_s15700001"/>
                </a:ext>
                <a:ext uri="{FF2B5EF4-FFF2-40B4-BE49-F238E27FC236}">
                  <a16:creationId xmlns:a16="http://schemas.microsoft.com/office/drawing/2014/main" id="{00000000-0008-0000-6000-000021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700002" name="Check Box 34" hidden="1">
              <a:extLst>
                <a:ext uri="{63B3BB69-23CF-44E3-9099-C40C66FF867C}">
                  <a14:compatExt spid="_x0000_s15700002"/>
                </a:ext>
                <a:ext uri="{FF2B5EF4-FFF2-40B4-BE49-F238E27FC236}">
                  <a16:creationId xmlns:a16="http://schemas.microsoft.com/office/drawing/2014/main" id="{00000000-0008-0000-6000-000022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700003" name="Check Box 35" hidden="1">
              <a:extLst>
                <a:ext uri="{63B3BB69-23CF-44E3-9099-C40C66FF867C}">
                  <a14:compatExt spid="_x0000_s15700003"/>
                </a:ext>
                <a:ext uri="{FF2B5EF4-FFF2-40B4-BE49-F238E27FC236}">
                  <a16:creationId xmlns:a16="http://schemas.microsoft.com/office/drawing/2014/main" id="{00000000-0008-0000-6000-000023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700004" name="Check Box 36" hidden="1">
              <a:extLst>
                <a:ext uri="{63B3BB69-23CF-44E3-9099-C40C66FF867C}">
                  <a14:compatExt spid="_x0000_s15700004"/>
                </a:ext>
                <a:ext uri="{FF2B5EF4-FFF2-40B4-BE49-F238E27FC236}">
                  <a16:creationId xmlns:a16="http://schemas.microsoft.com/office/drawing/2014/main" id="{00000000-0008-0000-6000-000024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700005" name="Check Box 37" hidden="1">
              <a:extLst>
                <a:ext uri="{63B3BB69-23CF-44E3-9099-C40C66FF867C}">
                  <a14:compatExt spid="_x0000_s15700005"/>
                </a:ext>
                <a:ext uri="{FF2B5EF4-FFF2-40B4-BE49-F238E27FC236}">
                  <a16:creationId xmlns:a16="http://schemas.microsoft.com/office/drawing/2014/main" id="{00000000-0008-0000-6000-00002590E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6.xml><?xml version="1.0" encoding="utf-8"?>
<xdr:wsDr xmlns:xdr="http://schemas.openxmlformats.org/drawingml/2006/spreadsheetDrawing" xmlns:a="http://schemas.openxmlformats.org/drawingml/2006/main">
  <xdr:twoCellAnchor>
    <xdr:from>
      <xdr:col>0</xdr:col>
      <xdr:colOff>28574</xdr:colOff>
      <xdr:row>9</xdr:row>
      <xdr:rowOff>9526</xdr:rowOff>
    </xdr:from>
    <xdr:to>
      <xdr:col>9</xdr:col>
      <xdr:colOff>209550</xdr:colOff>
      <xdr:row>19</xdr:row>
      <xdr:rowOff>180976</xdr:rowOff>
    </xdr:to>
    <xdr:sp macro="" textlink="">
      <xdr:nvSpPr>
        <xdr:cNvPr id="2" name="TextBox 1">
          <a:extLst>
            <a:ext uri="{FF2B5EF4-FFF2-40B4-BE49-F238E27FC236}">
              <a16:creationId xmlns:a16="http://schemas.microsoft.com/office/drawing/2014/main" id="{024CBC68-0B9C-429C-ACB3-6BD02F659197}"/>
            </a:ext>
          </a:extLst>
        </xdr:cNvPr>
        <xdr:cNvSpPr txBox="1"/>
      </xdr:nvSpPr>
      <xdr:spPr>
        <a:xfrm>
          <a:off x="28574" y="1762126"/>
          <a:ext cx="6000751" cy="2076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r>
            <a:rPr lang="en-AU" sz="800" b="0" i="0" u="none" strike="noStrike" baseline="0">
              <a:solidFill>
                <a:schemeClr val="dk1"/>
              </a:solidFill>
              <a:latin typeface="+mn-lt"/>
              <a:ea typeface="+mn-ea"/>
              <a:cs typeface="+mn-cs"/>
            </a:rPr>
            <a:t> </a:t>
          </a:r>
        </a:p>
        <a:p>
          <a:r>
            <a:rPr lang="en-AU" sz="800" b="0" i="0" u="none" strike="noStrike" baseline="0">
              <a:solidFill>
                <a:schemeClr val="dk1"/>
              </a:solidFill>
              <a:latin typeface="+mn-lt"/>
              <a:ea typeface="+mn-ea"/>
              <a:cs typeface="+mn-cs"/>
            </a:rPr>
            <a:t>1. Fully dimensioned plans drawn to a stated scale and a minimum of A3 in size, generally in accordance with the plans submitted with the application, but amended to show: </a:t>
          </a:r>
        </a:p>
        <a:p>
          <a:r>
            <a:rPr lang="en-AU" sz="800" b="0" i="0" u="none" strike="noStrike" baseline="0">
              <a:solidFill>
                <a:srgbClr val="00B050"/>
              </a:solidFill>
              <a:latin typeface="+mn-lt"/>
              <a:ea typeface="+mn-ea"/>
              <a:cs typeface="+mn-cs"/>
            </a:rPr>
            <a:t>a. Natural ground level and finished ground level (to AHD) clearly nominated on all elevations. </a:t>
          </a:r>
        </a:p>
        <a:p>
          <a:r>
            <a:rPr lang="en-AU" sz="800" b="0" i="0" u="none" strike="noStrike" baseline="0">
              <a:solidFill>
                <a:srgbClr val="00B050"/>
              </a:solidFill>
              <a:latin typeface="+mn-lt"/>
              <a:ea typeface="+mn-ea"/>
              <a:cs typeface="+mn-cs"/>
            </a:rPr>
            <a:t>b. Materiality of the proposed ground surface of the outbuilding (i.e; concrete, gravel, earthen etc) </a:t>
          </a:r>
        </a:p>
        <a:p>
          <a:r>
            <a:rPr lang="en-AU" sz="800" b="0" i="0" u="none" strike="noStrike" baseline="0">
              <a:solidFill>
                <a:srgbClr val="00B050"/>
              </a:solidFill>
              <a:latin typeface="+mn-lt"/>
              <a:ea typeface="+mn-ea"/>
              <a:cs typeface="+mn-cs"/>
            </a:rPr>
            <a:t>c. The depth of any proposed cut and/or fill, including retaining walls (if any). </a:t>
          </a:r>
        </a:p>
        <a:p>
          <a:r>
            <a:rPr lang="en-AU" sz="800" b="0" i="0" u="none" strike="noStrike" baseline="0">
              <a:solidFill>
                <a:srgbClr val="00B050"/>
              </a:solidFill>
              <a:latin typeface="+mn-lt"/>
              <a:ea typeface="+mn-ea"/>
              <a:cs typeface="+mn-cs"/>
            </a:rPr>
            <a:t>d. A detailed schedule of materials and finishes (including specific colours) of all external surfaces of all proposed buildings. </a:t>
          </a:r>
        </a:p>
        <a:p>
          <a:endParaRPr lang="en-AU" sz="800" b="0" i="0" u="none" strike="noStrike" baseline="0">
            <a:solidFill>
              <a:schemeClr val="dk1"/>
            </a:solidFill>
            <a:latin typeface="+mn-lt"/>
            <a:ea typeface="+mn-ea"/>
            <a:cs typeface="+mn-cs"/>
          </a:endParaRPr>
        </a:p>
        <a:p>
          <a:r>
            <a:rPr lang="en-AU" sz="800" b="0" i="0" u="none" strike="noStrike" baseline="0">
              <a:solidFill>
                <a:srgbClr val="FFC000"/>
              </a:solidFill>
              <a:latin typeface="+mn-lt"/>
              <a:ea typeface="+mn-ea"/>
              <a:cs typeface="+mn-cs"/>
            </a:rPr>
            <a:t>2. add vegetation to site plan</a:t>
          </a:r>
        </a:p>
        <a:p>
          <a:endParaRPr lang="en-AU" sz="800" b="0" i="0" u="none" strike="noStrike" baseline="0">
            <a:solidFill>
              <a:schemeClr val="dk1"/>
            </a:solidFill>
            <a:latin typeface="+mn-lt"/>
            <a:ea typeface="+mn-ea"/>
            <a:cs typeface="+mn-cs"/>
          </a:endParaRPr>
        </a:p>
        <a:p>
          <a:endParaRPr lang="en-AU" sz="800" b="0" i="0" u="none" strike="noStrike" baseline="0">
            <a:solidFill>
              <a:schemeClr val="dk1"/>
            </a:solidFill>
            <a:latin typeface="+mn-lt"/>
            <a:ea typeface="+mn-ea"/>
            <a:cs typeface="+mn-cs"/>
          </a:endParaRPr>
        </a:p>
        <a:p>
          <a:endParaRPr lang="en-AU" sz="800" baseline="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355FB3A8-1875-4FE9-B61C-BF71A5BBFBFB}"/>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459329" name="Check Box 1" hidden="1">
              <a:extLst>
                <a:ext uri="{63B3BB69-23CF-44E3-9099-C40C66FF867C}">
                  <a14:compatExt spid="_x0000_s15459329"/>
                </a:ext>
                <a:ext uri="{FF2B5EF4-FFF2-40B4-BE49-F238E27FC236}">
                  <a16:creationId xmlns:a16="http://schemas.microsoft.com/office/drawing/2014/main" id="{00000000-0008-0000-6100-000001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459330" name="Check Box 2" hidden="1">
              <a:extLst>
                <a:ext uri="{63B3BB69-23CF-44E3-9099-C40C66FF867C}">
                  <a14:compatExt spid="_x0000_s15459330"/>
                </a:ext>
                <a:ext uri="{FF2B5EF4-FFF2-40B4-BE49-F238E27FC236}">
                  <a16:creationId xmlns:a16="http://schemas.microsoft.com/office/drawing/2014/main" id="{00000000-0008-0000-6100-000002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459331" name="Check Box 3" hidden="1">
              <a:extLst>
                <a:ext uri="{63B3BB69-23CF-44E3-9099-C40C66FF867C}">
                  <a14:compatExt spid="_x0000_s15459331"/>
                </a:ext>
                <a:ext uri="{FF2B5EF4-FFF2-40B4-BE49-F238E27FC236}">
                  <a16:creationId xmlns:a16="http://schemas.microsoft.com/office/drawing/2014/main" id="{00000000-0008-0000-6100-000003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459332" name="Check Box 4" hidden="1">
              <a:extLst>
                <a:ext uri="{63B3BB69-23CF-44E3-9099-C40C66FF867C}">
                  <a14:compatExt spid="_x0000_s15459332"/>
                </a:ext>
                <a:ext uri="{FF2B5EF4-FFF2-40B4-BE49-F238E27FC236}">
                  <a16:creationId xmlns:a16="http://schemas.microsoft.com/office/drawing/2014/main" id="{00000000-0008-0000-6100-000004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459333" name="Check Box 5" hidden="1">
              <a:extLst>
                <a:ext uri="{63B3BB69-23CF-44E3-9099-C40C66FF867C}">
                  <a14:compatExt spid="_x0000_s15459333"/>
                </a:ext>
                <a:ext uri="{FF2B5EF4-FFF2-40B4-BE49-F238E27FC236}">
                  <a16:creationId xmlns:a16="http://schemas.microsoft.com/office/drawing/2014/main" id="{00000000-0008-0000-6100-000005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459334" name="Check Box 6" hidden="1">
              <a:extLst>
                <a:ext uri="{63B3BB69-23CF-44E3-9099-C40C66FF867C}">
                  <a14:compatExt spid="_x0000_s15459334"/>
                </a:ext>
                <a:ext uri="{FF2B5EF4-FFF2-40B4-BE49-F238E27FC236}">
                  <a16:creationId xmlns:a16="http://schemas.microsoft.com/office/drawing/2014/main" id="{00000000-0008-0000-6100-000006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459335" name="Check Box 7" hidden="1">
              <a:extLst>
                <a:ext uri="{63B3BB69-23CF-44E3-9099-C40C66FF867C}">
                  <a14:compatExt spid="_x0000_s15459335"/>
                </a:ext>
                <a:ext uri="{FF2B5EF4-FFF2-40B4-BE49-F238E27FC236}">
                  <a16:creationId xmlns:a16="http://schemas.microsoft.com/office/drawing/2014/main" id="{00000000-0008-0000-6100-000007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459336" name="Button 8" hidden="1">
              <a:extLst>
                <a:ext uri="{63B3BB69-23CF-44E3-9099-C40C66FF867C}">
                  <a14:compatExt spid="_x0000_s15459336"/>
                </a:ext>
                <a:ext uri="{FF2B5EF4-FFF2-40B4-BE49-F238E27FC236}">
                  <a16:creationId xmlns:a16="http://schemas.microsoft.com/office/drawing/2014/main" id="{00000000-0008-0000-6100-000008E4E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459337" name="Button 9" hidden="1">
              <a:extLst>
                <a:ext uri="{63B3BB69-23CF-44E3-9099-C40C66FF867C}">
                  <a14:compatExt spid="_x0000_s15459337"/>
                </a:ext>
                <a:ext uri="{FF2B5EF4-FFF2-40B4-BE49-F238E27FC236}">
                  <a16:creationId xmlns:a16="http://schemas.microsoft.com/office/drawing/2014/main" id="{00000000-0008-0000-6100-000009E4E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459338" name="Check Box 10" hidden="1">
              <a:extLst>
                <a:ext uri="{63B3BB69-23CF-44E3-9099-C40C66FF867C}">
                  <a14:compatExt spid="_x0000_s15459338"/>
                </a:ext>
                <a:ext uri="{FF2B5EF4-FFF2-40B4-BE49-F238E27FC236}">
                  <a16:creationId xmlns:a16="http://schemas.microsoft.com/office/drawing/2014/main" id="{00000000-0008-0000-6100-00000A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459339" name="Button 11" hidden="1">
              <a:extLst>
                <a:ext uri="{63B3BB69-23CF-44E3-9099-C40C66FF867C}">
                  <a14:compatExt spid="_x0000_s15459339"/>
                </a:ext>
                <a:ext uri="{FF2B5EF4-FFF2-40B4-BE49-F238E27FC236}">
                  <a16:creationId xmlns:a16="http://schemas.microsoft.com/office/drawing/2014/main" id="{00000000-0008-0000-6100-00000B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459340" name="Button 12" hidden="1">
              <a:extLst>
                <a:ext uri="{63B3BB69-23CF-44E3-9099-C40C66FF867C}">
                  <a14:compatExt spid="_x0000_s15459340"/>
                </a:ext>
                <a:ext uri="{FF2B5EF4-FFF2-40B4-BE49-F238E27FC236}">
                  <a16:creationId xmlns:a16="http://schemas.microsoft.com/office/drawing/2014/main" id="{00000000-0008-0000-6100-00000C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459341" name="Button 13" hidden="1">
              <a:extLst>
                <a:ext uri="{63B3BB69-23CF-44E3-9099-C40C66FF867C}">
                  <a14:compatExt spid="_x0000_s15459341"/>
                </a:ext>
                <a:ext uri="{FF2B5EF4-FFF2-40B4-BE49-F238E27FC236}">
                  <a16:creationId xmlns:a16="http://schemas.microsoft.com/office/drawing/2014/main" id="{00000000-0008-0000-6100-00000D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459342" name="Button 14" hidden="1">
              <a:extLst>
                <a:ext uri="{63B3BB69-23CF-44E3-9099-C40C66FF867C}">
                  <a14:compatExt spid="_x0000_s15459342"/>
                </a:ext>
                <a:ext uri="{FF2B5EF4-FFF2-40B4-BE49-F238E27FC236}">
                  <a16:creationId xmlns:a16="http://schemas.microsoft.com/office/drawing/2014/main" id="{00000000-0008-0000-6100-00000E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459343" name="Check Box 15" hidden="1">
              <a:extLst>
                <a:ext uri="{63B3BB69-23CF-44E3-9099-C40C66FF867C}">
                  <a14:compatExt spid="_x0000_s15459343"/>
                </a:ext>
                <a:ext uri="{FF2B5EF4-FFF2-40B4-BE49-F238E27FC236}">
                  <a16:creationId xmlns:a16="http://schemas.microsoft.com/office/drawing/2014/main" id="{00000000-0008-0000-6100-00000F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459344" name="Check Box 16" hidden="1">
              <a:extLst>
                <a:ext uri="{63B3BB69-23CF-44E3-9099-C40C66FF867C}">
                  <a14:compatExt spid="_x0000_s15459344"/>
                </a:ext>
                <a:ext uri="{FF2B5EF4-FFF2-40B4-BE49-F238E27FC236}">
                  <a16:creationId xmlns:a16="http://schemas.microsoft.com/office/drawing/2014/main" id="{00000000-0008-0000-6100-000010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459345" name="Check Box 17" hidden="1">
              <a:extLst>
                <a:ext uri="{63B3BB69-23CF-44E3-9099-C40C66FF867C}">
                  <a14:compatExt spid="_x0000_s15459345"/>
                </a:ext>
                <a:ext uri="{FF2B5EF4-FFF2-40B4-BE49-F238E27FC236}">
                  <a16:creationId xmlns:a16="http://schemas.microsoft.com/office/drawing/2014/main" id="{00000000-0008-0000-6100-000011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459346" name="Check Box 18" hidden="1">
              <a:extLst>
                <a:ext uri="{63B3BB69-23CF-44E3-9099-C40C66FF867C}">
                  <a14:compatExt spid="_x0000_s15459346"/>
                </a:ext>
                <a:ext uri="{FF2B5EF4-FFF2-40B4-BE49-F238E27FC236}">
                  <a16:creationId xmlns:a16="http://schemas.microsoft.com/office/drawing/2014/main" id="{00000000-0008-0000-6100-000012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459347" name="Check Box 19" hidden="1">
              <a:extLst>
                <a:ext uri="{63B3BB69-23CF-44E3-9099-C40C66FF867C}">
                  <a14:compatExt spid="_x0000_s15459347"/>
                </a:ext>
                <a:ext uri="{FF2B5EF4-FFF2-40B4-BE49-F238E27FC236}">
                  <a16:creationId xmlns:a16="http://schemas.microsoft.com/office/drawing/2014/main" id="{00000000-0008-0000-6100-000013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459348" name="Check Box 20" hidden="1">
              <a:extLst>
                <a:ext uri="{63B3BB69-23CF-44E3-9099-C40C66FF867C}">
                  <a14:compatExt spid="_x0000_s15459348"/>
                </a:ext>
                <a:ext uri="{FF2B5EF4-FFF2-40B4-BE49-F238E27FC236}">
                  <a16:creationId xmlns:a16="http://schemas.microsoft.com/office/drawing/2014/main" id="{00000000-0008-0000-6100-000014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459349" name="Check Box 21" hidden="1">
              <a:extLst>
                <a:ext uri="{63B3BB69-23CF-44E3-9099-C40C66FF867C}">
                  <a14:compatExt spid="_x0000_s15459349"/>
                </a:ext>
                <a:ext uri="{FF2B5EF4-FFF2-40B4-BE49-F238E27FC236}">
                  <a16:creationId xmlns:a16="http://schemas.microsoft.com/office/drawing/2014/main" id="{00000000-0008-0000-6100-000015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459350" name="Check Box 22" hidden="1">
              <a:extLst>
                <a:ext uri="{63B3BB69-23CF-44E3-9099-C40C66FF867C}">
                  <a14:compatExt spid="_x0000_s15459350"/>
                </a:ext>
                <a:ext uri="{FF2B5EF4-FFF2-40B4-BE49-F238E27FC236}">
                  <a16:creationId xmlns:a16="http://schemas.microsoft.com/office/drawing/2014/main" id="{00000000-0008-0000-6100-000016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459351" name="Check Box 23" hidden="1">
              <a:extLst>
                <a:ext uri="{63B3BB69-23CF-44E3-9099-C40C66FF867C}">
                  <a14:compatExt spid="_x0000_s15459351"/>
                </a:ext>
                <a:ext uri="{FF2B5EF4-FFF2-40B4-BE49-F238E27FC236}">
                  <a16:creationId xmlns:a16="http://schemas.microsoft.com/office/drawing/2014/main" id="{00000000-0008-0000-6100-000017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459352" name="Check Box 24" hidden="1">
              <a:extLst>
                <a:ext uri="{63B3BB69-23CF-44E3-9099-C40C66FF867C}">
                  <a14:compatExt spid="_x0000_s15459352"/>
                </a:ext>
                <a:ext uri="{FF2B5EF4-FFF2-40B4-BE49-F238E27FC236}">
                  <a16:creationId xmlns:a16="http://schemas.microsoft.com/office/drawing/2014/main" id="{00000000-0008-0000-6100-000018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459353" name="Check Box 25" hidden="1">
              <a:extLst>
                <a:ext uri="{63B3BB69-23CF-44E3-9099-C40C66FF867C}">
                  <a14:compatExt spid="_x0000_s15459353"/>
                </a:ext>
                <a:ext uri="{FF2B5EF4-FFF2-40B4-BE49-F238E27FC236}">
                  <a16:creationId xmlns:a16="http://schemas.microsoft.com/office/drawing/2014/main" id="{00000000-0008-0000-6100-000019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459354" name="Check Box 26" hidden="1">
              <a:extLst>
                <a:ext uri="{63B3BB69-23CF-44E3-9099-C40C66FF867C}">
                  <a14:compatExt spid="_x0000_s15459354"/>
                </a:ext>
                <a:ext uri="{FF2B5EF4-FFF2-40B4-BE49-F238E27FC236}">
                  <a16:creationId xmlns:a16="http://schemas.microsoft.com/office/drawing/2014/main" id="{00000000-0008-0000-6100-00001A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459355" name="Check Box 27" hidden="1">
              <a:extLst>
                <a:ext uri="{63B3BB69-23CF-44E3-9099-C40C66FF867C}">
                  <a14:compatExt spid="_x0000_s15459355"/>
                </a:ext>
                <a:ext uri="{FF2B5EF4-FFF2-40B4-BE49-F238E27FC236}">
                  <a16:creationId xmlns:a16="http://schemas.microsoft.com/office/drawing/2014/main" id="{00000000-0008-0000-6100-00001B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459356" name="Button 28" hidden="1">
              <a:extLst>
                <a:ext uri="{63B3BB69-23CF-44E3-9099-C40C66FF867C}">
                  <a14:compatExt spid="_x0000_s15459356"/>
                </a:ext>
                <a:ext uri="{FF2B5EF4-FFF2-40B4-BE49-F238E27FC236}">
                  <a16:creationId xmlns:a16="http://schemas.microsoft.com/office/drawing/2014/main" id="{00000000-0008-0000-6100-00001C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459357" name="Button 29" hidden="1">
              <a:extLst>
                <a:ext uri="{63B3BB69-23CF-44E3-9099-C40C66FF867C}">
                  <a14:compatExt spid="_x0000_s15459357"/>
                </a:ext>
                <a:ext uri="{FF2B5EF4-FFF2-40B4-BE49-F238E27FC236}">
                  <a16:creationId xmlns:a16="http://schemas.microsoft.com/office/drawing/2014/main" id="{00000000-0008-0000-6100-00001DE4E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459358" name="Check Box 30" hidden="1">
              <a:extLst>
                <a:ext uri="{63B3BB69-23CF-44E3-9099-C40C66FF867C}">
                  <a14:compatExt spid="_x0000_s15459358"/>
                </a:ext>
                <a:ext uri="{FF2B5EF4-FFF2-40B4-BE49-F238E27FC236}">
                  <a16:creationId xmlns:a16="http://schemas.microsoft.com/office/drawing/2014/main" id="{00000000-0008-0000-6100-00001E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459359" name="Check Box 31" hidden="1">
              <a:extLst>
                <a:ext uri="{63B3BB69-23CF-44E3-9099-C40C66FF867C}">
                  <a14:compatExt spid="_x0000_s15459359"/>
                </a:ext>
                <a:ext uri="{FF2B5EF4-FFF2-40B4-BE49-F238E27FC236}">
                  <a16:creationId xmlns:a16="http://schemas.microsoft.com/office/drawing/2014/main" id="{00000000-0008-0000-6100-00001F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459360" name="Check Box 32" hidden="1">
              <a:extLst>
                <a:ext uri="{63B3BB69-23CF-44E3-9099-C40C66FF867C}">
                  <a14:compatExt spid="_x0000_s15459360"/>
                </a:ext>
                <a:ext uri="{FF2B5EF4-FFF2-40B4-BE49-F238E27FC236}">
                  <a16:creationId xmlns:a16="http://schemas.microsoft.com/office/drawing/2014/main" id="{00000000-0008-0000-6100-000020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459361" name="Check Box 33" hidden="1">
              <a:extLst>
                <a:ext uri="{63B3BB69-23CF-44E3-9099-C40C66FF867C}">
                  <a14:compatExt spid="_x0000_s15459361"/>
                </a:ext>
                <a:ext uri="{FF2B5EF4-FFF2-40B4-BE49-F238E27FC236}">
                  <a16:creationId xmlns:a16="http://schemas.microsoft.com/office/drawing/2014/main" id="{00000000-0008-0000-6100-000021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459362" name="Check Box 34" hidden="1">
              <a:extLst>
                <a:ext uri="{63B3BB69-23CF-44E3-9099-C40C66FF867C}">
                  <a14:compatExt spid="_x0000_s15459362"/>
                </a:ext>
                <a:ext uri="{FF2B5EF4-FFF2-40B4-BE49-F238E27FC236}">
                  <a16:creationId xmlns:a16="http://schemas.microsoft.com/office/drawing/2014/main" id="{00000000-0008-0000-6100-000022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459363" name="Check Box 35" hidden="1">
              <a:extLst>
                <a:ext uri="{63B3BB69-23CF-44E3-9099-C40C66FF867C}">
                  <a14:compatExt spid="_x0000_s15459363"/>
                </a:ext>
                <a:ext uri="{FF2B5EF4-FFF2-40B4-BE49-F238E27FC236}">
                  <a16:creationId xmlns:a16="http://schemas.microsoft.com/office/drawing/2014/main" id="{00000000-0008-0000-6100-000023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459364" name="Check Box 36" hidden="1">
              <a:extLst>
                <a:ext uri="{63B3BB69-23CF-44E3-9099-C40C66FF867C}">
                  <a14:compatExt spid="_x0000_s15459364"/>
                </a:ext>
                <a:ext uri="{FF2B5EF4-FFF2-40B4-BE49-F238E27FC236}">
                  <a16:creationId xmlns:a16="http://schemas.microsoft.com/office/drawing/2014/main" id="{00000000-0008-0000-6100-000024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459365" name="Check Box 37" hidden="1">
              <a:extLst>
                <a:ext uri="{63B3BB69-23CF-44E3-9099-C40C66FF867C}">
                  <a14:compatExt spid="_x0000_s15459365"/>
                </a:ext>
                <a:ext uri="{FF2B5EF4-FFF2-40B4-BE49-F238E27FC236}">
                  <a16:creationId xmlns:a16="http://schemas.microsoft.com/office/drawing/2014/main" id="{00000000-0008-0000-6100-000025E4E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9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8F8290FC-6FA8-4A72-BDD1-DD4AA34A14E7}"/>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rgbClr val="00B050"/>
              </a:solidFill>
              <a:latin typeface="+mn-lt"/>
              <a:ea typeface="+mn-ea"/>
              <a:cs typeface="+mn-cs"/>
            </a:rPr>
            <a:t>1. FYI - I will condition the external wall height max 3.6m at 1.0m offset to boundary - now is the time to</a:t>
          </a:r>
        </a:p>
        <a:p>
          <a:r>
            <a:rPr lang="en-AU" sz="800" b="0" i="0" u="none" strike="noStrike" baseline="0">
              <a:solidFill>
                <a:srgbClr val="00B050"/>
              </a:solidFill>
              <a:latin typeface="+mn-lt"/>
              <a:ea typeface="+mn-ea"/>
              <a:cs typeface="+mn-cs"/>
            </a:rPr>
            <a:t>change the site plan if the proposed shed and fill will exceed 3.6m high to NGL.</a:t>
          </a:r>
        </a:p>
        <a:p>
          <a:r>
            <a:rPr lang="en-AU" sz="800" b="0" i="0" u="none" strike="noStrike" baseline="0">
              <a:solidFill>
                <a:srgbClr val="00B050"/>
              </a:solidFill>
              <a:latin typeface="+mn-lt"/>
              <a:ea typeface="+mn-ea"/>
              <a:cs typeface="+mn-cs"/>
            </a:rPr>
            <a:t>2. Please confirm - is the old existing shed being removed - see site plan new shed over the top of the old</a:t>
          </a:r>
        </a:p>
        <a:p>
          <a:r>
            <a:rPr lang="en-AU" sz="800" b="1" i="0" u="none" strike="noStrike" baseline="0">
              <a:solidFill>
                <a:schemeClr val="dk1"/>
              </a:solidFill>
              <a:latin typeface="+mn-lt"/>
              <a:ea typeface="+mn-ea"/>
              <a:cs typeface="+mn-cs"/>
            </a:rPr>
            <a:t>RFI Checklist</a:t>
          </a:r>
        </a:p>
        <a:p>
          <a:r>
            <a:rPr lang="en-AU" sz="800" b="0" i="0" u="none" strike="noStrike" baseline="0">
              <a:solidFill>
                <a:schemeClr val="accent4"/>
              </a:solidFill>
              <a:latin typeface="+mn-lt"/>
              <a:ea typeface="+mn-ea"/>
              <a:cs typeface="+mn-cs"/>
            </a:rPr>
            <a:t>3. Provide Builders details, appointment form with builders details completed a copy Builders warranty</a:t>
          </a:r>
        </a:p>
        <a:p>
          <a:r>
            <a:rPr lang="en-AU" sz="800" b="0" i="0" u="none" strike="noStrike" baseline="0">
              <a:solidFill>
                <a:schemeClr val="accent4"/>
              </a:solidFill>
              <a:latin typeface="+mn-lt"/>
              <a:ea typeface="+mn-ea"/>
              <a:cs typeface="+mn-cs"/>
            </a:rPr>
            <a:t>insurance and contract.</a:t>
          </a:r>
        </a:p>
        <a:p>
          <a:r>
            <a:rPr lang="en-AU" sz="800" b="0" i="0" u="none" strike="noStrike" baseline="0">
              <a:solidFill>
                <a:srgbClr val="00B050"/>
              </a:solidFill>
              <a:latin typeface="+mn-lt"/>
              <a:ea typeface="+mn-ea"/>
              <a:cs typeface="+mn-cs"/>
            </a:rPr>
            <a:t>4. Provide engineering documents.</a:t>
          </a:r>
        </a:p>
        <a:p>
          <a:r>
            <a:rPr lang="en-AU" sz="800" b="0" i="0" u="none" strike="noStrike" baseline="0">
              <a:solidFill>
                <a:srgbClr val="00B050"/>
              </a:solidFill>
              <a:latin typeface="+mn-lt"/>
              <a:ea typeface="+mn-ea"/>
              <a:cs typeface="+mn-cs"/>
            </a:rPr>
            <a:t>5. Provide engineers certificate of compliance Reg. 126 with Michael Harvey noted as the RBS.</a:t>
          </a:r>
        </a:p>
        <a:p>
          <a:r>
            <a:rPr lang="en-AU" sz="800" b="0" i="0" u="none" strike="noStrike" baseline="0">
              <a:solidFill>
                <a:srgbClr val="00B050"/>
              </a:solidFill>
              <a:latin typeface="+mn-lt"/>
              <a:ea typeface="+mn-ea"/>
              <a:cs typeface="+mn-cs"/>
            </a:rPr>
            <a:t>6. Provide Planning Permit from council. Note NCO - a permit IS required to construct an out building.</a:t>
          </a:r>
          <a:endParaRPr lang="en-AU" sz="800">
            <a:solidFill>
              <a:srgbClr val="00B050"/>
            </a:solidFill>
          </a:endParaRPr>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8B485582-5B59-4CD7-970A-F368B2612949}"/>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5578113" name="Check Box 1" hidden="1">
              <a:extLst>
                <a:ext uri="{63B3BB69-23CF-44E3-9099-C40C66FF867C}">
                  <a14:compatExt spid="_x0000_s15578113"/>
                </a:ext>
                <a:ext uri="{FF2B5EF4-FFF2-40B4-BE49-F238E27FC236}">
                  <a16:creationId xmlns:a16="http://schemas.microsoft.com/office/drawing/2014/main" id="{00000000-0008-0000-6200-000001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5578114" name="Check Box 2" hidden="1">
              <a:extLst>
                <a:ext uri="{63B3BB69-23CF-44E3-9099-C40C66FF867C}">
                  <a14:compatExt spid="_x0000_s15578114"/>
                </a:ext>
                <a:ext uri="{FF2B5EF4-FFF2-40B4-BE49-F238E27FC236}">
                  <a16:creationId xmlns:a16="http://schemas.microsoft.com/office/drawing/2014/main" id="{00000000-0008-0000-6200-000002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5578115" name="Check Box 3" hidden="1">
              <a:extLst>
                <a:ext uri="{63B3BB69-23CF-44E3-9099-C40C66FF867C}">
                  <a14:compatExt spid="_x0000_s15578115"/>
                </a:ext>
                <a:ext uri="{FF2B5EF4-FFF2-40B4-BE49-F238E27FC236}">
                  <a16:creationId xmlns:a16="http://schemas.microsoft.com/office/drawing/2014/main" id="{00000000-0008-0000-6200-000003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5578116" name="Check Box 4" hidden="1">
              <a:extLst>
                <a:ext uri="{63B3BB69-23CF-44E3-9099-C40C66FF867C}">
                  <a14:compatExt spid="_x0000_s15578116"/>
                </a:ext>
                <a:ext uri="{FF2B5EF4-FFF2-40B4-BE49-F238E27FC236}">
                  <a16:creationId xmlns:a16="http://schemas.microsoft.com/office/drawing/2014/main" id="{00000000-0008-0000-6200-000004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5578117" name="Check Box 5" hidden="1">
              <a:extLst>
                <a:ext uri="{63B3BB69-23CF-44E3-9099-C40C66FF867C}">
                  <a14:compatExt spid="_x0000_s15578117"/>
                </a:ext>
                <a:ext uri="{FF2B5EF4-FFF2-40B4-BE49-F238E27FC236}">
                  <a16:creationId xmlns:a16="http://schemas.microsoft.com/office/drawing/2014/main" id="{00000000-0008-0000-6200-000005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5578118" name="Check Box 6" hidden="1">
              <a:extLst>
                <a:ext uri="{63B3BB69-23CF-44E3-9099-C40C66FF867C}">
                  <a14:compatExt spid="_x0000_s15578118"/>
                </a:ext>
                <a:ext uri="{FF2B5EF4-FFF2-40B4-BE49-F238E27FC236}">
                  <a16:creationId xmlns:a16="http://schemas.microsoft.com/office/drawing/2014/main" id="{00000000-0008-0000-6200-000006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5578119" name="Check Box 7" hidden="1">
              <a:extLst>
                <a:ext uri="{63B3BB69-23CF-44E3-9099-C40C66FF867C}">
                  <a14:compatExt spid="_x0000_s15578119"/>
                </a:ext>
                <a:ext uri="{FF2B5EF4-FFF2-40B4-BE49-F238E27FC236}">
                  <a16:creationId xmlns:a16="http://schemas.microsoft.com/office/drawing/2014/main" id="{00000000-0008-0000-6200-000007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5578120" name="Button 8" hidden="1">
              <a:extLst>
                <a:ext uri="{63B3BB69-23CF-44E3-9099-C40C66FF867C}">
                  <a14:compatExt spid="_x0000_s15578120"/>
                </a:ext>
                <a:ext uri="{FF2B5EF4-FFF2-40B4-BE49-F238E27FC236}">
                  <a16:creationId xmlns:a16="http://schemas.microsoft.com/office/drawing/2014/main" id="{00000000-0008-0000-6200-000008B4E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5578121" name="Button 9" hidden="1">
              <a:extLst>
                <a:ext uri="{63B3BB69-23CF-44E3-9099-C40C66FF867C}">
                  <a14:compatExt spid="_x0000_s15578121"/>
                </a:ext>
                <a:ext uri="{FF2B5EF4-FFF2-40B4-BE49-F238E27FC236}">
                  <a16:creationId xmlns:a16="http://schemas.microsoft.com/office/drawing/2014/main" id="{00000000-0008-0000-6200-000009B4E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5578122" name="Check Box 10" hidden="1">
              <a:extLst>
                <a:ext uri="{63B3BB69-23CF-44E3-9099-C40C66FF867C}">
                  <a14:compatExt spid="_x0000_s15578122"/>
                </a:ext>
                <a:ext uri="{FF2B5EF4-FFF2-40B4-BE49-F238E27FC236}">
                  <a16:creationId xmlns:a16="http://schemas.microsoft.com/office/drawing/2014/main" id="{00000000-0008-0000-6200-00000A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5578123" name="Button 11" hidden="1">
              <a:extLst>
                <a:ext uri="{63B3BB69-23CF-44E3-9099-C40C66FF867C}">
                  <a14:compatExt spid="_x0000_s15578123"/>
                </a:ext>
                <a:ext uri="{FF2B5EF4-FFF2-40B4-BE49-F238E27FC236}">
                  <a16:creationId xmlns:a16="http://schemas.microsoft.com/office/drawing/2014/main" id="{00000000-0008-0000-6200-00000B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5578124" name="Button 12" hidden="1">
              <a:extLst>
                <a:ext uri="{63B3BB69-23CF-44E3-9099-C40C66FF867C}">
                  <a14:compatExt spid="_x0000_s15578124"/>
                </a:ext>
                <a:ext uri="{FF2B5EF4-FFF2-40B4-BE49-F238E27FC236}">
                  <a16:creationId xmlns:a16="http://schemas.microsoft.com/office/drawing/2014/main" id="{00000000-0008-0000-6200-00000C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5578125" name="Button 13" hidden="1">
              <a:extLst>
                <a:ext uri="{63B3BB69-23CF-44E3-9099-C40C66FF867C}">
                  <a14:compatExt spid="_x0000_s15578125"/>
                </a:ext>
                <a:ext uri="{FF2B5EF4-FFF2-40B4-BE49-F238E27FC236}">
                  <a16:creationId xmlns:a16="http://schemas.microsoft.com/office/drawing/2014/main" id="{00000000-0008-0000-6200-00000D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5578126" name="Button 14" hidden="1">
              <a:extLst>
                <a:ext uri="{63B3BB69-23CF-44E3-9099-C40C66FF867C}">
                  <a14:compatExt spid="_x0000_s15578126"/>
                </a:ext>
                <a:ext uri="{FF2B5EF4-FFF2-40B4-BE49-F238E27FC236}">
                  <a16:creationId xmlns:a16="http://schemas.microsoft.com/office/drawing/2014/main" id="{00000000-0008-0000-6200-00000E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5578127" name="Check Box 15" hidden="1">
              <a:extLst>
                <a:ext uri="{63B3BB69-23CF-44E3-9099-C40C66FF867C}">
                  <a14:compatExt spid="_x0000_s15578127"/>
                </a:ext>
                <a:ext uri="{FF2B5EF4-FFF2-40B4-BE49-F238E27FC236}">
                  <a16:creationId xmlns:a16="http://schemas.microsoft.com/office/drawing/2014/main" id="{00000000-0008-0000-6200-00000F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5578128" name="Check Box 16" hidden="1">
              <a:extLst>
                <a:ext uri="{63B3BB69-23CF-44E3-9099-C40C66FF867C}">
                  <a14:compatExt spid="_x0000_s15578128"/>
                </a:ext>
                <a:ext uri="{FF2B5EF4-FFF2-40B4-BE49-F238E27FC236}">
                  <a16:creationId xmlns:a16="http://schemas.microsoft.com/office/drawing/2014/main" id="{00000000-0008-0000-6200-000010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5578129" name="Check Box 17" hidden="1">
              <a:extLst>
                <a:ext uri="{63B3BB69-23CF-44E3-9099-C40C66FF867C}">
                  <a14:compatExt spid="_x0000_s15578129"/>
                </a:ext>
                <a:ext uri="{FF2B5EF4-FFF2-40B4-BE49-F238E27FC236}">
                  <a16:creationId xmlns:a16="http://schemas.microsoft.com/office/drawing/2014/main" id="{00000000-0008-0000-6200-000011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5578130" name="Check Box 18" hidden="1">
              <a:extLst>
                <a:ext uri="{63B3BB69-23CF-44E3-9099-C40C66FF867C}">
                  <a14:compatExt spid="_x0000_s15578130"/>
                </a:ext>
                <a:ext uri="{FF2B5EF4-FFF2-40B4-BE49-F238E27FC236}">
                  <a16:creationId xmlns:a16="http://schemas.microsoft.com/office/drawing/2014/main" id="{00000000-0008-0000-6200-000012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5578131" name="Check Box 19" hidden="1">
              <a:extLst>
                <a:ext uri="{63B3BB69-23CF-44E3-9099-C40C66FF867C}">
                  <a14:compatExt spid="_x0000_s15578131"/>
                </a:ext>
                <a:ext uri="{FF2B5EF4-FFF2-40B4-BE49-F238E27FC236}">
                  <a16:creationId xmlns:a16="http://schemas.microsoft.com/office/drawing/2014/main" id="{00000000-0008-0000-6200-000013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5578132" name="Check Box 20" hidden="1">
              <a:extLst>
                <a:ext uri="{63B3BB69-23CF-44E3-9099-C40C66FF867C}">
                  <a14:compatExt spid="_x0000_s15578132"/>
                </a:ext>
                <a:ext uri="{FF2B5EF4-FFF2-40B4-BE49-F238E27FC236}">
                  <a16:creationId xmlns:a16="http://schemas.microsoft.com/office/drawing/2014/main" id="{00000000-0008-0000-6200-000014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5578133" name="Check Box 21" hidden="1">
              <a:extLst>
                <a:ext uri="{63B3BB69-23CF-44E3-9099-C40C66FF867C}">
                  <a14:compatExt spid="_x0000_s15578133"/>
                </a:ext>
                <a:ext uri="{FF2B5EF4-FFF2-40B4-BE49-F238E27FC236}">
                  <a16:creationId xmlns:a16="http://schemas.microsoft.com/office/drawing/2014/main" id="{00000000-0008-0000-6200-000015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5578134" name="Check Box 22" hidden="1">
              <a:extLst>
                <a:ext uri="{63B3BB69-23CF-44E3-9099-C40C66FF867C}">
                  <a14:compatExt spid="_x0000_s15578134"/>
                </a:ext>
                <a:ext uri="{FF2B5EF4-FFF2-40B4-BE49-F238E27FC236}">
                  <a16:creationId xmlns:a16="http://schemas.microsoft.com/office/drawing/2014/main" id="{00000000-0008-0000-6200-000016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5578135" name="Check Box 23" hidden="1">
              <a:extLst>
                <a:ext uri="{63B3BB69-23CF-44E3-9099-C40C66FF867C}">
                  <a14:compatExt spid="_x0000_s15578135"/>
                </a:ext>
                <a:ext uri="{FF2B5EF4-FFF2-40B4-BE49-F238E27FC236}">
                  <a16:creationId xmlns:a16="http://schemas.microsoft.com/office/drawing/2014/main" id="{00000000-0008-0000-6200-000017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5578136" name="Check Box 24" hidden="1">
              <a:extLst>
                <a:ext uri="{63B3BB69-23CF-44E3-9099-C40C66FF867C}">
                  <a14:compatExt spid="_x0000_s15578136"/>
                </a:ext>
                <a:ext uri="{FF2B5EF4-FFF2-40B4-BE49-F238E27FC236}">
                  <a16:creationId xmlns:a16="http://schemas.microsoft.com/office/drawing/2014/main" id="{00000000-0008-0000-6200-000018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5578137" name="Check Box 25" hidden="1">
              <a:extLst>
                <a:ext uri="{63B3BB69-23CF-44E3-9099-C40C66FF867C}">
                  <a14:compatExt spid="_x0000_s15578137"/>
                </a:ext>
                <a:ext uri="{FF2B5EF4-FFF2-40B4-BE49-F238E27FC236}">
                  <a16:creationId xmlns:a16="http://schemas.microsoft.com/office/drawing/2014/main" id="{00000000-0008-0000-6200-000019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5578138" name="Check Box 26" hidden="1">
              <a:extLst>
                <a:ext uri="{63B3BB69-23CF-44E3-9099-C40C66FF867C}">
                  <a14:compatExt spid="_x0000_s15578138"/>
                </a:ext>
                <a:ext uri="{FF2B5EF4-FFF2-40B4-BE49-F238E27FC236}">
                  <a16:creationId xmlns:a16="http://schemas.microsoft.com/office/drawing/2014/main" id="{00000000-0008-0000-6200-00001A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5578139" name="Check Box 27" hidden="1">
              <a:extLst>
                <a:ext uri="{63B3BB69-23CF-44E3-9099-C40C66FF867C}">
                  <a14:compatExt spid="_x0000_s15578139"/>
                </a:ext>
                <a:ext uri="{FF2B5EF4-FFF2-40B4-BE49-F238E27FC236}">
                  <a16:creationId xmlns:a16="http://schemas.microsoft.com/office/drawing/2014/main" id="{00000000-0008-0000-6200-00001B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5578140" name="Button 28" hidden="1">
              <a:extLst>
                <a:ext uri="{63B3BB69-23CF-44E3-9099-C40C66FF867C}">
                  <a14:compatExt spid="_x0000_s15578140"/>
                </a:ext>
                <a:ext uri="{FF2B5EF4-FFF2-40B4-BE49-F238E27FC236}">
                  <a16:creationId xmlns:a16="http://schemas.microsoft.com/office/drawing/2014/main" id="{00000000-0008-0000-6200-00001C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5578141" name="Button 29" hidden="1">
              <a:extLst>
                <a:ext uri="{63B3BB69-23CF-44E3-9099-C40C66FF867C}">
                  <a14:compatExt spid="_x0000_s15578141"/>
                </a:ext>
                <a:ext uri="{FF2B5EF4-FFF2-40B4-BE49-F238E27FC236}">
                  <a16:creationId xmlns:a16="http://schemas.microsoft.com/office/drawing/2014/main" id="{00000000-0008-0000-6200-00001DB4E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5578142" name="Check Box 30" hidden="1">
              <a:extLst>
                <a:ext uri="{63B3BB69-23CF-44E3-9099-C40C66FF867C}">
                  <a14:compatExt spid="_x0000_s15578142"/>
                </a:ext>
                <a:ext uri="{FF2B5EF4-FFF2-40B4-BE49-F238E27FC236}">
                  <a16:creationId xmlns:a16="http://schemas.microsoft.com/office/drawing/2014/main" id="{00000000-0008-0000-6200-00001E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5578143" name="Check Box 31" hidden="1">
              <a:extLst>
                <a:ext uri="{63B3BB69-23CF-44E3-9099-C40C66FF867C}">
                  <a14:compatExt spid="_x0000_s15578143"/>
                </a:ext>
                <a:ext uri="{FF2B5EF4-FFF2-40B4-BE49-F238E27FC236}">
                  <a16:creationId xmlns:a16="http://schemas.microsoft.com/office/drawing/2014/main" id="{00000000-0008-0000-6200-00001F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5578144" name="Check Box 32" hidden="1">
              <a:extLst>
                <a:ext uri="{63B3BB69-23CF-44E3-9099-C40C66FF867C}">
                  <a14:compatExt spid="_x0000_s15578144"/>
                </a:ext>
                <a:ext uri="{FF2B5EF4-FFF2-40B4-BE49-F238E27FC236}">
                  <a16:creationId xmlns:a16="http://schemas.microsoft.com/office/drawing/2014/main" id="{00000000-0008-0000-6200-000020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5578145" name="Check Box 33" hidden="1">
              <a:extLst>
                <a:ext uri="{63B3BB69-23CF-44E3-9099-C40C66FF867C}">
                  <a14:compatExt spid="_x0000_s15578145"/>
                </a:ext>
                <a:ext uri="{FF2B5EF4-FFF2-40B4-BE49-F238E27FC236}">
                  <a16:creationId xmlns:a16="http://schemas.microsoft.com/office/drawing/2014/main" id="{00000000-0008-0000-6200-000021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5578146" name="Check Box 34" hidden="1">
              <a:extLst>
                <a:ext uri="{63B3BB69-23CF-44E3-9099-C40C66FF867C}">
                  <a14:compatExt spid="_x0000_s15578146"/>
                </a:ext>
                <a:ext uri="{FF2B5EF4-FFF2-40B4-BE49-F238E27FC236}">
                  <a16:creationId xmlns:a16="http://schemas.microsoft.com/office/drawing/2014/main" id="{00000000-0008-0000-6200-000022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5578147" name="Check Box 35" hidden="1">
              <a:extLst>
                <a:ext uri="{63B3BB69-23CF-44E3-9099-C40C66FF867C}">
                  <a14:compatExt spid="_x0000_s15578147"/>
                </a:ext>
                <a:ext uri="{FF2B5EF4-FFF2-40B4-BE49-F238E27FC236}">
                  <a16:creationId xmlns:a16="http://schemas.microsoft.com/office/drawing/2014/main" id="{00000000-0008-0000-6200-000023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5578148" name="Check Box 36" hidden="1">
              <a:extLst>
                <a:ext uri="{63B3BB69-23CF-44E3-9099-C40C66FF867C}">
                  <a14:compatExt spid="_x0000_s15578148"/>
                </a:ext>
                <a:ext uri="{FF2B5EF4-FFF2-40B4-BE49-F238E27FC236}">
                  <a16:creationId xmlns:a16="http://schemas.microsoft.com/office/drawing/2014/main" id="{00000000-0008-0000-6200-000024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5578149" name="Check Box 37" hidden="1">
              <a:extLst>
                <a:ext uri="{63B3BB69-23CF-44E3-9099-C40C66FF867C}">
                  <a14:compatExt spid="_x0000_s15578149"/>
                </a:ext>
                <a:ext uri="{FF2B5EF4-FFF2-40B4-BE49-F238E27FC236}">
                  <a16:creationId xmlns:a16="http://schemas.microsoft.com/office/drawing/2014/main" id="{00000000-0008-0000-6200-000025B4E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180975</xdr:colOff>
      <xdr:row>3</xdr:row>
      <xdr:rowOff>171450</xdr:rowOff>
    </xdr:from>
    <xdr:to>
      <xdr:col>14</xdr:col>
      <xdr:colOff>9525</xdr:colOff>
      <xdr:row>14</xdr:row>
      <xdr:rowOff>85725</xdr:rowOff>
    </xdr:to>
    <xdr:sp macro="" textlink="">
      <xdr:nvSpPr>
        <xdr:cNvPr id="4" name="TextBox 3">
          <a:extLst>
            <a:ext uri="{FF2B5EF4-FFF2-40B4-BE49-F238E27FC236}">
              <a16:creationId xmlns:a16="http://schemas.microsoft.com/office/drawing/2014/main" id="{2451A887-9C6A-4148-8FA3-5FFC0AB24F90}"/>
            </a:ext>
          </a:extLst>
        </xdr:cNvPr>
        <xdr:cNvSpPr txBox="1"/>
      </xdr:nvSpPr>
      <xdr:spPr>
        <a:xfrm>
          <a:off x="6000750" y="771525"/>
          <a:ext cx="3067050" cy="2019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aseline="0"/>
            <a:t>PLANNING RFI:</a:t>
          </a:r>
        </a:p>
        <a:p>
          <a:endParaRPr lang="en-AU" sz="800" baseline="0">
            <a:solidFill>
              <a:srgbClr val="00B050"/>
            </a:solidFill>
          </a:endParaRPr>
        </a:p>
        <a:p>
          <a:r>
            <a:rPr lang="en-AU" sz="800" baseline="0">
              <a:solidFill>
                <a:srgbClr val="00B050"/>
              </a:solidFill>
            </a:rPr>
            <a:t>1. Elevations</a:t>
          </a:r>
        </a:p>
        <a:p>
          <a:r>
            <a:rPr lang="en-AU" sz="800" baseline="0">
              <a:solidFill>
                <a:srgbClr val="00B050"/>
              </a:solidFill>
            </a:rPr>
            <a:t>2. demolition plan</a:t>
          </a:r>
        </a:p>
      </xdr:txBody>
    </xdr:sp>
    <xdr:clientData/>
  </xdr:twoCellAnchor>
</xdr:wsDr>
</file>

<file path=xl/drawings/drawing9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FCBC21DF-CCDB-47D6-B9BA-7A198A12A194}"/>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50FF0450-54D6-4168-BEFD-3C1A2D09FD88}"/>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4758913" name="Check Box 1" hidden="1">
              <a:extLst>
                <a:ext uri="{63B3BB69-23CF-44E3-9099-C40C66FF867C}">
                  <a14:compatExt spid="_x0000_s14758913"/>
                </a:ext>
                <a:ext uri="{FF2B5EF4-FFF2-40B4-BE49-F238E27FC236}">
                  <a16:creationId xmlns:a16="http://schemas.microsoft.com/office/drawing/2014/main" id="{00000000-0008-0000-6300-000001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4758914" name="Check Box 2" hidden="1">
              <a:extLst>
                <a:ext uri="{63B3BB69-23CF-44E3-9099-C40C66FF867C}">
                  <a14:compatExt spid="_x0000_s14758914"/>
                </a:ext>
                <a:ext uri="{FF2B5EF4-FFF2-40B4-BE49-F238E27FC236}">
                  <a16:creationId xmlns:a16="http://schemas.microsoft.com/office/drawing/2014/main" id="{00000000-0008-0000-6300-000002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4758915" name="Check Box 3" hidden="1">
              <a:extLst>
                <a:ext uri="{63B3BB69-23CF-44E3-9099-C40C66FF867C}">
                  <a14:compatExt spid="_x0000_s14758915"/>
                </a:ext>
                <a:ext uri="{FF2B5EF4-FFF2-40B4-BE49-F238E27FC236}">
                  <a16:creationId xmlns:a16="http://schemas.microsoft.com/office/drawing/2014/main" id="{00000000-0008-0000-6300-000003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4758916" name="Check Box 4" hidden="1">
              <a:extLst>
                <a:ext uri="{63B3BB69-23CF-44E3-9099-C40C66FF867C}">
                  <a14:compatExt spid="_x0000_s14758916"/>
                </a:ext>
                <a:ext uri="{FF2B5EF4-FFF2-40B4-BE49-F238E27FC236}">
                  <a16:creationId xmlns:a16="http://schemas.microsoft.com/office/drawing/2014/main" id="{00000000-0008-0000-6300-000004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4758917" name="Check Box 5" hidden="1">
              <a:extLst>
                <a:ext uri="{63B3BB69-23CF-44E3-9099-C40C66FF867C}">
                  <a14:compatExt spid="_x0000_s14758917"/>
                </a:ext>
                <a:ext uri="{FF2B5EF4-FFF2-40B4-BE49-F238E27FC236}">
                  <a16:creationId xmlns:a16="http://schemas.microsoft.com/office/drawing/2014/main" id="{00000000-0008-0000-6300-000005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4758918" name="Check Box 6" hidden="1">
              <a:extLst>
                <a:ext uri="{63B3BB69-23CF-44E3-9099-C40C66FF867C}">
                  <a14:compatExt spid="_x0000_s14758918"/>
                </a:ext>
                <a:ext uri="{FF2B5EF4-FFF2-40B4-BE49-F238E27FC236}">
                  <a16:creationId xmlns:a16="http://schemas.microsoft.com/office/drawing/2014/main" id="{00000000-0008-0000-6300-000006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4758919" name="Check Box 7" hidden="1">
              <a:extLst>
                <a:ext uri="{63B3BB69-23CF-44E3-9099-C40C66FF867C}">
                  <a14:compatExt spid="_x0000_s14758919"/>
                </a:ext>
                <a:ext uri="{FF2B5EF4-FFF2-40B4-BE49-F238E27FC236}">
                  <a16:creationId xmlns:a16="http://schemas.microsoft.com/office/drawing/2014/main" id="{00000000-0008-0000-6300-000007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758920" name="Button 8" hidden="1">
              <a:extLst>
                <a:ext uri="{63B3BB69-23CF-44E3-9099-C40C66FF867C}">
                  <a14:compatExt spid="_x0000_s14758920"/>
                </a:ext>
                <a:ext uri="{FF2B5EF4-FFF2-40B4-BE49-F238E27FC236}">
                  <a16:creationId xmlns:a16="http://schemas.microsoft.com/office/drawing/2014/main" id="{00000000-0008-0000-6300-00000834E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758921" name="Button 9" hidden="1">
              <a:extLst>
                <a:ext uri="{63B3BB69-23CF-44E3-9099-C40C66FF867C}">
                  <a14:compatExt spid="_x0000_s14758921"/>
                </a:ext>
                <a:ext uri="{FF2B5EF4-FFF2-40B4-BE49-F238E27FC236}">
                  <a16:creationId xmlns:a16="http://schemas.microsoft.com/office/drawing/2014/main" id="{00000000-0008-0000-6300-00000934E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4758922" name="Check Box 10" hidden="1">
              <a:extLst>
                <a:ext uri="{63B3BB69-23CF-44E3-9099-C40C66FF867C}">
                  <a14:compatExt spid="_x0000_s14758922"/>
                </a:ext>
                <a:ext uri="{FF2B5EF4-FFF2-40B4-BE49-F238E27FC236}">
                  <a16:creationId xmlns:a16="http://schemas.microsoft.com/office/drawing/2014/main" id="{00000000-0008-0000-6300-00000A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758923" name="Button 11" hidden="1">
              <a:extLst>
                <a:ext uri="{63B3BB69-23CF-44E3-9099-C40C66FF867C}">
                  <a14:compatExt spid="_x0000_s14758923"/>
                </a:ext>
                <a:ext uri="{FF2B5EF4-FFF2-40B4-BE49-F238E27FC236}">
                  <a16:creationId xmlns:a16="http://schemas.microsoft.com/office/drawing/2014/main" id="{00000000-0008-0000-6300-00000B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758924" name="Button 12" hidden="1">
              <a:extLst>
                <a:ext uri="{63B3BB69-23CF-44E3-9099-C40C66FF867C}">
                  <a14:compatExt spid="_x0000_s14758924"/>
                </a:ext>
                <a:ext uri="{FF2B5EF4-FFF2-40B4-BE49-F238E27FC236}">
                  <a16:creationId xmlns:a16="http://schemas.microsoft.com/office/drawing/2014/main" id="{00000000-0008-0000-6300-00000C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758925" name="Button 13" hidden="1">
              <a:extLst>
                <a:ext uri="{63B3BB69-23CF-44E3-9099-C40C66FF867C}">
                  <a14:compatExt spid="_x0000_s14758925"/>
                </a:ext>
                <a:ext uri="{FF2B5EF4-FFF2-40B4-BE49-F238E27FC236}">
                  <a16:creationId xmlns:a16="http://schemas.microsoft.com/office/drawing/2014/main" id="{00000000-0008-0000-6300-00000D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758926" name="Button 14" hidden="1">
              <a:extLst>
                <a:ext uri="{63B3BB69-23CF-44E3-9099-C40C66FF867C}">
                  <a14:compatExt spid="_x0000_s14758926"/>
                </a:ext>
                <a:ext uri="{FF2B5EF4-FFF2-40B4-BE49-F238E27FC236}">
                  <a16:creationId xmlns:a16="http://schemas.microsoft.com/office/drawing/2014/main" id="{00000000-0008-0000-6300-00000E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4758927" name="Check Box 15" hidden="1">
              <a:extLst>
                <a:ext uri="{63B3BB69-23CF-44E3-9099-C40C66FF867C}">
                  <a14:compatExt spid="_x0000_s14758927"/>
                </a:ext>
                <a:ext uri="{FF2B5EF4-FFF2-40B4-BE49-F238E27FC236}">
                  <a16:creationId xmlns:a16="http://schemas.microsoft.com/office/drawing/2014/main" id="{00000000-0008-0000-6300-00000F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4758928" name="Check Box 16" hidden="1">
              <a:extLst>
                <a:ext uri="{63B3BB69-23CF-44E3-9099-C40C66FF867C}">
                  <a14:compatExt spid="_x0000_s14758928"/>
                </a:ext>
                <a:ext uri="{FF2B5EF4-FFF2-40B4-BE49-F238E27FC236}">
                  <a16:creationId xmlns:a16="http://schemas.microsoft.com/office/drawing/2014/main" id="{00000000-0008-0000-6300-000010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4758929" name="Check Box 17" hidden="1">
              <a:extLst>
                <a:ext uri="{63B3BB69-23CF-44E3-9099-C40C66FF867C}">
                  <a14:compatExt spid="_x0000_s14758929"/>
                </a:ext>
                <a:ext uri="{FF2B5EF4-FFF2-40B4-BE49-F238E27FC236}">
                  <a16:creationId xmlns:a16="http://schemas.microsoft.com/office/drawing/2014/main" id="{00000000-0008-0000-6300-000011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4758930" name="Check Box 18" hidden="1">
              <a:extLst>
                <a:ext uri="{63B3BB69-23CF-44E3-9099-C40C66FF867C}">
                  <a14:compatExt spid="_x0000_s14758930"/>
                </a:ext>
                <a:ext uri="{FF2B5EF4-FFF2-40B4-BE49-F238E27FC236}">
                  <a16:creationId xmlns:a16="http://schemas.microsoft.com/office/drawing/2014/main" id="{00000000-0008-0000-6300-000012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4758931" name="Check Box 19" hidden="1">
              <a:extLst>
                <a:ext uri="{63B3BB69-23CF-44E3-9099-C40C66FF867C}">
                  <a14:compatExt spid="_x0000_s14758931"/>
                </a:ext>
                <a:ext uri="{FF2B5EF4-FFF2-40B4-BE49-F238E27FC236}">
                  <a16:creationId xmlns:a16="http://schemas.microsoft.com/office/drawing/2014/main" id="{00000000-0008-0000-6300-000013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758932" name="Check Box 20" hidden="1">
              <a:extLst>
                <a:ext uri="{63B3BB69-23CF-44E3-9099-C40C66FF867C}">
                  <a14:compatExt spid="_x0000_s14758932"/>
                </a:ext>
                <a:ext uri="{FF2B5EF4-FFF2-40B4-BE49-F238E27FC236}">
                  <a16:creationId xmlns:a16="http://schemas.microsoft.com/office/drawing/2014/main" id="{00000000-0008-0000-6300-000014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4758933" name="Check Box 21" hidden="1">
              <a:extLst>
                <a:ext uri="{63B3BB69-23CF-44E3-9099-C40C66FF867C}">
                  <a14:compatExt spid="_x0000_s14758933"/>
                </a:ext>
                <a:ext uri="{FF2B5EF4-FFF2-40B4-BE49-F238E27FC236}">
                  <a16:creationId xmlns:a16="http://schemas.microsoft.com/office/drawing/2014/main" id="{00000000-0008-0000-6300-000015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4758934" name="Check Box 22" hidden="1">
              <a:extLst>
                <a:ext uri="{63B3BB69-23CF-44E3-9099-C40C66FF867C}">
                  <a14:compatExt spid="_x0000_s14758934"/>
                </a:ext>
                <a:ext uri="{FF2B5EF4-FFF2-40B4-BE49-F238E27FC236}">
                  <a16:creationId xmlns:a16="http://schemas.microsoft.com/office/drawing/2014/main" id="{00000000-0008-0000-6300-000016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4758935" name="Check Box 23" hidden="1">
              <a:extLst>
                <a:ext uri="{63B3BB69-23CF-44E3-9099-C40C66FF867C}">
                  <a14:compatExt spid="_x0000_s14758935"/>
                </a:ext>
                <a:ext uri="{FF2B5EF4-FFF2-40B4-BE49-F238E27FC236}">
                  <a16:creationId xmlns:a16="http://schemas.microsoft.com/office/drawing/2014/main" id="{00000000-0008-0000-6300-000017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4758936" name="Check Box 24" hidden="1">
              <a:extLst>
                <a:ext uri="{63B3BB69-23CF-44E3-9099-C40C66FF867C}">
                  <a14:compatExt spid="_x0000_s14758936"/>
                </a:ext>
                <a:ext uri="{FF2B5EF4-FFF2-40B4-BE49-F238E27FC236}">
                  <a16:creationId xmlns:a16="http://schemas.microsoft.com/office/drawing/2014/main" id="{00000000-0008-0000-6300-000018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4758937" name="Check Box 25" hidden="1">
              <a:extLst>
                <a:ext uri="{63B3BB69-23CF-44E3-9099-C40C66FF867C}">
                  <a14:compatExt spid="_x0000_s14758937"/>
                </a:ext>
                <a:ext uri="{FF2B5EF4-FFF2-40B4-BE49-F238E27FC236}">
                  <a16:creationId xmlns:a16="http://schemas.microsoft.com/office/drawing/2014/main" id="{00000000-0008-0000-6300-000019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4758938" name="Check Box 26" hidden="1">
              <a:extLst>
                <a:ext uri="{63B3BB69-23CF-44E3-9099-C40C66FF867C}">
                  <a14:compatExt spid="_x0000_s14758938"/>
                </a:ext>
                <a:ext uri="{FF2B5EF4-FFF2-40B4-BE49-F238E27FC236}">
                  <a16:creationId xmlns:a16="http://schemas.microsoft.com/office/drawing/2014/main" id="{00000000-0008-0000-6300-00001A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4758939" name="Check Box 27" hidden="1">
              <a:extLst>
                <a:ext uri="{63B3BB69-23CF-44E3-9099-C40C66FF867C}">
                  <a14:compatExt spid="_x0000_s14758939"/>
                </a:ext>
                <a:ext uri="{FF2B5EF4-FFF2-40B4-BE49-F238E27FC236}">
                  <a16:creationId xmlns:a16="http://schemas.microsoft.com/office/drawing/2014/main" id="{00000000-0008-0000-6300-00001B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758940" name="Button 28" hidden="1">
              <a:extLst>
                <a:ext uri="{63B3BB69-23CF-44E3-9099-C40C66FF867C}">
                  <a14:compatExt spid="_x0000_s14758940"/>
                </a:ext>
                <a:ext uri="{FF2B5EF4-FFF2-40B4-BE49-F238E27FC236}">
                  <a16:creationId xmlns:a16="http://schemas.microsoft.com/office/drawing/2014/main" id="{00000000-0008-0000-6300-00001C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758941" name="Button 29" hidden="1">
              <a:extLst>
                <a:ext uri="{63B3BB69-23CF-44E3-9099-C40C66FF867C}">
                  <a14:compatExt spid="_x0000_s14758941"/>
                </a:ext>
                <a:ext uri="{FF2B5EF4-FFF2-40B4-BE49-F238E27FC236}">
                  <a16:creationId xmlns:a16="http://schemas.microsoft.com/office/drawing/2014/main" id="{00000000-0008-0000-6300-00001D34E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4758942" name="Check Box 30" hidden="1">
              <a:extLst>
                <a:ext uri="{63B3BB69-23CF-44E3-9099-C40C66FF867C}">
                  <a14:compatExt spid="_x0000_s14758942"/>
                </a:ext>
                <a:ext uri="{FF2B5EF4-FFF2-40B4-BE49-F238E27FC236}">
                  <a16:creationId xmlns:a16="http://schemas.microsoft.com/office/drawing/2014/main" id="{00000000-0008-0000-6300-00001E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4758943" name="Check Box 31" hidden="1">
              <a:extLst>
                <a:ext uri="{63B3BB69-23CF-44E3-9099-C40C66FF867C}">
                  <a14:compatExt spid="_x0000_s14758943"/>
                </a:ext>
                <a:ext uri="{FF2B5EF4-FFF2-40B4-BE49-F238E27FC236}">
                  <a16:creationId xmlns:a16="http://schemas.microsoft.com/office/drawing/2014/main" id="{00000000-0008-0000-6300-00001F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4758944" name="Check Box 32" hidden="1">
              <a:extLst>
                <a:ext uri="{63B3BB69-23CF-44E3-9099-C40C66FF867C}">
                  <a14:compatExt spid="_x0000_s14758944"/>
                </a:ext>
                <a:ext uri="{FF2B5EF4-FFF2-40B4-BE49-F238E27FC236}">
                  <a16:creationId xmlns:a16="http://schemas.microsoft.com/office/drawing/2014/main" id="{00000000-0008-0000-6300-000020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4758945" name="Check Box 33" hidden="1">
              <a:extLst>
                <a:ext uri="{63B3BB69-23CF-44E3-9099-C40C66FF867C}">
                  <a14:compatExt spid="_x0000_s14758945"/>
                </a:ext>
                <a:ext uri="{FF2B5EF4-FFF2-40B4-BE49-F238E27FC236}">
                  <a16:creationId xmlns:a16="http://schemas.microsoft.com/office/drawing/2014/main" id="{00000000-0008-0000-6300-000021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4758946" name="Check Box 34" hidden="1">
              <a:extLst>
                <a:ext uri="{63B3BB69-23CF-44E3-9099-C40C66FF867C}">
                  <a14:compatExt spid="_x0000_s14758946"/>
                </a:ext>
                <a:ext uri="{FF2B5EF4-FFF2-40B4-BE49-F238E27FC236}">
                  <a16:creationId xmlns:a16="http://schemas.microsoft.com/office/drawing/2014/main" id="{00000000-0008-0000-6300-000022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4758947" name="Check Box 35" hidden="1">
              <a:extLst>
                <a:ext uri="{63B3BB69-23CF-44E3-9099-C40C66FF867C}">
                  <a14:compatExt spid="_x0000_s14758947"/>
                </a:ext>
                <a:ext uri="{FF2B5EF4-FFF2-40B4-BE49-F238E27FC236}">
                  <a16:creationId xmlns:a16="http://schemas.microsoft.com/office/drawing/2014/main" id="{00000000-0008-0000-6300-000023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4758948" name="Check Box 36" hidden="1">
              <a:extLst>
                <a:ext uri="{63B3BB69-23CF-44E3-9099-C40C66FF867C}">
                  <a14:compatExt spid="_x0000_s14758948"/>
                </a:ext>
                <a:ext uri="{FF2B5EF4-FFF2-40B4-BE49-F238E27FC236}">
                  <a16:creationId xmlns:a16="http://schemas.microsoft.com/office/drawing/2014/main" id="{00000000-0008-0000-6300-000024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4758949" name="Check Box 37" hidden="1">
              <a:extLst>
                <a:ext uri="{63B3BB69-23CF-44E3-9099-C40C66FF867C}">
                  <a14:compatExt spid="_x0000_s14758949"/>
                </a:ext>
                <a:ext uri="{FF2B5EF4-FFF2-40B4-BE49-F238E27FC236}">
                  <a16:creationId xmlns:a16="http://schemas.microsoft.com/office/drawing/2014/main" id="{00000000-0008-0000-6300-00002534E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133350</xdr:colOff>
      <xdr:row>3</xdr:row>
      <xdr:rowOff>161924</xdr:rowOff>
    </xdr:from>
    <xdr:to>
      <xdr:col>15</xdr:col>
      <xdr:colOff>542926</xdr:colOff>
      <xdr:row>72</xdr:row>
      <xdr:rowOff>190499</xdr:rowOff>
    </xdr:to>
    <xdr:sp macro="" textlink="">
      <xdr:nvSpPr>
        <xdr:cNvPr id="5" name="TextBox 4">
          <a:extLst>
            <a:ext uri="{FF2B5EF4-FFF2-40B4-BE49-F238E27FC236}">
              <a16:creationId xmlns:a16="http://schemas.microsoft.com/office/drawing/2014/main" id="{D4E71793-9FC8-4B38-A0F4-02971368518B}"/>
            </a:ext>
          </a:extLst>
        </xdr:cNvPr>
        <xdr:cNvSpPr txBox="1"/>
      </xdr:nvSpPr>
      <xdr:spPr>
        <a:xfrm>
          <a:off x="5953125" y="761999"/>
          <a:ext cx="4257676" cy="13230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 </a:t>
          </a:r>
        </a:p>
        <a:p>
          <a:r>
            <a:rPr lang="en-AU" sz="800" b="0" i="0" u="none" strike="noStrike" baseline="0">
              <a:solidFill>
                <a:schemeClr val="dk1"/>
              </a:solidFill>
              <a:latin typeface="+mn-lt"/>
              <a:ea typeface="+mn-ea"/>
              <a:cs typeface="+mn-cs"/>
            </a:rPr>
            <a:t>• The BMP indicates that the outbuilding is intended to be used in association with the dwelling on the land. No other information has been provided to support this. </a:t>
          </a:r>
        </a:p>
        <a:p>
          <a:r>
            <a:rPr lang="en-AU" sz="800" b="0" i="0" u="none" strike="noStrike" baseline="0">
              <a:solidFill>
                <a:schemeClr val="dk1"/>
              </a:solidFill>
              <a:latin typeface="+mn-lt"/>
              <a:ea typeface="+mn-ea"/>
              <a:cs typeface="+mn-cs"/>
            </a:rPr>
            <a:t>• The significant distance between the outbuilding and the existing dwelling creates a tenuous relationship with the dwelling. </a:t>
          </a:r>
        </a:p>
        <a:p>
          <a:r>
            <a:rPr lang="en-AU" sz="800" b="0" i="0" u="none" strike="noStrike" baseline="0">
              <a:solidFill>
                <a:schemeClr val="dk1"/>
              </a:solidFill>
              <a:latin typeface="+mn-lt"/>
              <a:ea typeface="+mn-ea"/>
              <a:cs typeface="+mn-cs"/>
            </a:rPr>
            <a:t>• Demonstrate that the outbuilding will be used for domestic storage associated with the occupant(s) of the dwelling. </a:t>
          </a:r>
        </a:p>
        <a:p>
          <a:r>
            <a:rPr lang="en-AU" sz="800" b="0" i="0" u="none" strike="noStrike" baseline="0">
              <a:solidFill>
                <a:schemeClr val="dk1"/>
              </a:solidFill>
              <a:latin typeface="+mn-lt"/>
              <a:ea typeface="+mn-ea"/>
              <a:cs typeface="+mn-cs"/>
            </a:rPr>
            <a:t>• The outbuilding should be sited closer to the dwelling to reduce the extent of buildings through the site. </a:t>
          </a:r>
        </a:p>
        <a:p>
          <a:r>
            <a:rPr lang="en-AU" sz="800" b="0" i="0" u="none" strike="noStrike" baseline="0">
              <a:solidFill>
                <a:schemeClr val="dk1"/>
              </a:solidFill>
              <a:latin typeface="+mn-lt"/>
              <a:ea typeface="+mn-ea"/>
              <a:cs typeface="+mn-cs"/>
            </a:rPr>
            <a:t>• No information has been provided to demonstrate that the size of the outbuilding is appropriate. It is unlikely a 360sqm shed will be supported, given the extent of existing outbuildings. </a:t>
          </a:r>
        </a:p>
        <a:p>
          <a:r>
            <a:rPr lang="en-AU" sz="800" b="0" i="0" u="none" strike="noStrike" baseline="0">
              <a:solidFill>
                <a:schemeClr val="dk1"/>
              </a:solidFill>
              <a:latin typeface="+mn-lt"/>
              <a:ea typeface="+mn-ea"/>
              <a:cs typeface="+mn-cs"/>
            </a:rPr>
            <a:t>• No justification for the height of the proposed outbuilding, which would be highly prominent in the landscape. </a:t>
          </a:r>
        </a:p>
        <a:p>
          <a:r>
            <a:rPr lang="en-AU" sz="800" b="0" i="0" u="none" strike="noStrike" baseline="0">
              <a:solidFill>
                <a:schemeClr val="dk1"/>
              </a:solidFill>
              <a:latin typeface="+mn-lt"/>
              <a:ea typeface="+mn-ea"/>
              <a:cs typeface="+mn-cs"/>
            </a:rPr>
            <a:t>• The proposed colour of the outbuilding would increase the visual dominance. </a:t>
          </a:r>
        </a:p>
        <a:p>
          <a:r>
            <a:rPr lang="en-AU" sz="800" b="0" i="0" u="none" strike="noStrike" baseline="0">
              <a:solidFill>
                <a:schemeClr val="dk1"/>
              </a:solidFill>
              <a:latin typeface="+mn-lt"/>
              <a:ea typeface="+mn-ea"/>
              <a:cs typeface="+mn-cs"/>
            </a:rPr>
            <a:t>• It is unclear how the outbuilding will be accessed. Existing or proposed driveways are not shown on the plan. </a:t>
          </a:r>
        </a:p>
        <a:p>
          <a:r>
            <a:rPr lang="en-AU" sz="800" b="0" i="0" u="none" strike="noStrike" baseline="0">
              <a:solidFill>
                <a:schemeClr val="dk1"/>
              </a:solidFill>
              <a:latin typeface="+mn-lt"/>
              <a:ea typeface="+mn-ea"/>
              <a:cs typeface="+mn-cs"/>
            </a:rPr>
            <a:t>• It appears that buildings and works have occurred to the outbuilding to the west of the dwelling which would require a permit. </a:t>
          </a:r>
        </a:p>
        <a:p>
          <a:r>
            <a:rPr lang="en-AU" sz="800" b="0" i="0" u="none" strike="noStrike" baseline="0">
              <a:solidFill>
                <a:schemeClr val="dk1"/>
              </a:solidFill>
              <a:latin typeface="+mn-lt"/>
              <a:ea typeface="+mn-ea"/>
              <a:cs typeface="+mn-cs"/>
            </a:rPr>
            <a:t>• The site plan does not show all the existing structures on the land. Clarify if it is proposed to remove the outbuilding south of the dwelling. </a:t>
          </a:r>
        </a:p>
        <a:p>
          <a:endParaRPr lang="en-AU" sz="800"/>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1. Written reports that describe how the proposal is consistent with the: </a:t>
          </a:r>
        </a:p>
        <a:p>
          <a:r>
            <a:rPr lang="en-AU" sz="800" b="0" i="0" u="none" strike="noStrike" baseline="0">
              <a:solidFill>
                <a:schemeClr val="dk1"/>
              </a:solidFill>
              <a:latin typeface="+mn-lt"/>
              <a:ea typeface="+mn-ea"/>
              <a:cs typeface="+mn-cs"/>
            </a:rPr>
            <a:t>• Relevant Planning Policies and Municipal Planning Strategy </a:t>
          </a:r>
        </a:p>
        <a:p>
          <a:r>
            <a:rPr lang="en-AU" sz="800" b="0" i="0" u="none" strike="noStrike" baseline="0">
              <a:solidFill>
                <a:schemeClr val="dk1"/>
              </a:solidFill>
              <a:latin typeface="+mn-lt"/>
              <a:ea typeface="+mn-ea"/>
              <a:cs typeface="+mn-cs"/>
            </a:rPr>
            <a:t>• Purpose, conservation values, and decision guidelines of the Rural Conservation Zone. </a:t>
          </a:r>
        </a:p>
        <a:p>
          <a:r>
            <a:rPr lang="en-AU" sz="800" b="0" i="0" u="none" strike="noStrike" baseline="0">
              <a:solidFill>
                <a:schemeClr val="dk1"/>
              </a:solidFill>
              <a:latin typeface="+mn-lt"/>
              <a:ea typeface="+mn-ea"/>
              <a:cs typeface="+mn-cs"/>
            </a:rPr>
            <a:t>• Decision guidelines of the relevant Overlay controls. </a:t>
          </a:r>
        </a:p>
        <a:p>
          <a:r>
            <a:rPr lang="en-AU" sz="800" b="0" i="0" u="none" strike="noStrike" baseline="0">
              <a:solidFill>
                <a:schemeClr val="dk1"/>
              </a:solidFill>
              <a:latin typeface="+mn-lt"/>
              <a:ea typeface="+mn-ea"/>
              <a:cs typeface="+mn-cs"/>
            </a:rPr>
            <a:t>2. A written response addressing all the </a:t>
          </a:r>
          <a:r>
            <a:rPr lang="en-AU" sz="800" b="1" i="0" u="none" strike="noStrike" baseline="0">
              <a:solidFill>
                <a:schemeClr val="dk1"/>
              </a:solidFill>
              <a:latin typeface="+mn-lt"/>
              <a:ea typeface="+mn-ea"/>
              <a:cs typeface="+mn-cs"/>
            </a:rPr>
            <a:t>issues </a:t>
          </a:r>
          <a:r>
            <a:rPr lang="en-AU" sz="800" b="0" i="0" u="none" strike="noStrike" baseline="0">
              <a:solidFill>
                <a:schemeClr val="dk1"/>
              </a:solidFill>
              <a:latin typeface="+mn-lt"/>
              <a:ea typeface="+mn-ea"/>
              <a:cs typeface="+mn-cs"/>
            </a:rPr>
            <a:t>identified with the application (above). </a:t>
          </a:r>
        </a:p>
        <a:p>
          <a:endParaRPr lang="en-AU" sz="800"/>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3. Site plan (drawn to a scale and dimensioned) detailing the proposed development in the context of the whole site. The layout of adjoining land within 5m of the property boundaries must also be detailed. </a:t>
          </a:r>
        </a:p>
        <a:p>
          <a:r>
            <a:rPr lang="en-AU" sz="800" b="0" i="0" u="none" strike="noStrike" baseline="0">
              <a:solidFill>
                <a:schemeClr val="dk1"/>
              </a:solidFill>
              <a:latin typeface="+mn-lt"/>
              <a:ea typeface="+mn-ea"/>
              <a:cs typeface="+mn-cs"/>
            </a:rPr>
            <a:t>4. Nominate setback to the adjoining dwelling at 705 Robinsons Road. </a:t>
          </a:r>
        </a:p>
        <a:p>
          <a:r>
            <a:rPr lang="en-AU" sz="800" b="0" i="0" u="none" strike="noStrike" baseline="0">
              <a:solidFill>
                <a:schemeClr val="dk1"/>
              </a:solidFill>
              <a:latin typeface="+mn-lt"/>
              <a:ea typeface="+mn-ea"/>
              <a:cs typeface="+mn-cs"/>
            </a:rPr>
            <a:t>5. Show the location of the effluent field. </a:t>
          </a:r>
        </a:p>
        <a:p>
          <a:r>
            <a:rPr lang="en-AU" sz="800" b="0" i="0" u="none" strike="noStrike" baseline="0">
              <a:solidFill>
                <a:schemeClr val="dk1"/>
              </a:solidFill>
              <a:latin typeface="+mn-lt"/>
              <a:ea typeface="+mn-ea"/>
              <a:cs typeface="+mn-cs"/>
            </a:rPr>
            <a:t>6. Existing and proposed driveways/paving clearly nominated. </a:t>
          </a:r>
        </a:p>
        <a:p>
          <a:r>
            <a:rPr lang="en-AU" sz="800" b="0" i="0" u="none" strike="noStrike" baseline="0">
              <a:solidFill>
                <a:schemeClr val="dk1"/>
              </a:solidFill>
              <a:latin typeface="+mn-lt"/>
              <a:ea typeface="+mn-ea"/>
              <a:cs typeface="+mn-cs"/>
            </a:rPr>
            <a:t>7. Existing floor plan (drawn to a scale and dimensioned). </a:t>
          </a:r>
        </a:p>
        <a:p>
          <a:r>
            <a:rPr lang="en-AU" sz="800" b="0" i="0" u="none" strike="noStrike" baseline="0">
              <a:solidFill>
                <a:schemeClr val="dk1"/>
              </a:solidFill>
              <a:latin typeface="+mn-lt"/>
              <a:ea typeface="+mn-ea"/>
              <a:cs typeface="+mn-cs"/>
            </a:rPr>
            <a:t>8. Proposed outbuilding floor plan (drawn to a scale and dimensioned) detailing the proposed use(s) and the floor area allocated to each use. </a:t>
          </a:r>
        </a:p>
        <a:p>
          <a:r>
            <a:rPr lang="en-AU" sz="800" b="0" i="0" u="none" strike="noStrike" baseline="0">
              <a:solidFill>
                <a:schemeClr val="dk1"/>
              </a:solidFill>
              <a:latin typeface="+mn-lt"/>
              <a:ea typeface="+mn-ea"/>
              <a:cs typeface="+mn-cs"/>
            </a:rPr>
            <a:t>9. Title block to include a project reference number, revision/issue number and date. </a:t>
          </a:r>
        </a:p>
        <a:p>
          <a:r>
            <a:rPr lang="en-AU" sz="800" b="0" i="0" u="none" strike="noStrike" baseline="0">
              <a:solidFill>
                <a:schemeClr val="dk1"/>
              </a:solidFill>
              <a:latin typeface="+mn-lt"/>
              <a:ea typeface="+mn-ea"/>
              <a:cs typeface="+mn-cs"/>
            </a:rPr>
            <a:t>10. Elevations of the proposed development (drawn to a scale of 1:100) detailing the external wall heights and overall building heights, measured from natural ground level. The floor to ceiling heights and the floor levels (measured from natural ground level in millimetres) must also be detailed. </a:t>
          </a:r>
        </a:p>
        <a:p>
          <a:r>
            <a:rPr lang="en-AU" sz="800" b="0" i="0" u="none" strike="noStrike" baseline="0">
              <a:solidFill>
                <a:schemeClr val="dk1"/>
              </a:solidFill>
              <a:latin typeface="+mn-lt"/>
              <a:ea typeface="+mn-ea"/>
              <a:cs typeface="+mn-cs"/>
            </a:rPr>
            <a:t>11. Each elevation to be correctly annotated according to its orientation. </a:t>
          </a:r>
        </a:p>
        <a:p>
          <a:r>
            <a:rPr lang="en-AU" sz="800" b="0" i="0" u="none" strike="noStrike" baseline="0">
              <a:solidFill>
                <a:schemeClr val="dk1"/>
              </a:solidFill>
              <a:latin typeface="+mn-lt"/>
              <a:ea typeface="+mn-ea"/>
              <a:cs typeface="+mn-cs"/>
            </a:rPr>
            <a:t>12. Details of the slope of the land and any proposed cut and fill, including the height and location of any retaining walls. </a:t>
          </a:r>
        </a:p>
        <a:p>
          <a:r>
            <a:rPr lang="en-AU" sz="800" b="0" i="0" u="none" strike="noStrike" baseline="0">
              <a:solidFill>
                <a:schemeClr val="dk1"/>
              </a:solidFill>
              <a:latin typeface="+mn-lt"/>
              <a:ea typeface="+mn-ea"/>
              <a:cs typeface="+mn-cs"/>
            </a:rPr>
            <a:t>13. Finished floor levels (to AHD) to be nominated on all plans and elevations. </a:t>
          </a:r>
        </a:p>
        <a:p>
          <a:r>
            <a:rPr lang="en-AU" sz="800" b="0" i="0" u="none" strike="noStrike" baseline="0">
              <a:solidFill>
                <a:schemeClr val="dk1"/>
              </a:solidFill>
              <a:latin typeface="+mn-lt"/>
              <a:ea typeface="+mn-ea"/>
              <a:cs typeface="+mn-cs"/>
            </a:rPr>
            <a:t>14. Finished surface levels (to AHD) for all proposed driveway areas. </a:t>
          </a:r>
        </a:p>
        <a:p>
          <a:r>
            <a:rPr lang="en-AU" sz="800" b="0" i="0" u="none" strike="noStrike" baseline="0">
              <a:solidFill>
                <a:schemeClr val="dk1"/>
              </a:solidFill>
              <a:latin typeface="+mn-lt"/>
              <a:ea typeface="+mn-ea"/>
              <a:cs typeface="+mn-cs"/>
            </a:rPr>
            <a:t>15. All trees growing on the site and on the adjoining properties within 10m of the proposed works clearly illustrated on all relevant plans to demonstrate canopy width, trunk location and clearly labelled whether the tree is to be retained or removed. </a:t>
          </a:r>
        </a:p>
        <a:p>
          <a:r>
            <a:rPr lang="en-AU" sz="800" b="0" i="0" u="none" strike="noStrike" baseline="0">
              <a:solidFill>
                <a:schemeClr val="dk1"/>
              </a:solidFill>
              <a:latin typeface="+mn-lt"/>
              <a:ea typeface="+mn-ea"/>
              <a:cs typeface="+mn-cs"/>
            </a:rPr>
            <a:t>16. Tree Protection Zone and Structural Root Zone nominated for all trees to be retained. </a:t>
          </a:r>
        </a:p>
        <a:p>
          <a:r>
            <a:rPr lang="en-AU" sz="800" b="0" i="0" u="none" strike="noStrike" baseline="0">
              <a:solidFill>
                <a:schemeClr val="dk1"/>
              </a:solidFill>
              <a:latin typeface="+mn-lt"/>
              <a:ea typeface="+mn-ea"/>
              <a:cs typeface="+mn-cs"/>
            </a:rPr>
            <a:t>17. North point to be detailed on all plans. </a:t>
          </a:r>
        </a:p>
        <a:p>
          <a:r>
            <a:rPr lang="en-AU" sz="800" b="0" i="0" u="none" strike="noStrike" baseline="0">
              <a:solidFill>
                <a:schemeClr val="dk1"/>
              </a:solidFill>
              <a:latin typeface="+mn-lt"/>
              <a:ea typeface="+mn-ea"/>
              <a:cs typeface="+mn-cs"/>
            </a:rPr>
            <a:t>18. A schedule of construction materials, external finishes and colours including all external walls, roof, fascias, window frames and external doors and paving (including car park surfacing). </a:t>
          </a:r>
        </a:p>
        <a:p>
          <a:r>
            <a:rPr lang="en-AU" sz="800" b="0" i="0" u="none" strike="noStrike" baseline="0">
              <a:solidFill>
                <a:schemeClr val="dk1"/>
              </a:solidFill>
              <a:latin typeface="+mn-lt"/>
              <a:ea typeface="+mn-ea"/>
              <a:cs typeface="+mn-cs"/>
            </a:rPr>
            <a:t>19. Development summary detailing site area, floor area of each building, building site coverage, and percentage of impervious surfaces. This information must be provided for both existing and proposed conditions. </a:t>
          </a:r>
        </a:p>
        <a:p>
          <a:r>
            <a:rPr lang="en-AU" sz="800" b="0" i="0" u="none" strike="noStrike" baseline="0">
              <a:solidFill>
                <a:schemeClr val="dk1"/>
              </a:solidFill>
              <a:latin typeface="+mn-lt"/>
              <a:ea typeface="+mn-ea"/>
              <a:cs typeface="+mn-cs"/>
            </a:rPr>
            <a:t>20. If works are proposed within the tree protection zone of a tree, or trees are proposed to be removed, provide the following information: </a:t>
          </a:r>
        </a:p>
        <a:p>
          <a:r>
            <a:rPr lang="en-AU" sz="800" b="0" i="0" u="none" strike="noStrike" baseline="0">
              <a:solidFill>
                <a:schemeClr val="dk1"/>
              </a:solidFill>
              <a:latin typeface="+mn-lt"/>
              <a:ea typeface="+mn-ea"/>
              <a:cs typeface="+mn-cs"/>
            </a:rPr>
            <a:t>An assessment in accordance with Council’s Arboricultural Report Writing Guide. </a:t>
          </a:r>
        </a:p>
        <a:p>
          <a:r>
            <a:rPr lang="en-AU" sz="800" b="0" i="0" u="none" strike="noStrike" baseline="0">
              <a:solidFill>
                <a:schemeClr val="dk1"/>
              </a:solidFill>
              <a:latin typeface="+mn-lt"/>
              <a:ea typeface="+mn-ea"/>
              <a:cs typeface="+mn-cs"/>
            </a:rPr>
            <a:t>The Arboricultural Impact Assessment must be based on the Australian Standard AS 4970:2009 – Protection of Trees on Development Sites and be prepared by a suitably qualified and experienced arborist with a Diploma in Arboriculture (AQF Level 5) assessing all trees greater than two metres in height on and within three (3) metres of the subject allotment (including street trees). Where no Preliminary Arboricultural Report has been undertaken, the report must include all sections as noted within section 6.1 of the Arboricultural Report Writing Guide as well as a specific section that details the impact of the development. </a:t>
          </a:r>
          <a:r>
            <a:rPr lang="en-AU" sz="800" b="1" i="0" u="none" strike="noStrike" baseline="0">
              <a:solidFill>
                <a:schemeClr val="dk1"/>
              </a:solidFill>
              <a:latin typeface="+mn-lt"/>
              <a:ea typeface="+mn-ea"/>
              <a:cs typeface="+mn-cs"/>
            </a:rPr>
            <a:t>Clause 52.17 Native Vegetation </a:t>
          </a:r>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21. If native vegetation is proposed to be removed, provide the following information: </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The application requirements specified in the Guidelines for the removal, destruction or lopping of native vegetation (DELWP 2017). </a:t>
          </a:r>
        </a:p>
        <a:p>
          <a:r>
            <a:rPr lang="en-AU" sz="800" b="0" i="0" u="none" strike="noStrike" baseline="0">
              <a:solidFill>
                <a:schemeClr val="dk1"/>
              </a:solidFill>
              <a:latin typeface="+mn-lt"/>
              <a:ea typeface="+mn-ea"/>
              <a:cs typeface="+mn-cs"/>
            </a:rPr>
            <a:t>Assistance can be gained from Native vegetation removal regulations (environment.vic.gov.au). Due to the complex and technical nature of this provision it is recommended that the services of a suitably qualified and experienced professional are engaged to respond to the requirements. </a:t>
          </a:r>
          <a:endParaRPr lang="en-AU" sz="800"/>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6D7745AE-FF5E-46D5-AD68-17DB7FCDBD42}"/>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0ED8E00-0F82-4E2C-BFC4-CCA52E6016DF}"/>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4642177" name="Check Box 1" hidden="1">
              <a:extLst>
                <a:ext uri="{63B3BB69-23CF-44E3-9099-C40C66FF867C}">
                  <a14:compatExt spid="_x0000_s14642177"/>
                </a:ext>
                <a:ext uri="{FF2B5EF4-FFF2-40B4-BE49-F238E27FC236}">
                  <a16:creationId xmlns:a16="http://schemas.microsoft.com/office/drawing/2014/main" id="{00000000-0008-0000-6400-000001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4642178" name="Check Box 2" hidden="1">
              <a:extLst>
                <a:ext uri="{63B3BB69-23CF-44E3-9099-C40C66FF867C}">
                  <a14:compatExt spid="_x0000_s14642178"/>
                </a:ext>
                <a:ext uri="{FF2B5EF4-FFF2-40B4-BE49-F238E27FC236}">
                  <a16:creationId xmlns:a16="http://schemas.microsoft.com/office/drawing/2014/main" id="{00000000-0008-0000-6400-000002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4642179" name="Check Box 3" hidden="1">
              <a:extLst>
                <a:ext uri="{63B3BB69-23CF-44E3-9099-C40C66FF867C}">
                  <a14:compatExt spid="_x0000_s14642179"/>
                </a:ext>
                <a:ext uri="{FF2B5EF4-FFF2-40B4-BE49-F238E27FC236}">
                  <a16:creationId xmlns:a16="http://schemas.microsoft.com/office/drawing/2014/main" id="{00000000-0008-0000-6400-000003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4642180" name="Check Box 4" hidden="1">
              <a:extLst>
                <a:ext uri="{63B3BB69-23CF-44E3-9099-C40C66FF867C}">
                  <a14:compatExt spid="_x0000_s14642180"/>
                </a:ext>
                <a:ext uri="{FF2B5EF4-FFF2-40B4-BE49-F238E27FC236}">
                  <a16:creationId xmlns:a16="http://schemas.microsoft.com/office/drawing/2014/main" id="{00000000-0008-0000-6400-000004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4642181" name="Check Box 5" hidden="1">
              <a:extLst>
                <a:ext uri="{63B3BB69-23CF-44E3-9099-C40C66FF867C}">
                  <a14:compatExt spid="_x0000_s14642181"/>
                </a:ext>
                <a:ext uri="{FF2B5EF4-FFF2-40B4-BE49-F238E27FC236}">
                  <a16:creationId xmlns:a16="http://schemas.microsoft.com/office/drawing/2014/main" id="{00000000-0008-0000-6400-000005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4642182" name="Check Box 6" hidden="1">
              <a:extLst>
                <a:ext uri="{63B3BB69-23CF-44E3-9099-C40C66FF867C}">
                  <a14:compatExt spid="_x0000_s14642182"/>
                </a:ext>
                <a:ext uri="{FF2B5EF4-FFF2-40B4-BE49-F238E27FC236}">
                  <a16:creationId xmlns:a16="http://schemas.microsoft.com/office/drawing/2014/main" id="{00000000-0008-0000-6400-000006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4642183" name="Check Box 7" hidden="1">
              <a:extLst>
                <a:ext uri="{63B3BB69-23CF-44E3-9099-C40C66FF867C}">
                  <a14:compatExt spid="_x0000_s14642183"/>
                </a:ext>
                <a:ext uri="{FF2B5EF4-FFF2-40B4-BE49-F238E27FC236}">
                  <a16:creationId xmlns:a16="http://schemas.microsoft.com/office/drawing/2014/main" id="{00000000-0008-0000-6400-000007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642184" name="Button 8" hidden="1">
              <a:extLst>
                <a:ext uri="{63B3BB69-23CF-44E3-9099-C40C66FF867C}">
                  <a14:compatExt spid="_x0000_s14642184"/>
                </a:ext>
                <a:ext uri="{FF2B5EF4-FFF2-40B4-BE49-F238E27FC236}">
                  <a16:creationId xmlns:a16="http://schemas.microsoft.com/office/drawing/2014/main" id="{00000000-0008-0000-6400-0000086CD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642185" name="Button 9" hidden="1">
              <a:extLst>
                <a:ext uri="{63B3BB69-23CF-44E3-9099-C40C66FF867C}">
                  <a14:compatExt spid="_x0000_s14642185"/>
                </a:ext>
                <a:ext uri="{FF2B5EF4-FFF2-40B4-BE49-F238E27FC236}">
                  <a16:creationId xmlns:a16="http://schemas.microsoft.com/office/drawing/2014/main" id="{00000000-0008-0000-6400-0000096CD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4642186" name="Check Box 10" hidden="1">
              <a:extLst>
                <a:ext uri="{63B3BB69-23CF-44E3-9099-C40C66FF867C}">
                  <a14:compatExt spid="_x0000_s14642186"/>
                </a:ext>
                <a:ext uri="{FF2B5EF4-FFF2-40B4-BE49-F238E27FC236}">
                  <a16:creationId xmlns:a16="http://schemas.microsoft.com/office/drawing/2014/main" id="{00000000-0008-0000-6400-00000A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642187" name="Button 11" hidden="1">
              <a:extLst>
                <a:ext uri="{63B3BB69-23CF-44E3-9099-C40C66FF867C}">
                  <a14:compatExt spid="_x0000_s14642187"/>
                </a:ext>
                <a:ext uri="{FF2B5EF4-FFF2-40B4-BE49-F238E27FC236}">
                  <a16:creationId xmlns:a16="http://schemas.microsoft.com/office/drawing/2014/main" id="{00000000-0008-0000-6400-00000B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642188" name="Button 12" hidden="1">
              <a:extLst>
                <a:ext uri="{63B3BB69-23CF-44E3-9099-C40C66FF867C}">
                  <a14:compatExt spid="_x0000_s14642188"/>
                </a:ext>
                <a:ext uri="{FF2B5EF4-FFF2-40B4-BE49-F238E27FC236}">
                  <a16:creationId xmlns:a16="http://schemas.microsoft.com/office/drawing/2014/main" id="{00000000-0008-0000-6400-00000C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642189" name="Button 13" hidden="1">
              <a:extLst>
                <a:ext uri="{63B3BB69-23CF-44E3-9099-C40C66FF867C}">
                  <a14:compatExt spid="_x0000_s14642189"/>
                </a:ext>
                <a:ext uri="{FF2B5EF4-FFF2-40B4-BE49-F238E27FC236}">
                  <a16:creationId xmlns:a16="http://schemas.microsoft.com/office/drawing/2014/main" id="{00000000-0008-0000-6400-00000D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642190" name="Button 14" hidden="1">
              <a:extLst>
                <a:ext uri="{63B3BB69-23CF-44E3-9099-C40C66FF867C}">
                  <a14:compatExt spid="_x0000_s14642190"/>
                </a:ext>
                <a:ext uri="{FF2B5EF4-FFF2-40B4-BE49-F238E27FC236}">
                  <a16:creationId xmlns:a16="http://schemas.microsoft.com/office/drawing/2014/main" id="{00000000-0008-0000-6400-00000E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4642191" name="Check Box 15" hidden="1">
              <a:extLst>
                <a:ext uri="{63B3BB69-23CF-44E3-9099-C40C66FF867C}">
                  <a14:compatExt spid="_x0000_s14642191"/>
                </a:ext>
                <a:ext uri="{FF2B5EF4-FFF2-40B4-BE49-F238E27FC236}">
                  <a16:creationId xmlns:a16="http://schemas.microsoft.com/office/drawing/2014/main" id="{00000000-0008-0000-6400-00000F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4642192" name="Check Box 16" hidden="1">
              <a:extLst>
                <a:ext uri="{63B3BB69-23CF-44E3-9099-C40C66FF867C}">
                  <a14:compatExt spid="_x0000_s14642192"/>
                </a:ext>
                <a:ext uri="{FF2B5EF4-FFF2-40B4-BE49-F238E27FC236}">
                  <a16:creationId xmlns:a16="http://schemas.microsoft.com/office/drawing/2014/main" id="{00000000-0008-0000-6400-000010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4642193" name="Check Box 17" hidden="1">
              <a:extLst>
                <a:ext uri="{63B3BB69-23CF-44E3-9099-C40C66FF867C}">
                  <a14:compatExt spid="_x0000_s14642193"/>
                </a:ext>
                <a:ext uri="{FF2B5EF4-FFF2-40B4-BE49-F238E27FC236}">
                  <a16:creationId xmlns:a16="http://schemas.microsoft.com/office/drawing/2014/main" id="{00000000-0008-0000-6400-000011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4642194" name="Check Box 18" hidden="1">
              <a:extLst>
                <a:ext uri="{63B3BB69-23CF-44E3-9099-C40C66FF867C}">
                  <a14:compatExt spid="_x0000_s14642194"/>
                </a:ext>
                <a:ext uri="{FF2B5EF4-FFF2-40B4-BE49-F238E27FC236}">
                  <a16:creationId xmlns:a16="http://schemas.microsoft.com/office/drawing/2014/main" id="{00000000-0008-0000-6400-000012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4642195" name="Check Box 19" hidden="1">
              <a:extLst>
                <a:ext uri="{63B3BB69-23CF-44E3-9099-C40C66FF867C}">
                  <a14:compatExt spid="_x0000_s14642195"/>
                </a:ext>
                <a:ext uri="{FF2B5EF4-FFF2-40B4-BE49-F238E27FC236}">
                  <a16:creationId xmlns:a16="http://schemas.microsoft.com/office/drawing/2014/main" id="{00000000-0008-0000-6400-000013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642196" name="Check Box 20" hidden="1">
              <a:extLst>
                <a:ext uri="{63B3BB69-23CF-44E3-9099-C40C66FF867C}">
                  <a14:compatExt spid="_x0000_s14642196"/>
                </a:ext>
                <a:ext uri="{FF2B5EF4-FFF2-40B4-BE49-F238E27FC236}">
                  <a16:creationId xmlns:a16="http://schemas.microsoft.com/office/drawing/2014/main" id="{00000000-0008-0000-6400-000014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4642197" name="Check Box 21" hidden="1">
              <a:extLst>
                <a:ext uri="{63B3BB69-23CF-44E3-9099-C40C66FF867C}">
                  <a14:compatExt spid="_x0000_s14642197"/>
                </a:ext>
                <a:ext uri="{FF2B5EF4-FFF2-40B4-BE49-F238E27FC236}">
                  <a16:creationId xmlns:a16="http://schemas.microsoft.com/office/drawing/2014/main" id="{00000000-0008-0000-6400-000015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4642198" name="Check Box 22" hidden="1">
              <a:extLst>
                <a:ext uri="{63B3BB69-23CF-44E3-9099-C40C66FF867C}">
                  <a14:compatExt spid="_x0000_s14642198"/>
                </a:ext>
                <a:ext uri="{FF2B5EF4-FFF2-40B4-BE49-F238E27FC236}">
                  <a16:creationId xmlns:a16="http://schemas.microsoft.com/office/drawing/2014/main" id="{00000000-0008-0000-6400-000016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4642199" name="Check Box 23" hidden="1">
              <a:extLst>
                <a:ext uri="{63B3BB69-23CF-44E3-9099-C40C66FF867C}">
                  <a14:compatExt spid="_x0000_s14642199"/>
                </a:ext>
                <a:ext uri="{FF2B5EF4-FFF2-40B4-BE49-F238E27FC236}">
                  <a16:creationId xmlns:a16="http://schemas.microsoft.com/office/drawing/2014/main" id="{00000000-0008-0000-6400-000017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4642200" name="Check Box 24" hidden="1">
              <a:extLst>
                <a:ext uri="{63B3BB69-23CF-44E3-9099-C40C66FF867C}">
                  <a14:compatExt spid="_x0000_s14642200"/>
                </a:ext>
                <a:ext uri="{FF2B5EF4-FFF2-40B4-BE49-F238E27FC236}">
                  <a16:creationId xmlns:a16="http://schemas.microsoft.com/office/drawing/2014/main" id="{00000000-0008-0000-6400-000018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4642201" name="Check Box 25" hidden="1">
              <a:extLst>
                <a:ext uri="{63B3BB69-23CF-44E3-9099-C40C66FF867C}">
                  <a14:compatExt spid="_x0000_s14642201"/>
                </a:ext>
                <a:ext uri="{FF2B5EF4-FFF2-40B4-BE49-F238E27FC236}">
                  <a16:creationId xmlns:a16="http://schemas.microsoft.com/office/drawing/2014/main" id="{00000000-0008-0000-6400-000019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4642202" name="Check Box 26" hidden="1">
              <a:extLst>
                <a:ext uri="{63B3BB69-23CF-44E3-9099-C40C66FF867C}">
                  <a14:compatExt spid="_x0000_s14642202"/>
                </a:ext>
                <a:ext uri="{FF2B5EF4-FFF2-40B4-BE49-F238E27FC236}">
                  <a16:creationId xmlns:a16="http://schemas.microsoft.com/office/drawing/2014/main" id="{00000000-0008-0000-6400-00001A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4642203" name="Check Box 27" hidden="1">
              <a:extLst>
                <a:ext uri="{63B3BB69-23CF-44E3-9099-C40C66FF867C}">
                  <a14:compatExt spid="_x0000_s14642203"/>
                </a:ext>
                <a:ext uri="{FF2B5EF4-FFF2-40B4-BE49-F238E27FC236}">
                  <a16:creationId xmlns:a16="http://schemas.microsoft.com/office/drawing/2014/main" id="{00000000-0008-0000-6400-00001B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642204" name="Button 28" hidden="1">
              <a:extLst>
                <a:ext uri="{63B3BB69-23CF-44E3-9099-C40C66FF867C}">
                  <a14:compatExt spid="_x0000_s14642204"/>
                </a:ext>
                <a:ext uri="{FF2B5EF4-FFF2-40B4-BE49-F238E27FC236}">
                  <a16:creationId xmlns:a16="http://schemas.microsoft.com/office/drawing/2014/main" id="{00000000-0008-0000-6400-00001C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642205" name="Button 29" hidden="1">
              <a:extLst>
                <a:ext uri="{63B3BB69-23CF-44E3-9099-C40C66FF867C}">
                  <a14:compatExt spid="_x0000_s14642205"/>
                </a:ext>
                <a:ext uri="{FF2B5EF4-FFF2-40B4-BE49-F238E27FC236}">
                  <a16:creationId xmlns:a16="http://schemas.microsoft.com/office/drawing/2014/main" id="{00000000-0008-0000-6400-00001D6CD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4642206" name="Check Box 30" hidden="1">
              <a:extLst>
                <a:ext uri="{63B3BB69-23CF-44E3-9099-C40C66FF867C}">
                  <a14:compatExt spid="_x0000_s14642206"/>
                </a:ext>
                <a:ext uri="{FF2B5EF4-FFF2-40B4-BE49-F238E27FC236}">
                  <a16:creationId xmlns:a16="http://schemas.microsoft.com/office/drawing/2014/main" id="{00000000-0008-0000-6400-00001E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4642207" name="Check Box 31" hidden="1">
              <a:extLst>
                <a:ext uri="{63B3BB69-23CF-44E3-9099-C40C66FF867C}">
                  <a14:compatExt spid="_x0000_s14642207"/>
                </a:ext>
                <a:ext uri="{FF2B5EF4-FFF2-40B4-BE49-F238E27FC236}">
                  <a16:creationId xmlns:a16="http://schemas.microsoft.com/office/drawing/2014/main" id="{00000000-0008-0000-6400-00001F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4642208" name="Check Box 32" hidden="1">
              <a:extLst>
                <a:ext uri="{63B3BB69-23CF-44E3-9099-C40C66FF867C}">
                  <a14:compatExt spid="_x0000_s14642208"/>
                </a:ext>
                <a:ext uri="{FF2B5EF4-FFF2-40B4-BE49-F238E27FC236}">
                  <a16:creationId xmlns:a16="http://schemas.microsoft.com/office/drawing/2014/main" id="{00000000-0008-0000-6400-000020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4642209" name="Check Box 33" hidden="1">
              <a:extLst>
                <a:ext uri="{63B3BB69-23CF-44E3-9099-C40C66FF867C}">
                  <a14:compatExt spid="_x0000_s14642209"/>
                </a:ext>
                <a:ext uri="{FF2B5EF4-FFF2-40B4-BE49-F238E27FC236}">
                  <a16:creationId xmlns:a16="http://schemas.microsoft.com/office/drawing/2014/main" id="{00000000-0008-0000-6400-000021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4642210" name="Check Box 34" hidden="1">
              <a:extLst>
                <a:ext uri="{63B3BB69-23CF-44E3-9099-C40C66FF867C}">
                  <a14:compatExt spid="_x0000_s14642210"/>
                </a:ext>
                <a:ext uri="{FF2B5EF4-FFF2-40B4-BE49-F238E27FC236}">
                  <a16:creationId xmlns:a16="http://schemas.microsoft.com/office/drawing/2014/main" id="{00000000-0008-0000-6400-000022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4642211" name="Check Box 35" hidden="1">
              <a:extLst>
                <a:ext uri="{63B3BB69-23CF-44E3-9099-C40C66FF867C}">
                  <a14:compatExt spid="_x0000_s14642211"/>
                </a:ext>
                <a:ext uri="{FF2B5EF4-FFF2-40B4-BE49-F238E27FC236}">
                  <a16:creationId xmlns:a16="http://schemas.microsoft.com/office/drawing/2014/main" id="{00000000-0008-0000-6400-000023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4642212" name="Check Box 36" hidden="1">
              <a:extLst>
                <a:ext uri="{63B3BB69-23CF-44E3-9099-C40C66FF867C}">
                  <a14:compatExt spid="_x0000_s14642212"/>
                </a:ext>
                <a:ext uri="{FF2B5EF4-FFF2-40B4-BE49-F238E27FC236}">
                  <a16:creationId xmlns:a16="http://schemas.microsoft.com/office/drawing/2014/main" id="{00000000-0008-0000-6400-000024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4642213" name="Check Box 37" hidden="1">
              <a:extLst>
                <a:ext uri="{63B3BB69-23CF-44E3-9099-C40C66FF867C}">
                  <a14:compatExt spid="_x0000_s14642213"/>
                </a:ext>
                <a:ext uri="{FF2B5EF4-FFF2-40B4-BE49-F238E27FC236}">
                  <a16:creationId xmlns:a16="http://schemas.microsoft.com/office/drawing/2014/main" id="{00000000-0008-0000-6400-0000256CD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572C2048-C7BD-4416-93F9-BF2C8D6C04A8}"/>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Lucky, Loki &amp;</a:t>
          </a:r>
          <a:r>
            <a:rPr lang="en-AU" sz="1100" baseline="0"/>
            <a:t> Luna - puppies adopted 22/10/2024</a:t>
          </a:r>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F58F65D4-1B05-4B6B-B277-8648E1D4F851}"/>
            </a:ext>
          </a:extLst>
        </xdr:cNvPr>
        <xdr:cNvPicPr>
          <a:picLocks noChangeAspect="1"/>
        </xdr:cNvPicPr>
      </xdr:nvPicPr>
      <xdr:blipFill>
        <a:blip xmlns:r="http://schemas.openxmlformats.org/officeDocument/2006/relationships" r:embed="rId1"/>
        <a:stretch>
          <a:fillRect/>
        </a:stretch>
      </xdr:blipFill>
      <xdr:spPr>
        <a:xfrm>
          <a:off x="4448175" y="156659"/>
          <a:ext cx="118705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4309377" name="Check Box 1" hidden="1">
              <a:extLst>
                <a:ext uri="{63B3BB69-23CF-44E3-9099-C40C66FF867C}">
                  <a14:compatExt spid="_x0000_s14309377"/>
                </a:ext>
                <a:ext uri="{FF2B5EF4-FFF2-40B4-BE49-F238E27FC236}">
                  <a16:creationId xmlns:a16="http://schemas.microsoft.com/office/drawing/2014/main" id="{00000000-0008-0000-6500-000001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4309378" name="Check Box 2" hidden="1">
              <a:extLst>
                <a:ext uri="{63B3BB69-23CF-44E3-9099-C40C66FF867C}">
                  <a14:compatExt spid="_x0000_s14309378"/>
                </a:ext>
                <a:ext uri="{FF2B5EF4-FFF2-40B4-BE49-F238E27FC236}">
                  <a16:creationId xmlns:a16="http://schemas.microsoft.com/office/drawing/2014/main" id="{00000000-0008-0000-6500-000002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4309379" name="Check Box 3" hidden="1">
              <a:extLst>
                <a:ext uri="{63B3BB69-23CF-44E3-9099-C40C66FF867C}">
                  <a14:compatExt spid="_x0000_s14309379"/>
                </a:ext>
                <a:ext uri="{FF2B5EF4-FFF2-40B4-BE49-F238E27FC236}">
                  <a16:creationId xmlns:a16="http://schemas.microsoft.com/office/drawing/2014/main" id="{00000000-0008-0000-6500-000003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4309380" name="Check Box 4" hidden="1">
              <a:extLst>
                <a:ext uri="{63B3BB69-23CF-44E3-9099-C40C66FF867C}">
                  <a14:compatExt spid="_x0000_s14309380"/>
                </a:ext>
                <a:ext uri="{FF2B5EF4-FFF2-40B4-BE49-F238E27FC236}">
                  <a16:creationId xmlns:a16="http://schemas.microsoft.com/office/drawing/2014/main" id="{00000000-0008-0000-6500-000004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4309381" name="Check Box 5" hidden="1">
              <a:extLst>
                <a:ext uri="{63B3BB69-23CF-44E3-9099-C40C66FF867C}">
                  <a14:compatExt spid="_x0000_s14309381"/>
                </a:ext>
                <a:ext uri="{FF2B5EF4-FFF2-40B4-BE49-F238E27FC236}">
                  <a16:creationId xmlns:a16="http://schemas.microsoft.com/office/drawing/2014/main" id="{00000000-0008-0000-6500-000005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4309382" name="Check Box 6" hidden="1">
              <a:extLst>
                <a:ext uri="{63B3BB69-23CF-44E3-9099-C40C66FF867C}">
                  <a14:compatExt spid="_x0000_s14309382"/>
                </a:ext>
                <a:ext uri="{FF2B5EF4-FFF2-40B4-BE49-F238E27FC236}">
                  <a16:creationId xmlns:a16="http://schemas.microsoft.com/office/drawing/2014/main" id="{00000000-0008-0000-6500-000006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4309383" name="Check Box 7" hidden="1">
              <a:extLst>
                <a:ext uri="{63B3BB69-23CF-44E3-9099-C40C66FF867C}">
                  <a14:compatExt spid="_x0000_s14309383"/>
                </a:ext>
                <a:ext uri="{FF2B5EF4-FFF2-40B4-BE49-F238E27FC236}">
                  <a16:creationId xmlns:a16="http://schemas.microsoft.com/office/drawing/2014/main" id="{00000000-0008-0000-6500-000007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309384" name="Button 8" hidden="1">
              <a:extLst>
                <a:ext uri="{63B3BB69-23CF-44E3-9099-C40C66FF867C}">
                  <a14:compatExt spid="_x0000_s14309384"/>
                </a:ext>
                <a:ext uri="{FF2B5EF4-FFF2-40B4-BE49-F238E27FC236}">
                  <a16:creationId xmlns:a16="http://schemas.microsoft.com/office/drawing/2014/main" id="{00000000-0008-0000-6500-00000858D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309385" name="Button 9" hidden="1">
              <a:extLst>
                <a:ext uri="{63B3BB69-23CF-44E3-9099-C40C66FF867C}">
                  <a14:compatExt spid="_x0000_s14309385"/>
                </a:ext>
                <a:ext uri="{FF2B5EF4-FFF2-40B4-BE49-F238E27FC236}">
                  <a16:creationId xmlns:a16="http://schemas.microsoft.com/office/drawing/2014/main" id="{00000000-0008-0000-6500-00000958D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4309386" name="Check Box 10" hidden="1">
              <a:extLst>
                <a:ext uri="{63B3BB69-23CF-44E3-9099-C40C66FF867C}">
                  <a14:compatExt spid="_x0000_s14309386"/>
                </a:ext>
                <a:ext uri="{FF2B5EF4-FFF2-40B4-BE49-F238E27FC236}">
                  <a16:creationId xmlns:a16="http://schemas.microsoft.com/office/drawing/2014/main" id="{00000000-0008-0000-6500-00000A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309387" name="Button 11" hidden="1">
              <a:extLst>
                <a:ext uri="{63B3BB69-23CF-44E3-9099-C40C66FF867C}">
                  <a14:compatExt spid="_x0000_s14309387"/>
                </a:ext>
                <a:ext uri="{FF2B5EF4-FFF2-40B4-BE49-F238E27FC236}">
                  <a16:creationId xmlns:a16="http://schemas.microsoft.com/office/drawing/2014/main" id="{00000000-0008-0000-6500-00000B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309388" name="Button 12" hidden="1">
              <a:extLst>
                <a:ext uri="{63B3BB69-23CF-44E3-9099-C40C66FF867C}">
                  <a14:compatExt spid="_x0000_s14309388"/>
                </a:ext>
                <a:ext uri="{FF2B5EF4-FFF2-40B4-BE49-F238E27FC236}">
                  <a16:creationId xmlns:a16="http://schemas.microsoft.com/office/drawing/2014/main" id="{00000000-0008-0000-6500-00000C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309389" name="Button 13" hidden="1">
              <a:extLst>
                <a:ext uri="{63B3BB69-23CF-44E3-9099-C40C66FF867C}">
                  <a14:compatExt spid="_x0000_s14309389"/>
                </a:ext>
                <a:ext uri="{FF2B5EF4-FFF2-40B4-BE49-F238E27FC236}">
                  <a16:creationId xmlns:a16="http://schemas.microsoft.com/office/drawing/2014/main" id="{00000000-0008-0000-6500-00000D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309390" name="Button 14" hidden="1">
              <a:extLst>
                <a:ext uri="{63B3BB69-23CF-44E3-9099-C40C66FF867C}">
                  <a14:compatExt spid="_x0000_s14309390"/>
                </a:ext>
                <a:ext uri="{FF2B5EF4-FFF2-40B4-BE49-F238E27FC236}">
                  <a16:creationId xmlns:a16="http://schemas.microsoft.com/office/drawing/2014/main" id="{00000000-0008-0000-6500-00000E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4309391" name="Check Box 15" hidden="1">
              <a:extLst>
                <a:ext uri="{63B3BB69-23CF-44E3-9099-C40C66FF867C}">
                  <a14:compatExt spid="_x0000_s14309391"/>
                </a:ext>
                <a:ext uri="{FF2B5EF4-FFF2-40B4-BE49-F238E27FC236}">
                  <a16:creationId xmlns:a16="http://schemas.microsoft.com/office/drawing/2014/main" id="{00000000-0008-0000-6500-00000F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4309392" name="Check Box 16" hidden="1">
              <a:extLst>
                <a:ext uri="{63B3BB69-23CF-44E3-9099-C40C66FF867C}">
                  <a14:compatExt spid="_x0000_s14309392"/>
                </a:ext>
                <a:ext uri="{FF2B5EF4-FFF2-40B4-BE49-F238E27FC236}">
                  <a16:creationId xmlns:a16="http://schemas.microsoft.com/office/drawing/2014/main" id="{00000000-0008-0000-6500-000010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4309393" name="Check Box 17" hidden="1">
              <a:extLst>
                <a:ext uri="{63B3BB69-23CF-44E3-9099-C40C66FF867C}">
                  <a14:compatExt spid="_x0000_s14309393"/>
                </a:ext>
                <a:ext uri="{FF2B5EF4-FFF2-40B4-BE49-F238E27FC236}">
                  <a16:creationId xmlns:a16="http://schemas.microsoft.com/office/drawing/2014/main" id="{00000000-0008-0000-6500-000011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4309394" name="Check Box 18" hidden="1">
              <a:extLst>
                <a:ext uri="{63B3BB69-23CF-44E3-9099-C40C66FF867C}">
                  <a14:compatExt spid="_x0000_s14309394"/>
                </a:ext>
                <a:ext uri="{FF2B5EF4-FFF2-40B4-BE49-F238E27FC236}">
                  <a16:creationId xmlns:a16="http://schemas.microsoft.com/office/drawing/2014/main" id="{00000000-0008-0000-6500-000012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4309395" name="Check Box 19" hidden="1">
              <a:extLst>
                <a:ext uri="{63B3BB69-23CF-44E3-9099-C40C66FF867C}">
                  <a14:compatExt spid="_x0000_s14309395"/>
                </a:ext>
                <a:ext uri="{FF2B5EF4-FFF2-40B4-BE49-F238E27FC236}">
                  <a16:creationId xmlns:a16="http://schemas.microsoft.com/office/drawing/2014/main" id="{00000000-0008-0000-6500-000013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309396" name="Check Box 20" hidden="1">
              <a:extLst>
                <a:ext uri="{63B3BB69-23CF-44E3-9099-C40C66FF867C}">
                  <a14:compatExt spid="_x0000_s14309396"/>
                </a:ext>
                <a:ext uri="{FF2B5EF4-FFF2-40B4-BE49-F238E27FC236}">
                  <a16:creationId xmlns:a16="http://schemas.microsoft.com/office/drawing/2014/main" id="{00000000-0008-0000-6500-000014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4309397" name="Check Box 21" hidden="1">
              <a:extLst>
                <a:ext uri="{63B3BB69-23CF-44E3-9099-C40C66FF867C}">
                  <a14:compatExt spid="_x0000_s14309397"/>
                </a:ext>
                <a:ext uri="{FF2B5EF4-FFF2-40B4-BE49-F238E27FC236}">
                  <a16:creationId xmlns:a16="http://schemas.microsoft.com/office/drawing/2014/main" id="{00000000-0008-0000-6500-000015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4309398" name="Check Box 22" hidden="1">
              <a:extLst>
                <a:ext uri="{63B3BB69-23CF-44E3-9099-C40C66FF867C}">
                  <a14:compatExt spid="_x0000_s14309398"/>
                </a:ext>
                <a:ext uri="{FF2B5EF4-FFF2-40B4-BE49-F238E27FC236}">
                  <a16:creationId xmlns:a16="http://schemas.microsoft.com/office/drawing/2014/main" id="{00000000-0008-0000-6500-000016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4309399" name="Check Box 23" hidden="1">
              <a:extLst>
                <a:ext uri="{63B3BB69-23CF-44E3-9099-C40C66FF867C}">
                  <a14:compatExt spid="_x0000_s14309399"/>
                </a:ext>
                <a:ext uri="{FF2B5EF4-FFF2-40B4-BE49-F238E27FC236}">
                  <a16:creationId xmlns:a16="http://schemas.microsoft.com/office/drawing/2014/main" id="{00000000-0008-0000-6500-000017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4309400" name="Check Box 24" hidden="1">
              <a:extLst>
                <a:ext uri="{63B3BB69-23CF-44E3-9099-C40C66FF867C}">
                  <a14:compatExt spid="_x0000_s14309400"/>
                </a:ext>
                <a:ext uri="{FF2B5EF4-FFF2-40B4-BE49-F238E27FC236}">
                  <a16:creationId xmlns:a16="http://schemas.microsoft.com/office/drawing/2014/main" id="{00000000-0008-0000-6500-000018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4309401" name="Check Box 25" hidden="1">
              <a:extLst>
                <a:ext uri="{63B3BB69-23CF-44E3-9099-C40C66FF867C}">
                  <a14:compatExt spid="_x0000_s14309401"/>
                </a:ext>
                <a:ext uri="{FF2B5EF4-FFF2-40B4-BE49-F238E27FC236}">
                  <a16:creationId xmlns:a16="http://schemas.microsoft.com/office/drawing/2014/main" id="{00000000-0008-0000-6500-000019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4309402" name="Check Box 26" hidden="1">
              <a:extLst>
                <a:ext uri="{63B3BB69-23CF-44E3-9099-C40C66FF867C}">
                  <a14:compatExt spid="_x0000_s14309402"/>
                </a:ext>
                <a:ext uri="{FF2B5EF4-FFF2-40B4-BE49-F238E27FC236}">
                  <a16:creationId xmlns:a16="http://schemas.microsoft.com/office/drawing/2014/main" id="{00000000-0008-0000-6500-00001A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4309403" name="Check Box 27" hidden="1">
              <a:extLst>
                <a:ext uri="{63B3BB69-23CF-44E3-9099-C40C66FF867C}">
                  <a14:compatExt spid="_x0000_s14309403"/>
                </a:ext>
                <a:ext uri="{FF2B5EF4-FFF2-40B4-BE49-F238E27FC236}">
                  <a16:creationId xmlns:a16="http://schemas.microsoft.com/office/drawing/2014/main" id="{00000000-0008-0000-6500-00001B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309404" name="Button 28" hidden="1">
              <a:extLst>
                <a:ext uri="{63B3BB69-23CF-44E3-9099-C40C66FF867C}">
                  <a14:compatExt spid="_x0000_s14309404"/>
                </a:ext>
                <a:ext uri="{FF2B5EF4-FFF2-40B4-BE49-F238E27FC236}">
                  <a16:creationId xmlns:a16="http://schemas.microsoft.com/office/drawing/2014/main" id="{00000000-0008-0000-6500-00001C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309405" name="Button 29" hidden="1">
              <a:extLst>
                <a:ext uri="{63B3BB69-23CF-44E3-9099-C40C66FF867C}">
                  <a14:compatExt spid="_x0000_s14309405"/>
                </a:ext>
                <a:ext uri="{FF2B5EF4-FFF2-40B4-BE49-F238E27FC236}">
                  <a16:creationId xmlns:a16="http://schemas.microsoft.com/office/drawing/2014/main" id="{00000000-0008-0000-6500-00001D58D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4309406" name="Check Box 30" hidden="1">
              <a:extLst>
                <a:ext uri="{63B3BB69-23CF-44E3-9099-C40C66FF867C}">
                  <a14:compatExt spid="_x0000_s14309406"/>
                </a:ext>
                <a:ext uri="{FF2B5EF4-FFF2-40B4-BE49-F238E27FC236}">
                  <a16:creationId xmlns:a16="http://schemas.microsoft.com/office/drawing/2014/main" id="{00000000-0008-0000-6500-00001E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4309407" name="Check Box 31" hidden="1">
              <a:extLst>
                <a:ext uri="{63B3BB69-23CF-44E3-9099-C40C66FF867C}">
                  <a14:compatExt spid="_x0000_s14309407"/>
                </a:ext>
                <a:ext uri="{FF2B5EF4-FFF2-40B4-BE49-F238E27FC236}">
                  <a16:creationId xmlns:a16="http://schemas.microsoft.com/office/drawing/2014/main" id="{00000000-0008-0000-6500-00001F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4309408" name="Check Box 32" hidden="1">
              <a:extLst>
                <a:ext uri="{63B3BB69-23CF-44E3-9099-C40C66FF867C}">
                  <a14:compatExt spid="_x0000_s14309408"/>
                </a:ext>
                <a:ext uri="{FF2B5EF4-FFF2-40B4-BE49-F238E27FC236}">
                  <a16:creationId xmlns:a16="http://schemas.microsoft.com/office/drawing/2014/main" id="{00000000-0008-0000-6500-000020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4309409" name="Check Box 33" hidden="1">
              <a:extLst>
                <a:ext uri="{63B3BB69-23CF-44E3-9099-C40C66FF867C}">
                  <a14:compatExt spid="_x0000_s14309409"/>
                </a:ext>
                <a:ext uri="{FF2B5EF4-FFF2-40B4-BE49-F238E27FC236}">
                  <a16:creationId xmlns:a16="http://schemas.microsoft.com/office/drawing/2014/main" id="{00000000-0008-0000-6500-000021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4309410" name="Check Box 34" hidden="1">
              <a:extLst>
                <a:ext uri="{63B3BB69-23CF-44E3-9099-C40C66FF867C}">
                  <a14:compatExt spid="_x0000_s14309410"/>
                </a:ext>
                <a:ext uri="{FF2B5EF4-FFF2-40B4-BE49-F238E27FC236}">
                  <a16:creationId xmlns:a16="http://schemas.microsoft.com/office/drawing/2014/main" id="{00000000-0008-0000-6500-000022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4309411" name="Check Box 35" hidden="1">
              <a:extLst>
                <a:ext uri="{63B3BB69-23CF-44E3-9099-C40C66FF867C}">
                  <a14:compatExt spid="_x0000_s14309411"/>
                </a:ext>
                <a:ext uri="{FF2B5EF4-FFF2-40B4-BE49-F238E27FC236}">
                  <a16:creationId xmlns:a16="http://schemas.microsoft.com/office/drawing/2014/main" id="{00000000-0008-0000-6500-000023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4309412" name="Check Box 36" hidden="1">
              <a:extLst>
                <a:ext uri="{63B3BB69-23CF-44E3-9099-C40C66FF867C}">
                  <a14:compatExt spid="_x0000_s14309412"/>
                </a:ext>
                <a:ext uri="{FF2B5EF4-FFF2-40B4-BE49-F238E27FC236}">
                  <a16:creationId xmlns:a16="http://schemas.microsoft.com/office/drawing/2014/main" id="{00000000-0008-0000-6500-000024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4309413" name="Check Box 37" hidden="1">
              <a:extLst>
                <a:ext uri="{63B3BB69-23CF-44E3-9099-C40C66FF867C}">
                  <a14:compatExt spid="_x0000_s14309413"/>
                </a:ext>
                <a:ext uri="{FF2B5EF4-FFF2-40B4-BE49-F238E27FC236}">
                  <a16:creationId xmlns:a16="http://schemas.microsoft.com/office/drawing/2014/main" id="{00000000-0008-0000-6500-00002558D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30D27F17-E4A3-498E-8E4C-5B0A8869DE38}"/>
            </a:ext>
          </a:extLst>
        </xdr:cNvPr>
        <xdr:cNvSpPr txBox="1"/>
      </xdr:nvSpPr>
      <xdr:spPr>
        <a:xfrm>
          <a:off x="31749" y="20129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chemeClr val="accent4"/>
              </a:solidFill>
            </a:rPr>
            <a:t>1. Planning</a:t>
          </a:r>
          <a:r>
            <a:rPr lang="en-AU" sz="1100" baseline="0">
              <a:solidFill>
                <a:schemeClr val="accent4"/>
              </a:solidFill>
            </a:rPr>
            <a:t> permit</a:t>
          </a:r>
        </a:p>
        <a:p>
          <a:r>
            <a:rPr lang="en-AU" sz="1100" baseline="0">
              <a:solidFill>
                <a:schemeClr val="accent4"/>
              </a:solidFill>
            </a:rPr>
            <a:t>2. Owner builder certificate</a:t>
          </a:r>
        </a:p>
        <a:p>
          <a:r>
            <a:rPr lang="en-AU" sz="1100" baseline="0"/>
            <a:t>3. Soil report</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C6A56F85-73B9-40CA-9421-FEE8AD72A8DE}"/>
            </a:ext>
          </a:extLst>
        </xdr:cNvPr>
        <xdr:cNvPicPr>
          <a:picLocks noChangeAspect="1"/>
        </xdr:cNvPicPr>
      </xdr:nvPicPr>
      <xdr:blipFill>
        <a:blip xmlns:r="http://schemas.openxmlformats.org/officeDocument/2006/relationships" r:embed="rId1"/>
        <a:stretch>
          <a:fillRect/>
        </a:stretch>
      </xdr:blipFill>
      <xdr:spPr>
        <a:xfrm>
          <a:off x="4451350" y="156659"/>
          <a:ext cx="1183881" cy="6940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304800</xdr:colOff>
          <xdr:row>43</xdr:row>
          <xdr:rowOff>38100</xdr:rowOff>
        </xdr:to>
        <xdr:sp macro="" textlink="">
          <xdr:nvSpPr>
            <xdr:cNvPr id="14093313" name="Check Box 1" hidden="1">
              <a:extLst>
                <a:ext uri="{63B3BB69-23CF-44E3-9099-C40C66FF867C}">
                  <a14:compatExt spid="_x0000_s14093313"/>
                </a:ext>
                <a:ext uri="{FF2B5EF4-FFF2-40B4-BE49-F238E27FC236}">
                  <a16:creationId xmlns:a16="http://schemas.microsoft.com/office/drawing/2014/main" id="{00000000-0008-0000-6600-000001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304800</xdr:colOff>
          <xdr:row>44</xdr:row>
          <xdr:rowOff>38100</xdr:rowOff>
        </xdr:to>
        <xdr:sp macro="" textlink="">
          <xdr:nvSpPr>
            <xdr:cNvPr id="14093314" name="Check Box 2" hidden="1">
              <a:extLst>
                <a:ext uri="{63B3BB69-23CF-44E3-9099-C40C66FF867C}">
                  <a14:compatExt spid="_x0000_s14093314"/>
                </a:ext>
                <a:ext uri="{FF2B5EF4-FFF2-40B4-BE49-F238E27FC236}">
                  <a16:creationId xmlns:a16="http://schemas.microsoft.com/office/drawing/2014/main" id="{00000000-0008-0000-6600-000002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304800</xdr:colOff>
          <xdr:row>45</xdr:row>
          <xdr:rowOff>38100</xdr:rowOff>
        </xdr:to>
        <xdr:sp macro="" textlink="">
          <xdr:nvSpPr>
            <xdr:cNvPr id="14093315" name="Check Box 3" hidden="1">
              <a:extLst>
                <a:ext uri="{63B3BB69-23CF-44E3-9099-C40C66FF867C}">
                  <a14:compatExt spid="_x0000_s14093315"/>
                </a:ext>
                <a:ext uri="{FF2B5EF4-FFF2-40B4-BE49-F238E27FC236}">
                  <a16:creationId xmlns:a16="http://schemas.microsoft.com/office/drawing/2014/main" id="{00000000-0008-0000-6600-000003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304800</xdr:colOff>
          <xdr:row>46</xdr:row>
          <xdr:rowOff>38100</xdr:rowOff>
        </xdr:to>
        <xdr:sp macro="" textlink="">
          <xdr:nvSpPr>
            <xdr:cNvPr id="14093316" name="Check Box 4" hidden="1">
              <a:extLst>
                <a:ext uri="{63B3BB69-23CF-44E3-9099-C40C66FF867C}">
                  <a14:compatExt spid="_x0000_s14093316"/>
                </a:ext>
                <a:ext uri="{FF2B5EF4-FFF2-40B4-BE49-F238E27FC236}">
                  <a16:creationId xmlns:a16="http://schemas.microsoft.com/office/drawing/2014/main" id="{00000000-0008-0000-6600-000004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304800</xdr:colOff>
          <xdr:row>47</xdr:row>
          <xdr:rowOff>38100</xdr:rowOff>
        </xdr:to>
        <xdr:sp macro="" textlink="">
          <xdr:nvSpPr>
            <xdr:cNvPr id="14093317" name="Check Box 5" hidden="1">
              <a:extLst>
                <a:ext uri="{63B3BB69-23CF-44E3-9099-C40C66FF867C}">
                  <a14:compatExt spid="_x0000_s14093317"/>
                </a:ext>
                <a:ext uri="{FF2B5EF4-FFF2-40B4-BE49-F238E27FC236}">
                  <a16:creationId xmlns:a16="http://schemas.microsoft.com/office/drawing/2014/main" id="{00000000-0008-0000-6600-000005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304800</xdr:colOff>
          <xdr:row>48</xdr:row>
          <xdr:rowOff>38100</xdr:rowOff>
        </xdr:to>
        <xdr:sp macro="" textlink="">
          <xdr:nvSpPr>
            <xdr:cNvPr id="14093318" name="Check Box 6" hidden="1">
              <a:extLst>
                <a:ext uri="{63B3BB69-23CF-44E3-9099-C40C66FF867C}">
                  <a14:compatExt spid="_x0000_s14093318"/>
                </a:ext>
                <a:ext uri="{FF2B5EF4-FFF2-40B4-BE49-F238E27FC236}">
                  <a16:creationId xmlns:a16="http://schemas.microsoft.com/office/drawing/2014/main" id="{00000000-0008-0000-6600-000006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304800</xdr:colOff>
          <xdr:row>49</xdr:row>
          <xdr:rowOff>38100</xdr:rowOff>
        </xdr:to>
        <xdr:sp macro="" textlink="">
          <xdr:nvSpPr>
            <xdr:cNvPr id="14093319" name="Check Box 7" hidden="1">
              <a:extLst>
                <a:ext uri="{63B3BB69-23CF-44E3-9099-C40C66FF867C}">
                  <a14:compatExt spid="_x0000_s14093319"/>
                </a:ext>
                <a:ext uri="{FF2B5EF4-FFF2-40B4-BE49-F238E27FC236}">
                  <a16:creationId xmlns:a16="http://schemas.microsoft.com/office/drawing/2014/main" id="{00000000-0008-0000-6600-000007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219075</xdr:colOff>
          <xdr:row>19</xdr:row>
          <xdr:rowOff>142875</xdr:rowOff>
        </xdr:from>
        <xdr:to>
          <xdr:col>8</xdr:col>
          <xdr:colOff>676275</xdr:colOff>
          <xdr:row>21</xdr:row>
          <xdr:rowOff>66675</xdr:rowOff>
        </xdr:to>
        <xdr:sp macro="" textlink="">
          <xdr:nvSpPr>
            <xdr:cNvPr id="14093320" name="Button 8" hidden="1">
              <a:extLst>
                <a:ext uri="{63B3BB69-23CF-44E3-9099-C40C66FF867C}">
                  <a14:compatExt spid="_x0000_s14093320"/>
                </a:ext>
                <a:ext uri="{FF2B5EF4-FFF2-40B4-BE49-F238E27FC236}">
                  <a16:creationId xmlns:a16="http://schemas.microsoft.com/office/drawing/2014/main" id="{00000000-0008-0000-6600-0000080CD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4093321" name="Button 9" hidden="1">
              <a:extLst>
                <a:ext uri="{63B3BB69-23CF-44E3-9099-C40C66FF867C}">
                  <a14:compatExt spid="_x0000_s14093321"/>
                </a:ext>
                <a:ext uri="{FF2B5EF4-FFF2-40B4-BE49-F238E27FC236}">
                  <a16:creationId xmlns:a16="http://schemas.microsoft.com/office/drawing/2014/main" id="{00000000-0008-0000-6600-0000090CD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304800</xdr:colOff>
          <xdr:row>40</xdr:row>
          <xdr:rowOff>19050</xdr:rowOff>
        </xdr:to>
        <xdr:sp macro="" textlink="">
          <xdr:nvSpPr>
            <xdr:cNvPr id="14093322" name="Check Box 10" hidden="1">
              <a:extLst>
                <a:ext uri="{63B3BB69-23CF-44E3-9099-C40C66FF867C}">
                  <a14:compatExt spid="_x0000_s14093322"/>
                </a:ext>
                <a:ext uri="{FF2B5EF4-FFF2-40B4-BE49-F238E27FC236}">
                  <a16:creationId xmlns:a16="http://schemas.microsoft.com/office/drawing/2014/main" id="{00000000-0008-0000-6600-00000A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4093323" name="Button 11" hidden="1">
              <a:extLst>
                <a:ext uri="{63B3BB69-23CF-44E3-9099-C40C66FF867C}">
                  <a14:compatExt spid="_x0000_s14093323"/>
                </a:ext>
                <a:ext uri="{FF2B5EF4-FFF2-40B4-BE49-F238E27FC236}">
                  <a16:creationId xmlns:a16="http://schemas.microsoft.com/office/drawing/2014/main" id="{00000000-0008-0000-6600-00000B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4093324" name="Button 12" hidden="1">
              <a:extLst>
                <a:ext uri="{63B3BB69-23CF-44E3-9099-C40C66FF867C}">
                  <a14:compatExt spid="_x0000_s14093324"/>
                </a:ext>
                <a:ext uri="{FF2B5EF4-FFF2-40B4-BE49-F238E27FC236}">
                  <a16:creationId xmlns:a16="http://schemas.microsoft.com/office/drawing/2014/main" id="{00000000-0008-0000-6600-00000C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4093325" name="Button 13" hidden="1">
              <a:extLst>
                <a:ext uri="{63B3BB69-23CF-44E3-9099-C40C66FF867C}">
                  <a14:compatExt spid="_x0000_s14093325"/>
                </a:ext>
                <a:ext uri="{FF2B5EF4-FFF2-40B4-BE49-F238E27FC236}">
                  <a16:creationId xmlns:a16="http://schemas.microsoft.com/office/drawing/2014/main" id="{00000000-0008-0000-6600-00000D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4093326" name="Button 14" hidden="1">
              <a:extLst>
                <a:ext uri="{63B3BB69-23CF-44E3-9099-C40C66FF867C}">
                  <a14:compatExt spid="_x0000_s14093326"/>
                </a:ext>
                <a:ext uri="{FF2B5EF4-FFF2-40B4-BE49-F238E27FC236}">
                  <a16:creationId xmlns:a16="http://schemas.microsoft.com/office/drawing/2014/main" id="{00000000-0008-0000-6600-00000E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304800</xdr:colOff>
          <xdr:row>50</xdr:row>
          <xdr:rowOff>0</xdr:rowOff>
        </xdr:to>
        <xdr:sp macro="" textlink="">
          <xdr:nvSpPr>
            <xdr:cNvPr id="14093327" name="Check Box 15" hidden="1">
              <a:extLst>
                <a:ext uri="{63B3BB69-23CF-44E3-9099-C40C66FF867C}">
                  <a14:compatExt spid="_x0000_s14093327"/>
                </a:ext>
                <a:ext uri="{FF2B5EF4-FFF2-40B4-BE49-F238E27FC236}">
                  <a16:creationId xmlns:a16="http://schemas.microsoft.com/office/drawing/2014/main" id="{00000000-0008-0000-6600-00000F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304800</xdr:colOff>
          <xdr:row>28</xdr:row>
          <xdr:rowOff>38100</xdr:rowOff>
        </xdr:to>
        <xdr:sp macro="" textlink="">
          <xdr:nvSpPr>
            <xdr:cNvPr id="14093328" name="Check Box 16" hidden="1">
              <a:extLst>
                <a:ext uri="{63B3BB69-23CF-44E3-9099-C40C66FF867C}">
                  <a14:compatExt spid="_x0000_s14093328"/>
                </a:ext>
                <a:ext uri="{FF2B5EF4-FFF2-40B4-BE49-F238E27FC236}">
                  <a16:creationId xmlns:a16="http://schemas.microsoft.com/office/drawing/2014/main" id="{00000000-0008-0000-6600-000010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304800</xdr:colOff>
          <xdr:row>29</xdr:row>
          <xdr:rowOff>38100</xdr:rowOff>
        </xdr:to>
        <xdr:sp macro="" textlink="">
          <xdr:nvSpPr>
            <xdr:cNvPr id="14093329" name="Check Box 17" hidden="1">
              <a:extLst>
                <a:ext uri="{63B3BB69-23CF-44E3-9099-C40C66FF867C}">
                  <a14:compatExt spid="_x0000_s14093329"/>
                </a:ext>
                <a:ext uri="{FF2B5EF4-FFF2-40B4-BE49-F238E27FC236}">
                  <a16:creationId xmlns:a16="http://schemas.microsoft.com/office/drawing/2014/main" id="{00000000-0008-0000-6600-000011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304800</xdr:colOff>
          <xdr:row>30</xdr:row>
          <xdr:rowOff>38100</xdr:rowOff>
        </xdr:to>
        <xdr:sp macro="" textlink="">
          <xdr:nvSpPr>
            <xdr:cNvPr id="14093330" name="Check Box 18" hidden="1">
              <a:extLst>
                <a:ext uri="{63B3BB69-23CF-44E3-9099-C40C66FF867C}">
                  <a14:compatExt spid="_x0000_s14093330"/>
                </a:ext>
                <a:ext uri="{FF2B5EF4-FFF2-40B4-BE49-F238E27FC236}">
                  <a16:creationId xmlns:a16="http://schemas.microsoft.com/office/drawing/2014/main" id="{00000000-0008-0000-6600-000012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304800</xdr:colOff>
          <xdr:row>31</xdr:row>
          <xdr:rowOff>38100</xdr:rowOff>
        </xdr:to>
        <xdr:sp macro="" textlink="">
          <xdr:nvSpPr>
            <xdr:cNvPr id="14093331" name="Check Box 19" hidden="1">
              <a:extLst>
                <a:ext uri="{63B3BB69-23CF-44E3-9099-C40C66FF867C}">
                  <a14:compatExt spid="_x0000_s14093331"/>
                </a:ext>
                <a:ext uri="{FF2B5EF4-FFF2-40B4-BE49-F238E27FC236}">
                  <a16:creationId xmlns:a16="http://schemas.microsoft.com/office/drawing/2014/main" id="{00000000-0008-0000-6600-000013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0</xdr:rowOff>
        </xdr:to>
        <xdr:sp macro="" textlink="">
          <xdr:nvSpPr>
            <xdr:cNvPr id="14093332" name="Check Box 20" hidden="1">
              <a:extLst>
                <a:ext uri="{63B3BB69-23CF-44E3-9099-C40C66FF867C}">
                  <a14:compatExt spid="_x0000_s14093332"/>
                </a:ext>
                <a:ext uri="{FF2B5EF4-FFF2-40B4-BE49-F238E27FC236}">
                  <a16:creationId xmlns:a16="http://schemas.microsoft.com/office/drawing/2014/main" id="{00000000-0008-0000-6600-000014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19050</xdr:rowOff>
        </xdr:to>
        <xdr:sp macro="" textlink="">
          <xdr:nvSpPr>
            <xdr:cNvPr id="14093333" name="Check Box 21" hidden="1">
              <a:extLst>
                <a:ext uri="{63B3BB69-23CF-44E3-9099-C40C66FF867C}">
                  <a14:compatExt spid="_x0000_s14093333"/>
                </a:ext>
                <a:ext uri="{FF2B5EF4-FFF2-40B4-BE49-F238E27FC236}">
                  <a16:creationId xmlns:a16="http://schemas.microsoft.com/office/drawing/2014/main" id="{00000000-0008-0000-6600-000015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19050</xdr:rowOff>
        </xdr:to>
        <xdr:sp macro="" textlink="">
          <xdr:nvSpPr>
            <xdr:cNvPr id="14093334" name="Check Box 22" hidden="1">
              <a:extLst>
                <a:ext uri="{63B3BB69-23CF-44E3-9099-C40C66FF867C}">
                  <a14:compatExt spid="_x0000_s14093334"/>
                </a:ext>
                <a:ext uri="{FF2B5EF4-FFF2-40B4-BE49-F238E27FC236}">
                  <a16:creationId xmlns:a16="http://schemas.microsoft.com/office/drawing/2014/main" id="{00000000-0008-0000-6600-000016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304800</xdr:colOff>
          <xdr:row>33</xdr:row>
          <xdr:rowOff>38100</xdr:rowOff>
        </xdr:to>
        <xdr:sp macro="" textlink="">
          <xdr:nvSpPr>
            <xdr:cNvPr id="14093335" name="Check Box 23" hidden="1">
              <a:extLst>
                <a:ext uri="{63B3BB69-23CF-44E3-9099-C40C66FF867C}">
                  <a14:compatExt spid="_x0000_s14093335"/>
                </a:ext>
                <a:ext uri="{FF2B5EF4-FFF2-40B4-BE49-F238E27FC236}">
                  <a16:creationId xmlns:a16="http://schemas.microsoft.com/office/drawing/2014/main" id="{00000000-0008-0000-6600-000017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304800</xdr:colOff>
          <xdr:row>34</xdr:row>
          <xdr:rowOff>38100</xdr:rowOff>
        </xdr:to>
        <xdr:sp macro="" textlink="">
          <xdr:nvSpPr>
            <xdr:cNvPr id="14093336" name="Check Box 24" hidden="1">
              <a:extLst>
                <a:ext uri="{63B3BB69-23CF-44E3-9099-C40C66FF867C}">
                  <a14:compatExt spid="_x0000_s14093336"/>
                </a:ext>
                <a:ext uri="{FF2B5EF4-FFF2-40B4-BE49-F238E27FC236}">
                  <a16:creationId xmlns:a16="http://schemas.microsoft.com/office/drawing/2014/main" id="{00000000-0008-0000-6600-000018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304800</xdr:colOff>
          <xdr:row>35</xdr:row>
          <xdr:rowOff>38100</xdr:rowOff>
        </xdr:to>
        <xdr:sp macro="" textlink="">
          <xdr:nvSpPr>
            <xdr:cNvPr id="14093337" name="Check Box 25" hidden="1">
              <a:extLst>
                <a:ext uri="{63B3BB69-23CF-44E3-9099-C40C66FF867C}">
                  <a14:compatExt spid="_x0000_s14093337"/>
                </a:ext>
                <a:ext uri="{FF2B5EF4-FFF2-40B4-BE49-F238E27FC236}">
                  <a16:creationId xmlns:a16="http://schemas.microsoft.com/office/drawing/2014/main" id="{00000000-0008-0000-6600-000019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304800</xdr:colOff>
          <xdr:row>36</xdr:row>
          <xdr:rowOff>38100</xdr:rowOff>
        </xdr:to>
        <xdr:sp macro="" textlink="">
          <xdr:nvSpPr>
            <xdr:cNvPr id="14093338" name="Check Box 26" hidden="1">
              <a:extLst>
                <a:ext uri="{63B3BB69-23CF-44E3-9099-C40C66FF867C}">
                  <a14:compatExt spid="_x0000_s14093338"/>
                </a:ext>
                <a:ext uri="{FF2B5EF4-FFF2-40B4-BE49-F238E27FC236}">
                  <a16:creationId xmlns:a16="http://schemas.microsoft.com/office/drawing/2014/main" id="{00000000-0008-0000-6600-00001A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304800</xdr:colOff>
          <xdr:row>37</xdr:row>
          <xdr:rowOff>19050</xdr:rowOff>
        </xdr:to>
        <xdr:sp macro="" textlink="">
          <xdr:nvSpPr>
            <xdr:cNvPr id="14093339" name="Check Box 27" hidden="1">
              <a:extLst>
                <a:ext uri="{63B3BB69-23CF-44E3-9099-C40C66FF867C}">
                  <a14:compatExt spid="_x0000_s14093339"/>
                </a:ext>
                <a:ext uri="{FF2B5EF4-FFF2-40B4-BE49-F238E27FC236}">
                  <a16:creationId xmlns:a16="http://schemas.microsoft.com/office/drawing/2014/main" id="{00000000-0008-0000-6600-00001B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4093340" name="Button 28" hidden="1">
              <a:extLst>
                <a:ext uri="{63B3BB69-23CF-44E3-9099-C40C66FF867C}">
                  <a14:compatExt spid="_x0000_s14093340"/>
                </a:ext>
                <a:ext uri="{FF2B5EF4-FFF2-40B4-BE49-F238E27FC236}">
                  <a16:creationId xmlns:a16="http://schemas.microsoft.com/office/drawing/2014/main" id="{00000000-0008-0000-6600-00001C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4093341" name="Button 29" hidden="1">
              <a:extLst>
                <a:ext uri="{63B3BB69-23CF-44E3-9099-C40C66FF867C}">
                  <a14:compatExt spid="_x0000_s14093341"/>
                </a:ext>
                <a:ext uri="{FF2B5EF4-FFF2-40B4-BE49-F238E27FC236}">
                  <a16:creationId xmlns:a16="http://schemas.microsoft.com/office/drawing/2014/main" id="{00000000-0008-0000-6600-00001D0CD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19050</xdr:rowOff>
        </xdr:to>
        <xdr:sp macro="" textlink="">
          <xdr:nvSpPr>
            <xdr:cNvPr id="14093342" name="Check Box 30" hidden="1">
              <a:extLst>
                <a:ext uri="{63B3BB69-23CF-44E3-9099-C40C66FF867C}">
                  <a14:compatExt spid="_x0000_s14093342"/>
                </a:ext>
                <a:ext uri="{FF2B5EF4-FFF2-40B4-BE49-F238E27FC236}">
                  <a16:creationId xmlns:a16="http://schemas.microsoft.com/office/drawing/2014/main" id="{00000000-0008-0000-6600-00001E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19050</xdr:rowOff>
        </xdr:to>
        <xdr:sp macro="" textlink="">
          <xdr:nvSpPr>
            <xdr:cNvPr id="14093343" name="Check Box 31" hidden="1">
              <a:extLst>
                <a:ext uri="{63B3BB69-23CF-44E3-9099-C40C66FF867C}">
                  <a14:compatExt spid="_x0000_s14093343"/>
                </a:ext>
                <a:ext uri="{FF2B5EF4-FFF2-40B4-BE49-F238E27FC236}">
                  <a16:creationId xmlns:a16="http://schemas.microsoft.com/office/drawing/2014/main" id="{00000000-0008-0000-6600-00001F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19050</xdr:rowOff>
        </xdr:to>
        <xdr:sp macro="" textlink="">
          <xdr:nvSpPr>
            <xdr:cNvPr id="14093344" name="Check Box 32" hidden="1">
              <a:extLst>
                <a:ext uri="{63B3BB69-23CF-44E3-9099-C40C66FF867C}">
                  <a14:compatExt spid="_x0000_s14093344"/>
                </a:ext>
                <a:ext uri="{FF2B5EF4-FFF2-40B4-BE49-F238E27FC236}">
                  <a16:creationId xmlns:a16="http://schemas.microsoft.com/office/drawing/2014/main" id="{00000000-0008-0000-6600-000020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19050</xdr:rowOff>
        </xdr:to>
        <xdr:sp macro="" textlink="">
          <xdr:nvSpPr>
            <xdr:cNvPr id="14093345" name="Check Box 33" hidden="1">
              <a:extLst>
                <a:ext uri="{63B3BB69-23CF-44E3-9099-C40C66FF867C}">
                  <a14:compatExt spid="_x0000_s14093345"/>
                </a:ext>
                <a:ext uri="{FF2B5EF4-FFF2-40B4-BE49-F238E27FC236}">
                  <a16:creationId xmlns:a16="http://schemas.microsoft.com/office/drawing/2014/main" id="{00000000-0008-0000-6600-000021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57150</xdr:colOff>
          <xdr:row>33</xdr:row>
          <xdr:rowOff>19050</xdr:rowOff>
        </xdr:to>
        <xdr:sp macro="" textlink="">
          <xdr:nvSpPr>
            <xdr:cNvPr id="14093346" name="Check Box 34" hidden="1">
              <a:extLst>
                <a:ext uri="{63B3BB69-23CF-44E3-9099-C40C66FF867C}">
                  <a14:compatExt spid="_x0000_s14093346"/>
                </a:ext>
                <a:ext uri="{FF2B5EF4-FFF2-40B4-BE49-F238E27FC236}">
                  <a16:creationId xmlns:a16="http://schemas.microsoft.com/office/drawing/2014/main" id="{00000000-0008-0000-6600-000022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57150</xdr:colOff>
          <xdr:row>34</xdr:row>
          <xdr:rowOff>19050</xdr:rowOff>
        </xdr:to>
        <xdr:sp macro="" textlink="">
          <xdr:nvSpPr>
            <xdr:cNvPr id="14093347" name="Check Box 35" hidden="1">
              <a:extLst>
                <a:ext uri="{63B3BB69-23CF-44E3-9099-C40C66FF867C}">
                  <a14:compatExt spid="_x0000_s14093347"/>
                </a:ext>
                <a:ext uri="{FF2B5EF4-FFF2-40B4-BE49-F238E27FC236}">
                  <a16:creationId xmlns:a16="http://schemas.microsoft.com/office/drawing/2014/main" id="{00000000-0008-0000-6600-000023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57150</xdr:colOff>
          <xdr:row>35</xdr:row>
          <xdr:rowOff>19050</xdr:rowOff>
        </xdr:to>
        <xdr:sp macro="" textlink="">
          <xdr:nvSpPr>
            <xdr:cNvPr id="14093348" name="Check Box 36" hidden="1">
              <a:extLst>
                <a:ext uri="{63B3BB69-23CF-44E3-9099-C40C66FF867C}">
                  <a14:compatExt spid="_x0000_s14093348"/>
                </a:ext>
                <a:ext uri="{FF2B5EF4-FFF2-40B4-BE49-F238E27FC236}">
                  <a16:creationId xmlns:a16="http://schemas.microsoft.com/office/drawing/2014/main" id="{00000000-0008-0000-6600-000024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57150</xdr:colOff>
          <xdr:row>36</xdr:row>
          <xdr:rowOff>19050</xdr:rowOff>
        </xdr:to>
        <xdr:sp macro="" textlink="">
          <xdr:nvSpPr>
            <xdr:cNvPr id="14093349" name="Check Box 37" hidden="1">
              <a:extLst>
                <a:ext uri="{63B3BB69-23CF-44E3-9099-C40C66FF867C}">
                  <a14:compatExt spid="_x0000_s14093349"/>
                </a:ext>
                <a:ext uri="{FF2B5EF4-FFF2-40B4-BE49-F238E27FC236}">
                  <a16:creationId xmlns:a16="http://schemas.microsoft.com/office/drawing/2014/main" id="{00000000-0008-0000-6600-0000250CD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2</xdr:col>
      <xdr:colOff>9525</xdr:colOff>
      <xdr:row>8</xdr:row>
      <xdr:rowOff>180975</xdr:rowOff>
    </xdr:from>
    <xdr:to>
      <xdr:col>7</xdr:col>
      <xdr:colOff>123825</xdr:colOff>
      <xdr:row>20</xdr:row>
      <xdr:rowOff>9524</xdr:rowOff>
    </xdr:to>
    <xdr:sp macro="" textlink="">
      <xdr:nvSpPr>
        <xdr:cNvPr id="4" name="TextBox 3">
          <a:extLst>
            <a:ext uri="{FF2B5EF4-FFF2-40B4-BE49-F238E27FC236}">
              <a16:creationId xmlns:a16="http://schemas.microsoft.com/office/drawing/2014/main" id="{4482898A-398A-4614-8BCF-4B61C51E6026}"/>
            </a:ext>
          </a:extLst>
        </xdr:cNvPr>
        <xdr:cNvSpPr txBox="1"/>
      </xdr:nvSpPr>
      <xdr:spPr>
        <a:xfrm>
          <a:off x="1228725" y="1743075"/>
          <a:ext cx="3162300" cy="2114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rgbClr val="00B050"/>
              </a:solidFill>
            </a:rPr>
            <a:t>1.</a:t>
          </a:r>
          <a:r>
            <a:rPr lang="en-AU" sz="1100" baseline="0">
              <a:solidFill>
                <a:srgbClr val="00B050"/>
              </a:solidFill>
            </a:rPr>
            <a:t> intended use	</a:t>
          </a:r>
          <a:r>
            <a:rPr lang="en-AU" sz="1100" baseline="0"/>
            <a:t>	</a:t>
          </a:r>
        </a:p>
        <a:p>
          <a:r>
            <a:rPr lang="en-AU" sz="1100" baseline="0">
              <a:solidFill>
                <a:schemeClr val="accent4"/>
              </a:solidFill>
            </a:rPr>
            <a:t>2. total cost of works breakdown</a:t>
          </a:r>
        </a:p>
        <a:p>
          <a:r>
            <a:rPr lang="en-AU" sz="1100" baseline="0">
              <a:solidFill>
                <a:srgbClr val="00B050"/>
              </a:solidFill>
            </a:rPr>
            <a:t>3. no wastewater confirmation on floor plan</a:t>
          </a:r>
        </a:p>
        <a:p>
          <a:r>
            <a:rPr lang="en-AU" sz="1100" baseline="0">
              <a:solidFill>
                <a:srgbClr val="00B050"/>
              </a:solidFill>
            </a:rPr>
            <a:t>4. not applicable</a:t>
          </a:r>
        </a:p>
        <a:p>
          <a:r>
            <a:rPr lang="en-AU" sz="1100" baseline="0"/>
            <a:t>5.  	a. driveway clarification</a:t>
          </a:r>
        </a:p>
        <a:p>
          <a:pPr marL="0" marR="0" lvl="0" indent="0" defTabSz="914400" eaLnBrk="1" fontAlgn="auto" latinLnBrk="0" hangingPunct="1">
            <a:lnSpc>
              <a:spcPct val="100000"/>
            </a:lnSpc>
            <a:spcBef>
              <a:spcPts val="0"/>
            </a:spcBef>
            <a:spcAft>
              <a:spcPts val="0"/>
            </a:spcAft>
            <a:buClrTx/>
            <a:buSzTx/>
            <a:buFontTx/>
            <a:buNone/>
            <a:tabLst/>
            <a:defRPr/>
          </a:pPr>
          <a:r>
            <a:rPr lang="en-AU" sz="1100" baseline="0"/>
            <a:t>	</a:t>
          </a:r>
          <a:r>
            <a:rPr lang="en-AU" sz="1100" baseline="0">
              <a:solidFill>
                <a:srgbClr val="00B050"/>
              </a:solidFill>
            </a:rPr>
            <a:t>b. </a:t>
          </a:r>
          <a:r>
            <a:rPr lang="en-AU" sz="1100" baseline="0">
              <a:solidFill>
                <a:srgbClr val="00B050"/>
              </a:solidFill>
              <a:effectLst/>
              <a:latin typeface="+mn-lt"/>
              <a:ea typeface="+mn-ea"/>
              <a:cs typeface="+mn-cs"/>
            </a:rPr>
            <a:t>proposed earthworks on site plan</a:t>
          </a:r>
          <a:endParaRPr lang="en-AU">
            <a:solidFill>
              <a:srgbClr val="00B050"/>
            </a:solidFill>
            <a:effectLst/>
          </a:endParaRPr>
        </a:p>
        <a:p>
          <a:r>
            <a:rPr lang="en-AU" sz="1100"/>
            <a:t>	</a:t>
          </a:r>
          <a:r>
            <a:rPr lang="en-AU" sz="1100">
              <a:solidFill>
                <a:srgbClr val="00B050"/>
              </a:solidFill>
            </a:rPr>
            <a:t>c. vegetation within 10.0m</a:t>
          </a:r>
        </a:p>
        <a:p>
          <a:r>
            <a:rPr lang="en-AU" sz="1100">
              <a:solidFill>
                <a:srgbClr val="00B050"/>
              </a:solidFill>
            </a:rPr>
            <a:t>	d. removed vegetation</a:t>
          </a:r>
        </a:p>
        <a:p>
          <a:r>
            <a:rPr lang="en-AU" sz="1100">
              <a:solidFill>
                <a:srgbClr val="00B050"/>
              </a:solidFill>
            </a:rPr>
            <a:t>	e. vegetation setbacks</a:t>
          </a:r>
        </a:p>
        <a:p>
          <a:r>
            <a:rPr lang="en-AU" sz="1100"/>
            <a:t>	</a:t>
          </a:r>
          <a:r>
            <a:rPr lang="en-AU" sz="1100">
              <a:solidFill>
                <a:srgbClr val="00B050"/>
              </a:solidFill>
            </a:rPr>
            <a:t>f. retained vegetation</a:t>
          </a:r>
        </a:p>
        <a:p>
          <a:r>
            <a:rPr lang="en-AU" sz="1100"/>
            <a:t>	</a:t>
          </a:r>
          <a:r>
            <a:rPr lang="en-AU" sz="1100">
              <a:solidFill>
                <a:schemeClr val="accent4"/>
              </a:solidFill>
            </a:rPr>
            <a:t>g. TPZones</a:t>
          </a:r>
        </a:p>
      </xdr:txBody>
    </xdr:sp>
    <xdr:clientData/>
  </xdr:twoCellAnchor>
  <xdr:twoCellAnchor>
    <xdr:from>
      <xdr:col>7</xdr:col>
      <xdr:colOff>28576</xdr:colOff>
      <xdr:row>8</xdr:row>
      <xdr:rowOff>180975</xdr:rowOff>
    </xdr:from>
    <xdr:to>
      <xdr:col>9</xdr:col>
      <xdr:colOff>19051</xdr:colOff>
      <xdr:row>20</xdr:row>
      <xdr:rowOff>9524</xdr:rowOff>
    </xdr:to>
    <xdr:sp macro="" textlink="">
      <xdr:nvSpPr>
        <xdr:cNvPr id="5" name="TextBox 4">
          <a:extLst>
            <a:ext uri="{FF2B5EF4-FFF2-40B4-BE49-F238E27FC236}">
              <a16:creationId xmlns:a16="http://schemas.microsoft.com/office/drawing/2014/main" id="{AB55F4C8-E579-480A-A6C1-5A7DA3E79D1A}"/>
            </a:ext>
          </a:extLst>
        </xdr:cNvPr>
        <xdr:cNvSpPr txBox="1"/>
      </xdr:nvSpPr>
      <xdr:spPr>
        <a:xfrm>
          <a:off x="4295776" y="1743075"/>
          <a:ext cx="1543050" cy="2114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6. </a:t>
          </a:r>
          <a:r>
            <a:rPr lang="en-AU" sz="1100">
              <a:solidFill>
                <a:srgbClr val="00B050"/>
              </a:solidFill>
            </a:rPr>
            <a:t>on elevations: NGL &amp; FFL,</a:t>
          </a:r>
          <a:r>
            <a:rPr lang="en-AU" sz="1100" baseline="0">
              <a:solidFill>
                <a:srgbClr val="00B050"/>
              </a:solidFill>
            </a:rPr>
            <a:t> proposed earthworks, n/s/e/w</a:t>
          </a:r>
          <a:r>
            <a:rPr lang="en-AU" sz="1100" baseline="0"/>
            <a:t>, </a:t>
          </a:r>
          <a:r>
            <a:rPr lang="en-AU" sz="1100" baseline="0">
              <a:solidFill>
                <a:srgbClr val="00B050"/>
              </a:solidFill>
            </a:rPr>
            <a:t>materials and colours</a:t>
          </a:r>
        </a:p>
        <a:p>
          <a:r>
            <a:rPr lang="en-AU" sz="1100" baseline="0"/>
            <a:t>7. arborist report for all trees within 10.0m</a:t>
          </a:r>
          <a:endParaRPr lang="en-AU" sz="1100"/>
        </a:p>
      </xdr:txBody>
    </xdr:sp>
    <xdr:clientData/>
  </xdr:twoCellAnchor>
</xdr:wsDr>
</file>

<file path=xl/drawings/drawing10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E88EDC2-1D64-46B3-8780-1C93C7D9A5BA}"/>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9EBF3816-4196-460C-B268-792A2432787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3879297" name="Check Box 1" hidden="1">
              <a:extLst>
                <a:ext uri="{63B3BB69-23CF-44E3-9099-C40C66FF867C}">
                  <a14:compatExt spid="_x0000_s13879297"/>
                </a:ext>
                <a:ext uri="{FF2B5EF4-FFF2-40B4-BE49-F238E27FC236}">
                  <a16:creationId xmlns:a16="http://schemas.microsoft.com/office/drawing/2014/main" id="{00000000-0008-0000-6700-000001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3879298" name="Check Box 2" hidden="1">
              <a:extLst>
                <a:ext uri="{63B3BB69-23CF-44E3-9099-C40C66FF867C}">
                  <a14:compatExt spid="_x0000_s13879298"/>
                </a:ext>
                <a:ext uri="{FF2B5EF4-FFF2-40B4-BE49-F238E27FC236}">
                  <a16:creationId xmlns:a16="http://schemas.microsoft.com/office/drawing/2014/main" id="{00000000-0008-0000-6700-000002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3879299" name="Check Box 3" hidden="1">
              <a:extLst>
                <a:ext uri="{63B3BB69-23CF-44E3-9099-C40C66FF867C}">
                  <a14:compatExt spid="_x0000_s13879299"/>
                </a:ext>
                <a:ext uri="{FF2B5EF4-FFF2-40B4-BE49-F238E27FC236}">
                  <a16:creationId xmlns:a16="http://schemas.microsoft.com/office/drawing/2014/main" id="{00000000-0008-0000-6700-000003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3879300" name="Check Box 4" hidden="1">
              <a:extLst>
                <a:ext uri="{63B3BB69-23CF-44E3-9099-C40C66FF867C}">
                  <a14:compatExt spid="_x0000_s13879300"/>
                </a:ext>
                <a:ext uri="{FF2B5EF4-FFF2-40B4-BE49-F238E27FC236}">
                  <a16:creationId xmlns:a16="http://schemas.microsoft.com/office/drawing/2014/main" id="{00000000-0008-0000-6700-000004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3879301" name="Check Box 5" hidden="1">
              <a:extLst>
                <a:ext uri="{63B3BB69-23CF-44E3-9099-C40C66FF867C}">
                  <a14:compatExt spid="_x0000_s13879301"/>
                </a:ext>
                <a:ext uri="{FF2B5EF4-FFF2-40B4-BE49-F238E27FC236}">
                  <a16:creationId xmlns:a16="http://schemas.microsoft.com/office/drawing/2014/main" id="{00000000-0008-0000-6700-000005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3879302" name="Check Box 6" hidden="1">
              <a:extLst>
                <a:ext uri="{63B3BB69-23CF-44E3-9099-C40C66FF867C}">
                  <a14:compatExt spid="_x0000_s13879302"/>
                </a:ext>
                <a:ext uri="{FF2B5EF4-FFF2-40B4-BE49-F238E27FC236}">
                  <a16:creationId xmlns:a16="http://schemas.microsoft.com/office/drawing/2014/main" id="{00000000-0008-0000-6700-000006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3879303" name="Check Box 7" hidden="1">
              <a:extLst>
                <a:ext uri="{63B3BB69-23CF-44E3-9099-C40C66FF867C}">
                  <a14:compatExt spid="_x0000_s13879303"/>
                </a:ext>
                <a:ext uri="{FF2B5EF4-FFF2-40B4-BE49-F238E27FC236}">
                  <a16:creationId xmlns:a16="http://schemas.microsoft.com/office/drawing/2014/main" id="{00000000-0008-0000-6700-000007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3879304" name="Button 8" hidden="1">
              <a:extLst>
                <a:ext uri="{63B3BB69-23CF-44E3-9099-C40C66FF867C}">
                  <a14:compatExt spid="_x0000_s13879304"/>
                </a:ext>
                <a:ext uri="{FF2B5EF4-FFF2-40B4-BE49-F238E27FC236}">
                  <a16:creationId xmlns:a16="http://schemas.microsoft.com/office/drawing/2014/main" id="{00000000-0008-0000-6700-000008C8D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3879305" name="Button 9" hidden="1">
              <a:extLst>
                <a:ext uri="{63B3BB69-23CF-44E3-9099-C40C66FF867C}">
                  <a14:compatExt spid="_x0000_s13879305"/>
                </a:ext>
                <a:ext uri="{FF2B5EF4-FFF2-40B4-BE49-F238E27FC236}">
                  <a16:creationId xmlns:a16="http://schemas.microsoft.com/office/drawing/2014/main" id="{00000000-0008-0000-6700-000009C8D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3879306" name="Check Box 10" hidden="1">
              <a:extLst>
                <a:ext uri="{63B3BB69-23CF-44E3-9099-C40C66FF867C}">
                  <a14:compatExt spid="_x0000_s13879306"/>
                </a:ext>
                <a:ext uri="{FF2B5EF4-FFF2-40B4-BE49-F238E27FC236}">
                  <a16:creationId xmlns:a16="http://schemas.microsoft.com/office/drawing/2014/main" id="{00000000-0008-0000-6700-00000A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3879307" name="Button 11" hidden="1">
              <a:extLst>
                <a:ext uri="{63B3BB69-23CF-44E3-9099-C40C66FF867C}">
                  <a14:compatExt spid="_x0000_s13879307"/>
                </a:ext>
                <a:ext uri="{FF2B5EF4-FFF2-40B4-BE49-F238E27FC236}">
                  <a16:creationId xmlns:a16="http://schemas.microsoft.com/office/drawing/2014/main" id="{00000000-0008-0000-6700-00000B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3879308" name="Button 12" hidden="1">
              <a:extLst>
                <a:ext uri="{63B3BB69-23CF-44E3-9099-C40C66FF867C}">
                  <a14:compatExt spid="_x0000_s13879308"/>
                </a:ext>
                <a:ext uri="{FF2B5EF4-FFF2-40B4-BE49-F238E27FC236}">
                  <a16:creationId xmlns:a16="http://schemas.microsoft.com/office/drawing/2014/main" id="{00000000-0008-0000-6700-00000C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3879309" name="Button 13" hidden="1">
              <a:extLst>
                <a:ext uri="{63B3BB69-23CF-44E3-9099-C40C66FF867C}">
                  <a14:compatExt spid="_x0000_s13879309"/>
                </a:ext>
                <a:ext uri="{FF2B5EF4-FFF2-40B4-BE49-F238E27FC236}">
                  <a16:creationId xmlns:a16="http://schemas.microsoft.com/office/drawing/2014/main" id="{00000000-0008-0000-6700-00000D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3879310" name="Button 14" hidden="1">
              <a:extLst>
                <a:ext uri="{63B3BB69-23CF-44E3-9099-C40C66FF867C}">
                  <a14:compatExt spid="_x0000_s13879310"/>
                </a:ext>
                <a:ext uri="{FF2B5EF4-FFF2-40B4-BE49-F238E27FC236}">
                  <a16:creationId xmlns:a16="http://schemas.microsoft.com/office/drawing/2014/main" id="{00000000-0008-0000-6700-00000E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3879311" name="Check Box 15" hidden="1">
              <a:extLst>
                <a:ext uri="{63B3BB69-23CF-44E3-9099-C40C66FF867C}">
                  <a14:compatExt spid="_x0000_s13879311"/>
                </a:ext>
                <a:ext uri="{FF2B5EF4-FFF2-40B4-BE49-F238E27FC236}">
                  <a16:creationId xmlns:a16="http://schemas.microsoft.com/office/drawing/2014/main" id="{00000000-0008-0000-6700-00000F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3879312" name="Check Box 16" hidden="1">
              <a:extLst>
                <a:ext uri="{63B3BB69-23CF-44E3-9099-C40C66FF867C}">
                  <a14:compatExt spid="_x0000_s13879312"/>
                </a:ext>
                <a:ext uri="{FF2B5EF4-FFF2-40B4-BE49-F238E27FC236}">
                  <a16:creationId xmlns:a16="http://schemas.microsoft.com/office/drawing/2014/main" id="{00000000-0008-0000-6700-000010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3879313" name="Check Box 17" hidden="1">
              <a:extLst>
                <a:ext uri="{63B3BB69-23CF-44E3-9099-C40C66FF867C}">
                  <a14:compatExt spid="_x0000_s13879313"/>
                </a:ext>
                <a:ext uri="{FF2B5EF4-FFF2-40B4-BE49-F238E27FC236}">
                  <a16:creationId xmlns:a16="http://schemas.microsoft.com/office/drawing/2014/main" id="{00000000-0008-0000-6700-000011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3879314" name="Check Box 18" hidden="1">
              <a:extLst>
                <a:ext uri="{63B3BB69-23CF-44E3-9099-C40C66FF867C}">
                  <a14:compatExt spid="_x0000_s13879314"/>
                </a:ext>
                <a:ext uri="{FF2B5EF4-FFF2-40B4-BE49-F238E27FC236}">
                  <a16:creationId xmlns:a16="http://schemas.microsoft.com/office/drawing/2014/main" id="{00000000-0008-0000-6700-000012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3879315" name="Check Box 19" hidden="1">
              <a:extLst>
                <a:ext uri="{63B3BB69-23CF-44E3-9099-C40C66FF867C}">
                  <a14:compatExt spid="_x0000_s13879315"/>
                </a:ext>
                <a:ext uri="{FF2B5EF4-FFF2-40B4-BE49-F238E27FC236}">
                  <a16:creationId xmlns:a16="http://schemas.microsoft.com/office/drawing/2014/main" id="{00000000-0008-0000-6700-000013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3879316" name="Check Box 20" hidden="1">
              <a:extLst>
                <a:ext uri="{63B3BB69-23CF-44E3-9099-C40C66FF867C}">
                  <a14:compatExt spid="_x0000_s13879316"/>
                </a:ext>
                <a:ext uri="{FF2B5EF4-FFF2-40B4-BE49-F238E27FC236}">
                  <a16:creationId xmlns:a16="http://schemas.microsoft.com/office/drawing/2014/main" id="{00000000-0008-0000-6700-000014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3879317" name="Check Box 21" hidden="1">
              <a:extLst>
                <a:ext uri="{63B3BB69-23CF-44E3-9099-C40C66FF867C}">
                  <a14:compatExt spid="_x0000_s13879317"/>
                </a:ext>
                <a:ext uri="{FF2B5EF4-FFF2-40B4-BE49-F238E27FC236}">
                  <a16:creationId xmlns:a16="http://schemas.microsoft.com/office/drawing/2014/main" id="{00000000-0008-0000-6700-000015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3879318" name="Check Box 22" hidden="1">
              <a:extLst>
                <a:ext uri="{63B3BB69-23CF-44E3-9099-C40C66FF867C}">
                  <a14:compatExt spid="_x0000_s13879318"/>
                </a:ext>
                <a:ext uri="{FF2B5EF4-FFF2-40B4-BE49-F238E27FC236}">
                  <a16:creationId xmlns:a16="http://schemas.microsoft.com/office/drawing/2014/main" id="{00000000-0008-0000-6700-000016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3879319" name="Check Box 23" hidden="1">
              <a:extLst>
                <a:ext uri="{63B3BB69-23CF-44E3-9099-C40C66FF867C}">
                  <a14:compatExt spid="_x0000_s13879319"/>
                </a:ext>
                <a:ext uri="{FF2B5EF4-FFF2-40B4-BE49-F238E27FC236}">
                  <a16:creationId xmlns:a16="http://schemas.microsoft.com/office/drawing/2014/main" id="{00000000-0008-0000-6700-000017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3879320" name="Check Box 24" hidden="1">
              <a:extLst>
                <a:ext uri="{63B3BB69-23CF-44E3-9099-C40C66FF867C}">
                  <a14:compatExt spid="_x0000_s13879320"/>
                </a:ext>
                <a:ext uri="{FF2B5EF4-FFF2-40B4-BE49-F238E27FC236}">
                  <a16:creationId xmlns:a16="http://schemas.microsoft.com/office/drawing/2014/main" id="{00000000-0008-0000-6700-000018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3879321" name="Check Box 25" hidden="1">
              <a:extLst>
                <a:ext uri="{63B3BB69-23CF-44E3-9099-C40C66FF867C}">
                  <a14:compatExt spid="_x0000_s13879321"/>
                </a:ext>
                <a:ext uri="{FF2B5EF4-FFF2-40B4-BE49-F238E27FC236}">
                  <a16:creationId xmlns:a16="http://schemas.microsoft.com/office/drawing/2014/main" id="{00000000-0008-0000-6700-000019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3879322" name="Check Box 26" hidden="1">
              <a:extLst>
                <a:ext uri="{63B3BB69-23CF-44E3-9099-C40C66FF867C}">
                  <a14:compatExt spid="_x0000_s13879322"/>
                </a:ext>
                <a:ext uri="{FF2B5EF4-FFF2-40B4-BE49-F238E27FC236}">
                  <a16:creationId xmlns:a16="http://schemas.microsoft.com/office/drawing/2014/main" id="{00000000-0008-0000-6700-00001A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3879323" name="Check Box 27" hidden="1">
              <a:extLst>
                <a:ext uri="{63B3BB69-23CF-44E3-9099-C40C66FF867C}">
                  <a14:compatExt spid="_x0000_s13879323"/>
                </a:ext>
                <a:ext uri="{FF2B5EF4-FFF2-40B4-BE49-F238E27FC236}">
                  <a16:creationId xmlns:a16="http://schemas.microsoft.com/office/drawing/2014/main" id="{00000000-0008-0000-6700-00001B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3879324" name="Button 28" hidden="1">
              <a:extLst>
                <a:ext uri="{63B3BB69-23CF-44E3-9099-C40C66FF867C}">
                  <a14:compatExt spid="_x0000_s13879324"/>
                </a:ext>
                <a:ext uri="{FF2B5EF4-FFF2-40B4-BE49-F238E27FC236}">
                  <a16:creationId xmlns:a16="http://schemas.microsoft.com/office/drawing/2014/main" id="{00000000-0008-0000-6700-00001C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3879325" name="Button 29" hidden="1">
              <a:extLst>
                <a:ext uri="{63B3BB69-23CF-44E3-9099-C40C66FF867C}">
                  <a14:compatExt spid="_x0000_s13879325"/>
                </a:ext>
                <a:ext uri="{FF2B5EF4-FFF2-40B4-BE49-F238E27FC236}">
                  <a16:creationId xmlns:a16="http://schemas.microsoft.com/office/drawing/2014/main" id="{00000000-0008-0000-6700-00001DC8D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31</xdr:row>
          <xdr:rowOff>171450</xdr:rowOff>
        </xdr:from>
        <xdr:to>
          <xdr:col>4</xdr:col>
          <xdr:colOff>19050</xdr:colOff>
          <xdr:row>33</xdr:row>
          <xdr:rowOff>9525</xdr:rowOff>
        </xdr:to>
        <xdr:sp macro="" textlink="">
          <xdr:nvSpPr>
            <xdr:cNvPr id="13879326" name="Check Box 30" hidden="1">
              <a:extLst>
                <a:ext uri="{63B3BB69-23CF-44E3-9099-C40C66FF867C}">
                  <a14:compatExt spid="_x0000_s13879326"/>
                </a:ext>
                <a:ext uri="{FF2B5EF4-FFF2-40B4-BE49-F238E27FC236}">
                  <a16:creationId xmlns:a16="http://schemas.microsoft.com/office/drawing/2014/main" id="{00000000-0008-0000-6700-00001E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32</xdr:row>
          <xdr:rowOff>171450</xdr:rowOff>
        </xdr:from>
        <xdr:to>
          <xdr:col>4</xdr:col>
          <xdr:colOff>19050</xdr:colOff>
          <xdr:row>34</xdr:row>
          <xdr:rowOff>9525</xdr:rowOff>
        </xdr:to>
        <xdr:sp macro="" textlink="">
          <xdr:nvSpPr>
            <xdr:cNvPr id="13879327" name="Check Box 31" hidden="1">
              <a:extLst>
                <a:ext uri="{63B3BB69-23CF-44E3-9099-C40C66FF867C}">
                  <a14:compatExt spid="_x0000_s13879327"/>
                </a:ext>
                <a:ext uri="{FF2B5EF4-FFF2-40B4-BE49-F238E27FC236}">
                  <a16:creationId xmlns:a16="http://schemas.microsoft.com/office/drawing/2014/main" id="{00000000-0008-0000-6700-00001F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33</xdr:row>
          <xdr:rowOff>171450</xdr:rowOff>
        </xdr:from>
        <xdr:to>
          <xdr:col>4</xdr:col>
          <xdr:colOff>19050</xdr:colOff>
          <xdr:row>35</xdr:row>
          <xdr:rowOff>9525</xdr:rowOff>
        </xdr:to>
        <xdr:sp macro="" textlink="">
          <xdr:nvSpPr>
            <xdr:cNvPr id="13879328" name="Check Box 32" hidden="1">
              <a:extLst>
                <a:ext uri="{63B3BB69-23CF-44E3-9099-C40C66FF867C}">
                  <a14:compatExt spid="_x0000_s13879328"/>
                </a:ext>
                <a:ext uri="{FF2B5EF4-FFF2-40B4-BE49-F238E27FC236}">
                  <a16:creationId xmlns:a16="http://schemas.microsoft.com/office/drawing/2014/main" id="{00000000-0008-0000-6700-000020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xdr:colOff>
          <xdr:row>34</xdr:row>
          <xdr:rowOff>171450</xdr:rowOff>
        </xdr:from>
        <xdr:to>
          <xdr:col>4</xdr:col>
          <xdr:colOff>19050</xdr:colOff>
          <xdr:row>36</xdr:row>
          <xdr:rowOff>9525</xdr:rowOff>
        </xdr:to>
        <xdr:sp macro="" textlink="">
          <xdr:nvSpPr>
            <xdr:cNvPr id="13879329" name="Check Box 33" hidden="1">
              <a:extLst>
                <a:ext uri="{63B3BB69-23CF-44E3-9099-C40C66FF867C}">
                  <a14:compatExt spid="_x0000_s13879329"/>
                </a:ext>
                <a:ext uri="{FF2B5EF4-FFF2-40B4-BE49-F238E27FC236}">
                  <a16:creationId xmlns:a16="http://schemas.microsoft.com/office/drawing/2014/main" id="{00000000-0008-0000-6700-000021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31</xdr:row>
          <xdr:rowOff>180975</xdr:rowOff>
        </xdr:from>
        <xdr:to>
          <xdr:col>7</xdr:col>
          <xdr:colOff>47625</xdr:colOff>
          <xdr:row>33</xdr:row>
          <xdr:rowOff>19050</xdr:rowOff>
        </xdr:to>
        <xdr:sp macro="" textlink="">
          <xdr:nvSpPr>
            <xdr:cNvPr id="13879330" name="Check Box 34" hidden="1">
              <a:extLst>
                <a:ext uri="{63B3BB69-23CF-44E3-9099-C40C66FF867C}">
                  <a14:compatExt spid="_x0000_s13879330"/>
                </a:ext>
                <a:ext uri="{FF2B5EF4-FFF2-40B4-BE49-F238E27FC236}">
                  <a16:creationId xmlns:a16="http://schemas.microsoft.com/office/drawing/2014/main" id="{00000000-0008-0000-6700-000022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32</xdr:row>
          <xdr:rowOff>180975</xdr:rowOff>
        </xdr:from>
        <xdr:to>
          <xdr:col>7</xdr:col>
          <xdr:colOff>47625</xdr:colOff>
          <xdr:row>34</xdr:row>
          <xdr:rowOff>19050</xdr:rowOff>
        </xdr:to>
        <xdr:sp macro="" textlink="">
          <xdr:nvSpPr>
            <xdr:cNvPr id="13879331" name="Check Box 35" hidden="1">
              <a:extLst>
                <a:ext uri="{63B3BB69-23CF-44E3-9099-C40C66FF867C}">
                  <a14:compatExt spid="_x0000_s13879331"/>
                </a:ext>
                <a:ext uri="{FF2B5EF4-FFF2-40B4-BE49-F238E27FC236}">
                  <a16:creationId xmlns:a16="http://schemas.microsoft.com/office/drawing/2014/main" id="{00000000-0008-0000-6700-000023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33</xdr:row>
          <xdr:rowOff>180975</xdr:rowOff>
        </xdr:from>
        <xdr:to>
          <xdr:col>7</xdr:col>
          <xdr:colOff>47625</xdr:colOff>
          <xdr:row>35</xdr:row>
          <xdr:rowOff>19050</xdr:rowOff>
        </xdr:to>
        <xdr:sp macro="" textlink="">
          <xdr:nvSpPr>
            <xdr:cNvPr id="13879332" name="Check Box 36" hidden="1">
              <a:extLst>
                <a:ext uri="{63B3BB69-23CF-44E3-9099-C40C66FF867C}">
                  <a14:compatExt spid="_x0000_s13879332"/>
                </a:ext>
                <a:ext uri="{FF2B5EF4-FFF2-40B4-BE49-F238E27FC236}">
                  <a16:creationId xmlns:a16="http://schemas.microsoft.com/office/drawing/2014/main" id="{00000000-0008-0000-6700-000024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34</xdr:row>
          <xdr:rowOff>180975</xdr:rowOff>
        </xdr:from>
        <xdr:to>
          <xdr:col>7</xdr:col>
          <xdr:colOff>47625</xdr:colOff>
          <xdr:row>36</xdr:row>
          <xdr:rowOff>19050</xdr:rowOff>
        </xdr:to>
        <xdr:sp macro="" textlink="">
          <xdr:nvSpPr>
            <xdr:cNvPr id="13879333" name="Check Box 37" hidden="1">
              <a:extLst>
                <a:ext uri="{63B3BB69-23CF-44E3-9099-C40C66FF867C}">
                  <a14:compatExt spid="_x0000_s13879333"/>
                </a:ext>
                <a:ext uri="{FF2B5EF4-FFF2-40B4-BE49-F238E27FC236}">
                  <a16:creationId xmlns:a16="http://schemas.microsoft.com/office/drawing/2014/main" id="{00000000-0008-0000-6700-000025C8D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74E07FB4-9880-477A-A3FC-2BE198EEC892}"/>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r>
            <a:rPr lang="en-AU" sz="800" b="0" i="0" u="none" strike="noStrike" baseline="0">
              <a:solidFill>
                <a:schemeClr val="dk1"/>
              </a:solidFill>
              <a:latin typeface="+mn-lt"/>
              <a:ea typeface="+mn-ea"/>
              <a:cs typeface="+mn-cs"/>
            </a:rPr>
            <a:t> </a:t>
          </a:r>
        </a:p>
        <a:p>
          <a:r>
            <a:rPr lang="en-AU" sz="800" b="0" i="0" u="none" strike="noStrike" baseline="0">
              <a:solidFill>
                <a:schemeClr val="dk1"/>
              </a:solidFill>
              <a:latin typeface="+mn-lt"/>
              <a:ea typeface="+mn-ea"/>
              <a:cs typeface="+mn-cs"/>
            </a:rPr>
            <a:t>A short description (1-2 sentences) of the intended use of the proposed outbuilding (shed). </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A Floor Plan of the proposed outbuilding drawn to scale (1:100 or 1:200) and fully dimensioned. </a:t>
          </a: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Elevation Plans of the proposed outbuilding drawn to scale (1:100 or 1:200) and fully dimensioned to show: North, south, east and west elevation of the outbuilding (shed). </a:t>
          </a:r>
        </a:p>
        <a:p>
          <a:r>
            <a:rPr lang="en-AU" sz="800" b="0" i="0" u="none" strike="noStrike" baseline="0">
              <a:solidFill>
                <a:schemeClr val="dk1"/>
              </a:solidFill>
              <a:latin typeface="+mn-lt"/>
              <a:ea typeface="+mn-ea"/>
              <a:cs typeface="+mn-cs"/>
            </a:rPr>
            <a:t>Maximum building heights above natural ground level. </a:t>
          </a:r>
        </a:p>
        <a:p>
          <a:r>
            <a:rPr lang="en-AU" sz="800" b="0" i="0" u="none" strike="noStrike" baseline="0">
              <a:solidFill>
                <a:schemeClr val="dk1"/>
              </a:solidFill>
              <a:latin typeface="+mn-lt"/>
              <a:ea typeface="+mn-ea"/>
              <a:cs typeface="+mn-cs"/>
            </a:rPr>
            <a:t>Details of proposed cut/fill/retaining walls dimensioned. </a:t>
          </a:r>
        </a:p>
        <a:p>
          <a:r>
            <a:rPr lang="en-AU" sz="800" b="0" i="0" u="none" strike="noStrike" baseline="0">
              <a:solidFill>
                <a:schemeClr val="dk1"/>
              </a:solidFill>
              <a:latin typeface="+mn-lt"/>
              <a:ea typeface="+mn-ea"/>
              <a:cs typeface="+mn-cs"/>
            </a:rPr>
            <a:t>A schedule of </a:t>
          </a:r>
        </a:p>
        <a:p>
          <a:endParaRPr lang="en-AU" sz="800" b="0" i="0" u="none" strike="noStrike" baseline="0">
            <a:solidFill>
              <a:schemeClr val="dk1"/>
            </a:solidFill>
            <a:latin typeface="+mn-lt"/>
            <a:ea typeface="+mn-ea"/>
            <a:cs typeface="+mn-cs"/>
          </a:endParaRPr>
        </a:p>
        <a:p>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822BD89-8F24-4721-AE59-1E06B8BA44BB}"/>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2716033" name="Check Box 1" hidden="1">
              <a:extLst>
                <a:ext uri="{63B3BB69-23CF-44E3-9099-C40C66FF867C}">
                  <a14:compatExt spid="_x0000_s12716033"/>
                </a:ext>
                <a:ext uri="{FF2B5EF4-FFF2-40B4-BE49-F238E27FC236}">
                  <a16:creationId xmlns:a16="http://schemas.microsoft.com/office/drawing/2014/main" id="{00000000-0008-0000-6800-000001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2716034" name="Check Box 2" hidden="1">
              <a:extLst>
                <a:ext uri="{63B3BB69-23CF-44E3-9099-C40C66FF867C}">
                  <a14:compatExt spid="_x0000_s12716034"/>
                </a:ext>
                <a:ext uri="{FF2B5EF4-FFF2-40B4-BE49-F238E27FC236}">
                  <a16:creationId xmlns:a16="http://schemas.microsoft.com/office/drawing/2014/main" id="{00000000-0008-0000-6800-000002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2716035" name="Check Box 3" hidden="1">
              <a:extLst>
                <a:ext uri="{63B3BB69-23CF-44E3-9099-C40C66FF867C}">
                  <a14:compatExt spid="_x0000_s12716035"/>
                </a:ext>
                <a:ext uri="{FF2B5EF4-FFF2-40B4-BE49-F238E27FC236}">
                  <a16:creationId xmlns:a16="http://schemas.microsoft.com/office/drawing/2014/main" id="{00000000-0008-0000-6800-000003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2716036" name="Check Box 4" hidden="1">
              <a:extLst>
                <a:ext uri="{63B3BB69-23CF-44E3-9099-C40C66FF867C}">
                  <a14:compatExt spid="_x0000_s12716036"/>
                </a:ext>
                <a:ext uri="{FF2B5EF4-FFF2-40B4-BE49-F238E27FC236}">
                  <a16:creationId xmlns:a16="http://schemas.microsoft.com/office/drawing/2014/main" id="{00000000-0008-0000-6800-000004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2716037" name="Check Box 5" hidden="1">
              <a:extLst>
                <a:ext uri="{63B3BB69-23CF-44E3-9099-C40C66FF867C}">
                  <a14:compatExt spid="_x0000_s12716037"/>
                </a:ext>
                <a:ext uri="{FF2B5EF4-FFF2-40B4-BE49-F238E27FC236}">
                  <a16:creationId xmlns:a16="http://schemas.microsoft.com/office/drawing/2014/main" id="{00000000-0008-0000-6800-000005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2716038" name="Check Box 6" hidden="1">
              <a:extLst>
                <a:ext uri="{63B3BB69-23CF-44E3-9099-C40C66FF867C}">
                  <a14:compatExt spid="_x0000_s12716038"/>
                </a:ext>
                <a:ext uri="{FF2B5EF4-FFF2-40B4-BE49-F238E27FC236}">
                  <a16:creationId xmlns:a16="http://schemas.microsoft.com/office/drawing/2014/main" id="{00000000-0008-0000-6800-000006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2716039" name="Check Box 7" hidden="1">
              <a:extLst>
                <a:ext uri="{63B3BB69-23CF-44E3-9099-C40C66FF867C}">
                  <a14:compatExt spid="_x0000_s12716039"/>
                </a:ext>
                <a:ext uri="{FF2B5EF4-FFF2-40B4-BE49-F238E27FC236}">
                  <a16:creationId xmlns:a16="http://schemas.microsoft.com/office/drawing/2014/main" id="{00000000-0008-0000-6800-000007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2716040" name="Button 8" hidden="1">
              <a:extLst>
                <a:ext uri="{63B3BB69-23CF-44E3-9099-C40C66FF867C}">
                  <a14:compatExt spid="_x0000_s12716040"/>
                </a:ext>
                <a:ext uri="{FF2B5EF4-FFF2-40B4-BE49-F238E27FC236}">
                  <a16:creationId xmlns:a16="http://schemas.microsoft.com/office/drawing/2014/main" id="{00000000-0008-0000-6800-00000808C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2716041" name="Button 9" hidden="1">
              <a:extLst>
                <a:ext uri="{63B3BB69-23CF-44E3-9099-C40C66FF867C}">
                  <a14:compatExt spid="_x0000_s12716041"/>
                </a:ext>
                <a:ext uri="{FF2B5EF4-FFF2-40B4-BE49-F238E27FC236}">
                  <a16:creationId xmlns:a16="http://schemas.microsoft.com/office/drawing/2014/main" id="{00000000-0008-0000-6800-00000908C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2716042" name="Check Box 10" hidden="1">
              <a:extLst>
                <a:ext uri="{63B3BB69-23CF-44E3-9099-C40C66FF867C}">
                  <a14:compatExt spid="_x0000_s12716042"/>
                </a:ext>
                <a:ext uri="{FF2B5EF4-FFF2-40B4-BE49-F238E27FC236}">
                  <a16:creationId xmlns:a16="http://schemas.microsoft.com/office/drawing/2014/main" id="{00000000-0008-0000-6800-00000A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2716043" name="Button 11" hidden="1">
              <a:extLst>
                <a:ext uri="{63B3BB69-23CF-44E3-9099-C40C66FF867C}">
                  <a14:compatExt spid="_x0000_s12716043"/>
                </a:ext>
                <a:ext uri="{FF2B5EF4-FFF2-40B4-BE49-F238E27FC236}">
                  <a16:creationId xmlns:a16="http://schemas.microsoft.com/office/drawing/2014/main" id="{00000000-0008-0000-6800-00000B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2716044" name="Button 12" hidden="1">
              <a:extLst>
                <a:ext uri="{63B3BB69-23CF-44E3-9099-C40C66FF867C}">
                  <a14:compatExt spid="_x0000_s12716044"/>
                </a:ext>
                <a:ext uri="{FF2B5EF4-FFF2-40B4-BE49-F238E27FC236}">
                  <a16:creationId xmlns:a16="http://schemas.microsoft.com/office/drawing/2014/main" id="{00000000-0008-0000-6800-00000C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2716045" name="Button 13" hidden="1">
              <a:extLst>
                <a:ext uri="{63B3BB69-23CF-44E3-9099-C40C66FF867C}">
                  <a14:compatExt spid="_x0000_s12716045"/>
                </a:ext>
                <a:ext uri="{FF2B5EF4-FFF2-40B4-BE49-F238E27FC236}">
                  <a16:creationId xmlns:a16="http://schemas.microsoft.com/office/drawing/2014/main" id="{00000000-0008-0000-6800-00000D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2716046" name="Button 14" hidden="1">
              <a:extLst>
                <a:ext uri="{63B3BB69-23CF-44E3-9099-C40C66FF867C}">
                  <a14:compatExt spid="_x0000_s12716046"/>
                </a:ext>
                <a:ext uri="{FF2B5EF4-FFF2-40B4-BE49-F238E27FC236}">
                  <a16:creationId xmlns:a16="http://schemas.microsoft.com/office/drawing/2014/main" id="{00000000-0008-0000-6800-00000E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2716047" name="Check Box 15" hidden="1">
              <a:extLst>
                <a:ext uri="{63B3BB69-23CF-44E3-9099-C40C66FF867C}">
                  <a14:compatExt spid="_x0000_s12716047"/>
                </a:ext>
                <a:ext uri="{FF2B5EF4-FFF2-40B4-BE49-F238E27FC236}">
                  <a16:creationId xmlns:a16="http://schemas.microsoft.com/office/drawing/2014/main" id="{00000000-0008-0000-6800-00000F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2716048" name="Check Box 16" hidden="1">
              <a:extLst>
                <a:ext uri="{63B3BB69-23CF-44E3-9099-C40C66FF867C}">
                  <a14:compatExt spid="_x0000_s12716048"/>
                </a:ext>
                <a:ext uri="{FF2B5EF4-FFF2-40B4-BE49-F238E27FC236}">
                  <a16:creationId xmlns:a16="http://schemas.microsoft.com/office/drawing/2014/main" id="{00000000-0008-0000-6800-000010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2716049" name="Check Box 17" hidden="1">
              <a:extLst>
                <a:ext uri="{63B3BB69-23CF-44E3-9099-C40C66FF867C}">
                  <a14:compatExt spid="_x0000_s12716049"/>
                </a:ext>
                <a:ext uri="{FF2B5EF4-FFF2-40B4-BE49-F238E27FC236}">
                  <a16:creationId xmlns:a16="http://schemas.microsoft.com/office/drawing/2014/main" id="{00000000-0008-0000-6800-000011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2716050" name="Check Box 18" hidden="1">
              <a:extLst>
                <a:ext uri="{63B3BB69-23CF-44E3-9099-C40C66FF867C}">
                  <a14:compatExt spid="_x0000_s12716050"/>
                </a:ext>
                <a:ext uri="{FF2B5EF4-FFF2-40B4-BE49-F238E27FC236}">
                  <a16:creationId xmlns:a16="http://schemas.microsoft.com/office/drawing/2014/main" id="{00000000-0008-0000-6800-000012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2716051" name="Check Box 19" hidden="1">
              <a:extLst>
                <a:ext uri="{63B3BB69-23CF-44E3-9099-C40C66FF867C}">
                  <a14:compatExt spid="_x0000_s12716051"/>
                </a:ext>
                <a:ext uri="{FF2B5EF4-FFF2-40B4-BE49-F238E27FC236}">
                  <a16:creationId xmlns:a16="http://schemas.microsoft.com/office/drawing/2014/main" id="{00000000-0008-0000-6800-000013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2716052" name="Check Box 20" hidden="1">
              <a:extLst>
                <a:ext uri="{63B3BB69-23CF-44E3-9099-C40C66FF867C}">
                  <a14:compatExt spid="_x0000_s12716052"/>
                </a:ext>
                <a:ext uri="{FF2B5EF4-FFF2-40B4-BE49-F238E27FC236}">
                  <a16:creationId xmlns:a16="http://schemas.microsoft.com/office/drawing/2014/main" id="{00000000-0008-0000-6800-000014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2716053" name="Check Box 21" hidden="1">
              <a:extLst>
                <a:ext uri="{63B3BB69-23CF-44E3-9099-C40C66FF867C}">
                  <a14:compatExt spid="_x0000_s12716053"/>
                </a:ext>
                <a:ext uri="{FF2B5EF4-FFF2-40B4-BE49-F238E27FC236}">
                  <a16:creationId xmlns:a16="http://schemas.microsoft.com/office/drawing/2014/main" id="{00000000-0008-0000-6800-000015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2716054" name="Check Box 22" hidden="1">
              <a:extLst>
                <a:ext uri="{63B3BB69-23CF-44E3-9099-C40C66FF867C}">
                  <a14:compatExt spid="_x0000_s12716054"/>
                </a:ext>
                <a:ext uri="{FF2B5EF4-FFF2-40B4-BE49-F238E27FC236}">
                  <a16:creationId xmlns:a16="http://schemas.microsoft.com/office/drawing/2014/main" id="{00000000-0008-0000-6800-000016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2716055" name="Check Box 23" hidden="1">
              <a:extLst>
                <a:ext uri="{63B3BB69-23CF-44E3-9099-C40C66FF867C}">
                  <a14:compatExt spid="_x0000_s12716055"/>
                </a:ext>
                <a:ext uri="{FF2B5EF4-FFF2-40B4-BE49-F238E27FC236}">
                  <a16:creationId xmlns:a16="http://schemas.microsoft.com/office/drawing/2014/main" id="{00000000-0008-0000-6800-000017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2716056" name="Check Box 24" hidden="1">
              <a:extLst>
                <a:ext uri="{63B3BB69-23CF-44E3-9099-C40C66FF867C}">
                  <a14:compatExt spid="_x0000_s12716056"/>
                </a:ext>
                <a:ext uri="{FF2B5EF4-FFF2-40B4-BE49-F238E27FC236}">
                  <a16:creationId xmlns:a16="http://schemas.microsoft.com/office/drawing/2014/main" id="{00000000-0008-0000-6800-000018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2716057" name="Check Box 25" hidden="1">
              <a:extLst>
                <a:ext uri="{63B3BB69-23CF-44E3-9099-C40C66FF867C}">
                  <a14:compatExt spid="_x0000_s12716057"/>
                </a:ext>
                <a:ext uri="{FF2B5EF4-FFF2-40B4-BE49-F238E27FC236}">
                  <a16:creationId xmlns:a16="http://schemas.microsoft.com/office/drawing/2014/main" id="{00000000-0008-0000-6800-000019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2716058" name="Check Box 26" hidden="1">
              <a:extLst>
                <a:ext uri="{63B3BB69-23CF-44E3-9099-C40C66FF867C}">
                  <a14:compatExt spid="_x0000_s12716058"/>
                </a:ext>
                <a:ext uri="{FF2B5EF4-FFF2-40B4-BE49-F238E27FC236}">
                  <a16:creationId xmlns:a16="http://schemas.microsoft.com/office/drawing/2014/main" id="{00000000-0008-0000-6800-00001A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2716059" name="Check Box 27" hidden="1">
              <a:extLst>
                <a:ext uri="{63B3BB69-23CF-44E3-9099-C40C66FF867C}">
                  <a14:compatExt spid="_x0000_s12716059"/>
                </a:ext>
                <a:ext uri="{FF2B5EF4-FFF2-40B4-BE49-F238E27FC236}">
                  <a16:creationId xmlns:a16="http://schemas.microsoft.com/office/drawing/2014/main" id="{00000000-0008-0000-6800-00001B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2716060" name="Check Box 28" hidden="1">
              <a:extLst>
                <a:ext uri="{63B3BB69-23CF-44E3-9099-C40C66FF867C}">
                  <a14:compatExt spid="_x0000_s12716060"/>
                </a:ext>
                <a:ext uri="{FF2B5EF4-FFF2-40B4-BE49-F238E27FC236}">
                  <a16:creationId xmlns:a16="http://schemas.microsoft.com/office/drawing/2014/main" id="{00000000-0008-0000-6800-00001C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716061" name="Check Box 29" hidden="1">
              <a:extLst>
                <a:ext uri="{63B3BB69-23CF-44E3-9099-C40C66FF867C}">
                  <a14:compatExt spid="_x0000_s12716061"/>
                </a:ext>
                <a:ext uri="{FF2B5EF4-FFF2-40B4-BE49-F238E27FC236}">
                  <a16:creationId xmlns:a16="http://schemas.microsoft.com/office/drawing/2014/main" id="{00000000-0008-0000-6800-00001D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716062" name="Check Box 30" hidden="1">
              <a:extLst>
                <a:ext uri="{63B3BB69-23CF-44E3-9099-C40C66FF867C}">
                  <a14:compatExt spid="_x0000_s12716062"/>
                </a:ext>
                <a:ext uri="{FF2B5EF4-FFF2-40B4-BE49-F238E27FC236}">
                  <a16:creationId xmlns:a16="http://schemas.microsoft.com/office/drawing/2014/main" id="{00000000-0008-0000-6800-00001E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2716063" name="Check Box 31" hidden="1">
              <a:extLst>
                <a:ext uri="{63B3BB69-23CF-44E3-9099-C40C66FF867C}">
                  <a14:compatExt spid="_x0000_s12716063"/>
                </a:ext>
                <a:ext uri="{FF2B5EF4-FFF2-40B4-BE49-F238E27FC236}">
                  <a16:creationId xmlns:a16="http://schemas.microsoft.com/office/drawing/2014/main" id="{00000000-0008-0000-6800-00001F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2716064" name="Button 32" hidden="1">
              <a:extLst>
                <a:ext uri="{63B3BB69-23CF-44E3-9099-C40C66FF867C}">
                  <a14:compatExt spid="_x0000_s12716064"/>
                </a:ext>
                <a:ext uri="{FF2B5EF4-FFF2-40B4-BE49-F238E27FC236}">
                  <a16:creationId xmlns:a16="http://schemas.microsoft.com/office/drawing/2014/main" id="{00000000-0008-0000-6800-000020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2716065" name="Button 33" hidden="1">
              <a:extLst>
                <a:ext uri="{63B3BB69-23CF-44E3-9099-C40C66FF867C}">
                  <a14:compatExt spid="_x0000_s12716065"/>
                </a:ext>
                <a:ext uri="{FF2B5EF4-FFF2-40B4-BE49-F238E27FC236}">
                  <a16:creationId xmlns:a16="http://schemas.microsoft.com/office/drawing/2014/main" id="{00000000-0008-0000-6800-00002108C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2716066" name="Check Box 34" hidden="1">
              <a:extLst>
                <a:ext uri="{63B3BB69-23CF-44E3-9099-C40C66FF867C}">
                  <a14:compatExt spid="_x0000_s12716066"/>
                </a:ext>
                <a:ext uri="{FF2B5EF4-FFF2-40B4-BE49-F238E27FC236}">
                  <a16:creationId xmlns:a16="http://schemas.microsoft.com/office/drawing/2014/main" id="{00000000-0008-0000-6800-000022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2716067" name="Check Box 35" hidden="1">
              <a:extLst>
                <a:ext uri="{63B3BB69-23CF-44E3-9099-C40C66FF867C}">
                  <a14:compatExt spid="_x0000_s12716067"/>
                </a:ext>
                <a:ext uri="{FF2B5EF4-FFF2-40B4-BE49-F238E27FC236}">
                  <a16:creationId xmlns:a16="http://schemas.microsoft.com/office/drawing/2014/main" id="{00000000-0008-0000-6800-000023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2716068" name="Check Box 36" hidden="1">
              <a:extLst>
                <a:ext uri="{63B3BB69-23CF-44E3-9099-C40C66FF867C}">
                  <a14:compatExt spid="_x0000_s12716068"/>
                </a:ext>
                <a:ext uri="{FF2B5EF4-FFF2-40B4-BE49-F238E27FC236}">
                  <a16:creationId xmlns:a16="http://schemas.microsoft.com/office/drawing/2014/main" id="{00000000-0008-0000-6800-000024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2716069" name="Check Box 37" hidden="1">
              <a:extLst>
                <a:ext uri="{63B3BB69-23CF-44E3-9099-C40C66FF867C}">
                  <a14:compatExt spid="_x0000_s12716069"/>
                </a:ext>
                <a:ext uri="{FF2B5EF4-FFF2-40B4-BE49-F238E27FC236}">
                  <a16:creationId xmlns:a16="http://schemas.microsoft.com/office/drawing/2014/main" id="{00000000-0008-0000-6800-000025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716070" name="Check Box 38" hidden="1">
              <a:extLst>
                <a:ext uri="{63B3BB69-23CF-44E3-9099-C40C66FF867C}">
                  <a14:compatExt spid="_x0000_s12716070"/>
                </a:ext>
                <a:ext uri="{FF2B5EF4-FFF2-40B4-BE49-F238E27FC236}">
                  <a16:creationId xmlns:a16="http://schemas.microsoft.com/office/drawing/2014/main" id="{00000000-0008-0000-6800-000026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716071" name="Check Box 39" hidden="1">
              <a:extLst>
                <a:ext uri="{63B3BB69-23CF-44E3-9099-C40C66FF867C}">
                  <a14:compatExt spid="_x0000_s12716071"/>
                </a:ext>
                <a:ext uri="{FF2B5EF4-FFF2-40B4-BE49-F238E27FC236}">
                  <a16:creationId xmlns:a16="http://schemas.microsoft.com/office/drawing/2014/main" id="{00000000-0008-0000-6800-00002708C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2A204A08-C744-4A13-9C7D-256138957D1E}"/>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A244AC41-02FF-4FA2-9A2C-6B424FAC9F0C}"/>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2289025" name="Check Box 1" hidden="1">
              <a:extLst>
                <a:ext uri="{63B3BB69-23CF-44E3-9099-C40C66FF867C}">
                  <a14:compatExt spid="_x0000_s12289025"/>
                </a:ext>
                <a:ext uri="{FF2B5EF4-FFF2-40B4-BE49-F238E27FC236}">
                  <a16:creationId xmlns:a16="http://schemas.microsoft.com/office/drawing/2014/main" id="{00000000-0008-0000-6900-000001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2289026" name="Check Box 2" hidden="1">
              <a:extLst>
                <a:ext uri="{63B3BB69-23CF-44E3-9099-C40C66FF867C}">
                  <a14:compatExt spid="_x0000_s12289026"/>
                </a:ext>
                <a:ext uri="{FF2B5EF4-FFF2-40B4-BE49-F238E27FC236}">
                  <a16:creationId xmlns:a16="http://schemas.microsoft.com/office/drawing/2014/main" id="{00000000-0008-0000-6900-000002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2289027" name="Check Box 3" hidden="1">
              <a:extLst>
                <a:ext uri="{63B3BB69-23CF-44E3-9099-C40C66FF867C}">
                  <a14:compatExt spid="_x0000_s12289027"/>
                </a:ext>
                <a:ext uri="{FF2B5EF4-FFF2-40B4-BE49-F238E27FC236}">
                  <a16:creationId xmlns:a16="http://schemas.microsoft.com/office/drawing/2014/main" id="{00000000-0008-0000-6900-000003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2289028" name="Check Box 4" hidden="1">
              <a:extLst>
                <a:ext uri="{63B3BB69-23CF-44E3-9099-C40C66FF867C}">
                  <a14:compatExt spid="_x0000_s12289028"/>
                </a:ext>
                <a:ext uri="{FF2B5EF4-FFF2-40B4-BE49-F238E27FC236}">
                  <a16:creationId xmlns:a16="http://schemas.microsoft.com/office/drawing/2014/main" id="{00000000-0008-0000-6900-000004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2289029" name="Check Box 5" hidden="1">
              <a:extLst>
                <a:ext uri="{63B3BB69-23CF-44E3-9099-C40C66FF867C}">
                  <a14:compatExt spid="_x0000_s12289029"/>
                </a:ext>
                <a:ext uri="{FF2B5EF4-FFF2-40B4-BE49-F238E27FC236}">
                  <a16:creationId xmlns:a16="http://schemas.microsoft.com/office/drawing/2014/main" id="{00000000-0008-0000-6900-000005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2289030" name="Check Box 6" hidden="1">
              <a:extLst>
                <a:ext uri="{63B3BB69-23CF-44E3-9099-C40C66FF867C}">
                  <a14:compatExt spid="_x0000_s12289030"/>
                </a:ext>
                <a:ext uri="{FF2B5EF4-FFF2-40B4-BE49-F238E27FC236}">
                  <a16:creationId xmlns:a16="http://schemas.microsoft.com/office/drawing/2014/main" id="{00000000-0008-0000-6900-000006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2289031" name="Check Box 7" hidden="1">
              <a:extLst>
                <a:ext uri="{63B3BB69-23CF-44E3-9099-C40C66FF867C}">
                  <a14:compatExt spid="_x0000_s12289031"/>
                </a:ext>
                <a:ext uri="{FF2B5EF4-FFF2-40B4-BE49-F238E27FC236}">
                  <a16:creationId xmlns:a16="http://schemas.microsoft.com/office/drawing/2014/main" id="{00000000-0008-0000-6900-000007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2289032" name="Button 8" hidden="1">
              <a:extLst>
                <a:ext uri="{63B3BB69-23CF-44E3-9099-C40C66FF867C}">
                  <a14:compatExt spid="_x0000_s12289032"/>
                </a:ext>
                <a:ext uri="{FF2B5EF4-FFF2-40B4-BE49-F238E27FC236}">
                  <a16:creationId xmlns:a16="http://schemas.microsoft.com/office/drawing/2014/main" id="{00000000-0008-0000-6900-00000884B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2289033" name="Button 9" hidden="1">
              <a:extLst>
                <a:ext uri="{63B3BB69-23CF-44E3-9099-C40C66FF867C}">
                  <a14:compatExt spid="_x0000_s12289033"/>
                </a:ext>
                <a:ext uri="{FF2B5EF4-FFF2-40B4-BE49-F238E27FC236}">
                  <a16:creationId xmlns:a16="http://schemas.microsoft.com/office/drawing/2014/main" id="{00000000-0008-0000-6900-00000984B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2289034" name="Check Box 10" hidden="1">
              <a:extLst>
                <a:ext uri="{63B3BB69-23CF-44E3-9099-C40C66FF867C}">
                  <a14:compatExt spid="_x0000_s12289034"/>
                </a:ext>
                <a:ext uri="{FF2B5EF4-FFF2-40B4-BE49-F238E27FC236}">
                  <a16:creationId xmlns:a16="http://schemas.microsoft.com/office/drawing/2014/main" id="{00000000-0008-0000-6900-00000A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2289035" name="Button 11" hidden="1">
              <a:extLst>
                <a:ext uri="{63B3BB69-23CF-44E3-9099-C40C66FF867C}">
                  <a14:compatExt spid="_x0000_s12289035"/>
                </a:ext>
                <a:ext uri="{FF2B5EF4-FFF2-40B4-BE49-F238E27FC236}">
                  <a16:creationId xmlns:a16="http://schemas.microsoft.com/office/drawing/2014/main" id="{00000000-0008-0000-6900-00000B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2289036" name="Button 12" hidden="1">
              <a:extLst>
                <a:ext uri="{63B3BB69-23CF-44E3-9099-C40C66FF867C}">
                  <a14:compatExt spid="_x0000_s12289036"/>
                </a:ext>
                <a:ext uri="{FF2B5EF4-FFF2-40B4-BE49-F238E27FC236}">
                  <a16:creationId xmlns:a16="http://schemas.microsoft.com/office/drawing/2014/main" id="{00000000-0008-0000-6900-00000C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2289037" name="Button 13" hidden="1">
              <a:extLst>
                <a:ext uri="{63B3BB69-23CF-44E3-9099-C40C66FF867C}">
                  <a14:compatExt spid="_x0000_s12289037"/>
                </a:ext>
                <a:ext uri="{FF2B5EF4-FFF2-40B4-BE49-F238E27FC236}">
                  <a16:creationId xmlns:a16="http://schemas.microsoft.com/office/drawing/2014/main" id="{00000000-0008-0000-6900-00000D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2289038" name="Button 14" hidden="1">
              <a:extLst>
                <a:ext uri="{63B3BB69-23CF-44E3-9099-C40C66FF867C}">
                  <a14:compatExt spid="_x0000_s12289038"/>
                </a:ext>
                <a:ext uri="{FF2B5EF4-FFF2-40B4-BE49-F238E27FC236}">
                  <a16:creationId xmlns:a16="http://schemas.microsoft.com/office/drawing/2014/main" id="{00000000-0008-0000-6900-00000E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2289039" name="Check Box 15" hidden="1">
              <a:extLst>
                <a:ext uri="{63B3BB69-23CF-44E3-9099-C40C66FF867C}">
                  <a14:compatExt spid="_x0000_s12289039"/>
                </a:ext>
                <a:ext uri="{FF2B5EF4-FFF2-40B4-BE49-F238E27FC236}">
                  <a16:creationId xmlns:a16="http://schemas.microsoft.com/office/drawing/2014/main" id="{00000000-0008-0000-6900-00000F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2289040" name="Check Box 16" hidden="1">
              <a:extLst>
                <a:ext uri="{63B3BB69-23CF-44E3-9099-C40C66FF867C}">
                  <a14:compatExt spid="_x0000_s12289040"/>
                </a:ext>
                <a:ext uri="{FF2B5EF4-FFF2-40B4-BE49-F238E27FC236}">
                  <a16:creationId xmlns:a16="http://schemas.microsoft.com/office/drawing/2014/main" id="{00000000-0008-0000-6900-000010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2289041" name="Check Box 17" hidden="1">
              <a:extLst>
                <a:ext uri="{63B3BB69-23CF-44E3-9099-C40C66FF867C}">
                  <a14:compatExt spid="_x0000_s12289041"/>
                </a:ext>
                <a:ext uri="{FF2B5EF4-FFF2-40B4-BE49-F238E27FC236}">
                  <a16:creationId xmlns:a16="http://schemas.microsoft.com/office/drawing/2014/main" id="{00000000-0008-0000-6900-000011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2289042" name="Check Box 18" hidden="1">
              <a:extLst>
                <a:ext uri="{63B3BB69-23CF-44E3-9099-C40C66FF867C}">
                  <a14:compatExt spid="_x0000_s12289042"/>
                </a:ext>
                <a:ext uri="{FF2B5EF4-FFF2-40B4-BE49-F238E27FC236}">
                  <a16:creationId xmlns:a16="http://schemas.microsoft.com/office/drawing/2014/main" id="{00000000-0008-0000-6900-000012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2289043" name="Check Box 19" hidden="1">
              <a:extLst>
                <a:ext uri="{63B3BB69-23CF-44E3-9099-C40C66FF867C}">
                  <a14:compatExt spid="_x0000_s12289043"/>
                </a:ext>
                <a:ext uri="{FF2B5EF4-FFF2-40B4-BE49-F238E27FC236}">
                  <a16:creationId xmlns:a16="http://schemas.microsoft.com/office/drawing/2014/main" id="{00000000-0008-0000-6900-000013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2289044" name="Check Box 20" hidden="1">
              <a:extLst>
                <a:ext uri="{63B3BB69-23CF-44E3-9099-C40C66FF867C}">
                  <a14:compatExt spid="_x0000_s12289044"/>
                </a:ext>
                <a:ext uri="{FF2B5EF4-FFF2-40B4-BE49-F238E27FC236}">
                  <a16:creationId xmlns:a16="http://schemas.microsoft.com/office/drawing/2014/main" id="{00000000-0008-0000-6900-000014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2289045" name="Check Box 21" hidden="1">
              <a:extLst>
                <a:ext uri="{63B3BB69-23CF-44E3-9099-C40C66FF867C}">
                  <a14:compatExt spid="_x0000_s12289045"/>
                </a:ext>
                <a:ext uri="{FF2B5EF4-FFF2-40B4-BE49-F238E27FC236}">
                  <a16:creationId xmlns:a16="http://schemas.microsoft.com/office/drawing/2014/main" id="{00000000-0008-0000-6900-000015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2289046" name="Check Box 22" hidden="1">
              <a:extLst>
                <a:ext uri="{63B3BB69-23CF-44E3-9099-C40C66FF867C}">
                  <a14:compatExt spid="_x0000_s12289046"/>
                </a:ext>
                <a:ext uri="{FF2B5EF4-FFF2-40B4-BE49-F238E27FC236}">
                  <a16:creationId xmlns:a16="http://schemas.microsoft.com/office/drawing/2014/main" id="{00000000-0008-0000-6900-000016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2289047" name="Check Box 23" hidden="1">
              <a:extLst>
                <a:ext uri="{63B3BB69-23CF-44E3-9099-C40C66FF867C}">
                  <a14:compatExt spid="_x0000_s12289047"/>
                </a:ext>
                <a:ext uri="{FF2B5EF4-FFF2-40B4-BE49-F238E27FC236}">
                  <a16:creationId xmlns:a16="http://schemas.microsoft.com/office/drawing/2014/main" id="{00000000-0008-0000-6900-000017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2289048" name="Check Box 24" hidden="1">
              <a:extLst>
                <a:ext uri="{63B3BB69-23CF-44E3-9099-C40C66FF867C}">
                  <a14:compatExt spid="_x0000_s12289048"/>
                </a:ext>
                <a:ext uri="{FF2B5EF4-FFF2-40B4-BE49-F238E27FC236}">
                  <a16:creationId xmlns:a16="http://schemas.microsoft.com/office/drawing/2014/main" id="{00000000-0008-0000-6900-000018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2289049" name="Check Box 25" hidden="1">
              <a:extLst>
                <a:ext uri="{63B3BB69-23CF-44E3-9099-C40C66FF867C}">
                  <a14:compatExt spid="_x0000_s12289049"/>
                </a:ext>
                <a:ext uri="{FF2B5EF4-FFF2-40B4-BE49-F238E27FC236}">
                  <a16:creationId xmlns:a16="http://schemas.microsoft.com/office/drawing/2014/main" id="{00000000-0008-0000-6900-000019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2289050" name="Check Box 26" hidden="1">
              <a:extLst>
                <a:ext uri="{63B3BB69-23CF-44E3-9099-C40C66FF867C}">
                  <a14:compatExt spid="_x0000_s12289050"/>
                </a:ext>
                <a:ext uri="{FF2B5EF4-FFF2-40B4-BE49-F238E27FC236}">
                  <a16:creationId xmlns:a16="http://schemas.microsoft.com/office/drawing/2014/main" id="{00000000-0008-0000-6900-00001A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2289051" name="Check Box 27" hidden="1">
              <a:extLst>
                <a:ext uri="{63B3BB69-23CF-44E3-9099-C40C66FF867C}">
                  <a14:compatExt spid="_x0000_s12289051"/>
                </a:ext>
                <a:ext uri="{FF2B5EF4-FFF2-40B4-BE49-F238E27FC236}">
                  <a16:creationId xmlns:a16="http://schemas.microsoft.com/office/drawing/2014/main" id="{00000000-0008-0000-6900-00001B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2289052" name="Check Box 28" hidden="1">
              <a:extLst>
                <a:ext uri="{63B3BB69-23CF-44E3-9099-C40C66FF867C}">
                  <a14:compatExt spid="_x0000_s12289052"/>
                </a:ext>
                <a:ext uri="{FF2B5EF4-FFF2-40B4-BE49-F238E27FC236}">
                  <a16:creationId xmlns:a16="http://schemas.microsoft.com/office/drawing/2014/main" id="{00000000-0008-0000-6900-00001C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289053" name="Check Box 29" hidden="1">
              <a:extLst>
                <a:ext uri="{63B3BB69-23CF-44E3-9099-C40C66FF867C}">
                  <a14:compatExt spid="_x0000_s12289053"/>
                </a:ext>
                <a:ext uri="{FF2B5EF4-FFF2-40B4-BE49-F238E27FC236}">
                  <a16:creationId xmlns:a16="http://schemas.microsoft.com/office/drawing/2014/main" id="{00000000-0008-0000-6900-00001D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289054" name="Check Box 30" hidden="1">
              <a:extLst>
                <a:ext uri="{63B3BB69-23CF-44E3-9099-C40C66FF867C}">
                  <a14:compatExt spid="_x0000_s12289054"/>
                </a:ext>
                <a:ext uri="{FF2B5EF4-FFF2-40B4-BE49-F238E27FC236}">
                  <a16:creationId xmlns:a16="http://schemas.microsoft.com/office/drawing/2014/main" id="{00000000-0008-0000-6900-00001E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2289055" name="Check Box 31" hidden="1">
              <a:extLst>
                <a:ext uri="{63B3BB69-23CF-44E3-9099-C40C66FF867C}">
                  <a14:compatExt spid="_x0000_s12289055"/>
                </a:ext>
                <a:ext uri="{FF2B5EF4-FFF2-40B4-BE49-F238E27FC236}">
                  <a16:creationId xmlns:a16="http://schemas.microsoft.com/office/drawing/2014/main" id="{00000000-0008-0000-6900-00001F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2289056" name="Button 32" hidden="1">
              <a:extLst>
                <a:ext uri="{63B3BB69-23CF-44E3-9099-C40C66FF867C}">
                  <a14:compatExt spid="_x0000_s12289056"/>
                </a:ext>
                <a:ext uri="{FF2B5EF4-FFF2-40B4-BE49-F238E27FC236}">
                  <a16:creationId xmlns:a16="http://schemas.microsoft.com/office/drawing/2014/main" id="{00000000-0008-0000-6900-000020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2289057" name="Button 33" hidden="1">
              <a:extLst>
                <a:ext uri="{63B3BB69-23CF-44E3-9099-C40C66FF867C}">
                  <a14:compatExt spid="_x0000_s12289057"/>
                </a:ext>
                <a:ext uri="{FF2B5EF4-FFF2-40B4-BE49-F238E27FC236}">
                  <a16:creationId xmlns:a16="http://schemas.microsoft.com/office/drawing/2014/main" id="{00000000-0008-0000-6900-00002184B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2289058" name="Check Box 34" hidden="1">
              <a:extLst>
                <a:ext uri="{63B3BB69-23CF-44E3-9099-C40C66FF867C}">
                  <a14:compatExt spid="_x0000_s12289058"/>
                </a:ext>
                <a:ext uri="{FF2B5EF4-FFF2-40B4-BE49-F238E27FC236}">
                  <a16:creationId xmlns:a16="http://schemas.microsoft.com/office/drawing/2014/main" id="{00000000-0008-0000-6900-000022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2289059" name="Check Box 35" hidden="1">
              <a:extLst>
                <a:ext uri="{63B3BB69-23CF-44E3-9099-C40C66FF867C}">
                  <a14:compatExt spid="_x0000_s12289059"/>
                </a:ext>
                <a:ext uri="{FF2B5EF4-FFF2-40B4-BE49-F238E27FC236}">
                  <a16:creationId xmlns:a16="http://schemas.microsoft.com/office/drawing/2014/main" id="{00000000-0008-0000-6900-000023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2289060" name="Check Box 36" hidden="1">
              <a:extLst>
                <a:ext uri="{63B3BB69-23CF-44E3-9099-C40C66FF867C}">
                  <a14:compatExt spid="_x0000_s12289060"/>
                </a:ext>
                <a:ext uri="{FF2B5EF4-FFF2-40B4-BE49-F238E27FC236}">
                  <a16:creationId xmlns:a16="http://schemas.microsoft.com/office/drawing/2014/main" id="{00000000-0008-0000-6900-000024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2289061" name="Check Box 37" hidden="1">
              <a:extLst>
                <a:ext uri="{63B3BB69-23CF-44E3-9099-C40C66FF867C}">
                  <a14:compatExt spid="_x0000_s12289061"/>
                </a:ext>
                <a:ext uri="{FF2B5EF4-FFF2-40B4-BE49-F238E27FC236}">
                  <a16:creationId xmlns:a16="http://schemas.microsoft.com/office/drawing/2014/main" id="{00000000-0008-0000-6900-000025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2289062" name="Check Box 38" hidden="1">
              <a:extLst>
                <a:ext uri="{63B3BB69-23CF-44E3-9099-C40C66FF867C}">
                  <a14:compatExt spid="_x0000_s12289062"/>
                </a:ext>
                <a:ext uri="{FF2B5EF4-FFF2-40B4-BE49-F238E27FC236}">
                  <a16:creationId xmlns:a16="http://schemas.microsoft.com/office/drawing/2014/main" id="{00000000-0008-0000-6900-000026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2289063" name="Check Box 39" hidden="1">
              <a:extLst>
                <a:ext uri="{63B3BB69-23CF-44E3-9099-C40C66FF867C}">
                  <a14:compatExt spid="_x0000_s12289063"/>
                </a:ext>
                <a:ext uri="{FF2B5EF4-FFF2-40B4-BE49-F238E27FC236}">
                  <a16:creationId xmlns:a16="http://schemas.microsoft.com/office/drawing/2014/main" id="{00000000-0008-0000-6900-000027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2289064" name="Check Box 40" hidden="1">
              <a:extLst>
                <a:ext uri="{63B3BB69-23CF-44E3-9099-C40C66FF867C}">
                  <a14:compatExt spid="_x0000_s12289064"/>
                </a:ext>
                <a:ext uri="{FF2B5EF4-FFF2-40B4-BE49-F238E27FC236}">
                  <a16:creationId xmlns:a16="http://schemas.microsoft.com/office/drawing/2014/main" id="{00000000-0008-0000-6900-00002884B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solidFill>
                <a:srgbClr val="FF0000"/>
              </a:solidFill>
            </a:rPr>
            <a:t>PROPOSED LOCATION PENDING 29/07/2024</a:t>
          </a:r>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1658241" name="Check Box 1" hidden="1">
              <a:extLst>
                <a:ext uri="{63B3BB69-23CF-44E3-9099-C40C66FF867C}">
                  <a14:compatExt spid="_x0000_s11658241"/>
                </a:ext>
                <a:ext uri="{FF2B5EF4-FFF2-40B4-BE49-F238E27FC236}">
                  <a16:creationId xmlns:a16="http://schemas.microsoft.com/office/drawing/2014/main" id="{00000000-0008-0000-6A00-000001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1658242" name="Check Box 2" hidden="1">
              <a:extLst>
                <a:ext uri="{63B3BB69-23CF-44E3-9099-C40C66FF867C}">
                  <a14:compatExt spid="_x0000_s11658242"/>
                </a:ext>
                <a:ext uri="{FF2B5EF4-FFF2-40B4-BE49-F238E27FC236}">
                  <a16:creationId xmlns:a16="http://schemas.microsoft.com/office/drawing/2014/main" id="{00000000-0008-0000-6A00-000002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1658243" name="Check Box 3" hidden="1">
              <a:extLst>
                <a:ext uri="{63B3BB69-23CF-44E3-9099-C40C66FF867C}">
                  <a14:compatExt spid="_x0000_s11658243"/>
                </a:ext>
                <a:ext uri="{FF2B5EF4-FFF2-40B4-BE49-F238E27FC236}">
                  <a16:creationId xmlns:a16="http://schemas.microsoft.com/office/drawing/2014/main" id="{00000000-0008-0000-6A00-000003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1658244" name="Check Box 4" hidden="1">
              <a:extLst>
                <a:ext uri="{63B3BB69-23CF-44E3-9099-C40C66FF867C}">
                  <a14:compatExt spid="_x0000_s11658244"/>
                </a:ext>
                <a:ext uri="{FF2B5EF4-FFF2-40B4-BE49-F238E27FC236}">
                  <a16:creationId xmlns:a16="http://schemas.microsoft.com/office/drawing/2014/main" id="{00000000-0008-0000-6A00-000004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1658245" name="Check Box 5" hidden="1">
              <a:extLst>
                <a:ext uri="{63B3BB69-23CF-44E3-9099-C40C66FF867C}">
                  <a14:compatExt spid="_x0000_s11658245"/>
                </a:ext>
                <a:ext uri="{FF2B5EF4-FFF2-40B4-BE49-F238E27FC236}">
                  <a16:creationId xmlns:a16="http://schemas.microsoft.com/office/drawing/2014/main" id="{00000000-0008-0000-6A00-000005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1658246" name="Check Box 6" hidden="1">
              <a:extLst>
                <a:ext uri="{63B3BB69-23CF-44E3-9099-C40C66FF867C}">
                  <a14:compatExt spid="_x0000_s11658246"/>
                </a:ext>
                <a:ext uri="{FF2B5EF4-FFF2-40B4-BE49-F238E27FC236}">
                  <a16:creationId xmlns:a16="http://schemas.microsoft.com/office/drawing/2014/main" id="{00000000-0008-0000-6A00-000006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1658247" name="Check Box 7" hidden="1">
              <a:extLst>
                <a:ext uri="{63B3BB69-23CF-44E3-9099-C40C66FF867C}">
                  <a14:compatExt spid="_x0000_s11658247"/>
                </a:ext>
                <a:ext uri="{FF2B5EF4-FFF2-40B4-BE49-F238E27FC236}">
                  <a16:creationId xmlns:a16="http://schemas.microsoft.com/office/drawing/2014/main" id="{00000000-0008-0000-6A00-000007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1658248" name="Button 8" hidden="1">
              <a:extLst>
                <a:ext uri="{63B3BB69-23CF-44E3-9099-C40C66FF867C}">
                  <a14:compatExt spid="_x0000_s11658248"/>
                </a:ext>
                <a:ext uri="{FF2B5EF4-FFF2-40B4-BE49-F238E27FC236}">
                  <a16:creationId xmlns:a16="http://schemas.microsoft.com/office/drawing/2014/main" id="{00000000-0008-0000-6A00-000008E4B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1658249" name="Button 9" hidden="1">
              <a:extLst>
                <a:ext uri="{63B3BB69-23CF-44E3-9099-C40C66FF867C}">
                  <a14:compatExt spid="_x0000_s11658249"/>
                </a:ext>
                <a:ext uri="{FF2B5EF4-FFF2-40B4-BE49-F238E27FC236}">
                  <a16:creationId xmlns:a16="http://schemas.microsoft.com/office/drawing/2014/main" id="{00000000-0008-0000-6A00-000009E4B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1658250" name="Check Box 10" hidden="1">
              <a:extLst>
                <a:ext uri="{63B3BB69-23CF-44E3-9099-C40C66FF867C}">
                  <a14:compatExt spid="_x0000_s11658250"/>
                </a:ext>
                <a:ext uri="{FF2B5EF4-FFF2-40B4-BE49-F238E27FC236}">
                  <a16:creationId xmlns:a16="http://schemas.microsoft.com/office/drawing/2014/main" id="{00000000-0008-0000-6A00-00000A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1658251" name="Button 11" hidden="1">
              <a:extLst>
                <a:ext uri="{63B3BB69-23CF-44E3-9099-C40C66FF867C}">
                  <a14:compatExt spid="_x0000_s11658251"/>
                </a:ext>
                <a:ext uri="{FF2B5EF4-FFF2-40B4-BE49-F238E27FC236}">
                  <a16:creationId xmlns:a16="http://schemas.microsoft.com/office/drawing/2014/main" id="{00000000-0008-0000-6A00-00000B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1658252" name="Button 12" hidden="1">
              <a:extLst>
                <a:ext uri="{63B3BB69-23CF-44E3-9099-C40C66FF867C}">
                  <a14:compatExt spid="_x0000_s11658252"/>
                </a:ext>
                <a:ext uri="{FF2B5EF4-FFF2-40B4-BE49-F238E27FC236}">
                  <a16:creationId xmlns:a16="http://schemas.microsoft.com/office/drawing/2014/main" id="{00000000-0008-0000-6A00-00000C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1658253" name="Button 13" hidden="1">
              <a:extLst>
                <a:ext uri="{63B3BB69-23CF-44E3-9099-C40C66FF867C}">
                  <a14:compatExt spid="_x0000_s11658253"/>
                </a:ext>
                <a:ext uri="{FF2B5EF4-FFF2-40B4-BE49-F238E27FC236}">
                  <a16:creationId xmlns:a16="http://schemas.microsoft.com/office/drawing/2014/main" id="{00000000-0008-0000-6A00-00000D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1658254" name="Button 14" hidden="1">
              <a:extLst>
                <a:ext uri="{63B3BB69-23CF-44E3-9099-C40C66FF867C}">
                  <a14:compatExt spid="_x0000_s11658254"/>
                </a:ext>
                <a:ext uri="{FF2B5EF4-FFF2-40B4-BE49-F238E27FC236}">
                  <a16:creationId xmlns:a16="http://schemas.microsoft.com/office/drawing/2014/main" id="{00000000-0008-0000-6A00-00000E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1658255" name="Check Box 15" hidden="1">
              <a:extLst>
                <a:ext uri="{63B3BB69-23CF-44E3-9099-C40C66FF867C}">
                  <a14:compatExt spid="_x0000_s11658255"/>
                </a:ext>
                <a:ext uri="{FF2B5EF4-FFF2-40B4-BE49-F238E27FC236}">
                  <a16:creationId xmlns:a16="http://schemas.microsoft.com/office/drawing/2014/main" id="{00000000-0008-0000-6A00-00000F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1658256" name="Check Box 16" hidden="1">
              <a:extLst>
                <a:ext uri="{63B3BB69-23CF-44E3-9099-C40C66FF867C}">
                  <a14:compatExt spid="_x0000_s11658256"/>
                </a:ext>
                <a:ext uri="{FF2B5EF4-FFF2-40B4-BE49-F238E27FC236}">
                  <a16:creationId xmlns:a16="http://schemas.microsoft.com/office/drawing/2014/main" id="{00000000-0008-0000-6A00-000010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1658257" name="Check Box 17" hidden="1">
              <a:extLst>
                <a:ext uri="{63B3BB69-23CF-44E3-9099-C40C66FF867C}">
                  <a14:compatExt spid="_x0000_s11658257"/>
                </a:ext>
                <a:ext uri="{FF2B5EF4-FFF2-40B4-BE49-F238E27FC236}">
                  <a16:creationId xmlns:a16="http://schemas.microsoft.com/office/drawing/2014/main" id="{00000000-0008-0000-6A00-000011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1658258" name="Check Box 18" hidden="1">
              <a:extLst>
                <a:ext uri="{63B3BB69-23CF-44E3-9099-C40C66FF867C}">
                  <a14:compatExt spid="_x0000_s11658258"/>
                </a:ext>
                <a:ext uri="{FF2B5EF4-FFF2-40B4-BE49-F238E27FC236}">
                  <a16:creationId xmlns:a16="http://schemas.microsoft.com/office/drawing/2014/main" id="{00000000-0008-0000-6A00-000012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1658259" name="Check Box 19" hidden="1">
              <a:extLst>
                <a:ext uri="{63B3BB69-23CF-44E3-9099-C40C66FF867C}">
                  <a14:compatExt spid="_x0000_s11658259"/>
                </a:ext>
                <a:ext uri="{FF2B5EF4-FFF2-40B4-BE49-F238E27FC236}">
                  <a16:creationId xmlns:a16="http://schemas.microsoft.com/office/drawing/2014/main" id="{00000000-0008-0000-6A00-000013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1658260" name="Check Box 20" hidden="1">
              <a:extLst>
                <a:ext uri="{63B3BB69-23CF-44E3-9099-C40C66FF867C}">
                  <a14:compatExt spid="_x0000_s11658260"/>
                </a:ext>
                <a:ext uri="{FF2B5EF4-FFF2-40B4-BE49-F238E27FC236}">
                  <a16:creationId xmlns:a16="http://schemas.microsoft.com/office/drawing/2014/main" id="{00000000-0008-0000-6A00-000014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1658261" name="Check Box 21" hidden="1">
              <a:extLst>
                <a:ext uri="{63B3BB69-23CF-44E3-9099-C40C66FF867C}">
                  <a14:compatExt spid="_x0000_s11658261"/>
                </a:ext>
                <a:ext uri="{FF2B5EF4-FFF2-40B4-BE49-F238E27FC236}">
                  <a16:creationId xmlns:a16="http://schemas.microsoft.com/office/drawing/2014/main" id="{00000000-0008-0000-6A00-000015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1658262" name="Check Box 22" hidden="1">
              <a:extLst>
                <a:ext uri="{63B3BB69-23CF-44E3-9099-C40C66FF867C}">
                  <a14:compatExt spid="_x0000_s11658262"/>
                </a:ext>
                <a:ext uri="{FF2B5EF4-FFF2-40B4-BE49-F238E27FC236}">
                  <a16:creationId xmlns:a16="http://schemas.microsoft.com/office/drawing/2014/main" id="{00000000-0008-0000-6A00-000016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1658263" name="Check Box 23" hidden="1">
              <a:extLst>
                <a:ext uri="{63B3BB69-23CF-44E3-9099-C40C66FF867C}">
                  <a14:compatExt spid="_x0000_s11658263"/>
                </a:ext>
                <a:ext uri="{FF2B5EF4-FFF2-40B4-BE49-F238E27FC236}">
                  <a16:creationId xmlns:a16="http://schemas.microsoft.com/office/drawing/2014/main" id="{00000000-0008-0000-6A00-000017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1658264" name="Check Box 24" hidden="1">
              <a:extLst>
                <a:ext uri="{63B3BB69-23CF-44E3-9099-C40C66FF867C}">
                  <a14:compatExt spid="_x0000_s11658264"/>
                </a:ext>
                <a:ext uri="{FF2B5EF4-FFF2-40B4-BE49-F238E27FC236}">
                  <a16:creationId xmlns:a16="http://schemas.microsoft.com/office/drawing/2014/main" id="{00000000-0008-0000-6A00-000018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1658265" name="Check Box 25" hidden="1">
              <a:extLst>
                <a:ext uri="{63B3BB69-23CF-44E3-9099-C40C66FF867C}">
                  <a14:compatExt spid="_x0000_s11658265"/>
                </a:ext>
                <a:ext uri="{FF2B5EF4-FFF2-40B4-BE49-F238E27FC236}">
                  <a16:creationId xmlns:a16="http://schemas.microsoft.com/office/drawing/2014/main" id="{00000000-0008-0000-6A00-000019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1658266" name="Check Box 26" hidden="1">
              <a:extLst>
                <a:ext uri="{63B3BB69-23CF-44E3-9099-C40C66FF867C}">
                  <a14:compatExt spid="_x0000_s11658266"/>
                </a:ext>
                <a:ext uri="{FF2B5EF4-FFF2-40B4-BE49-F238E27FC236}">
                  <a16:creationId xmlns:a16="http://schemas.microsoft.com/office/drawing/2014/main" id="{00000000-0008-0000-6A00-00001A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1658267" name="Check Box 27" hidden="1">
              <a:extLst>
                <a:ext uri="{63B3BB69-23CF-44E3-9099-C40C66FF867C}">
                  <a14:compatExt spid="_x0000_s11658267"/>
                </a:ext>
                <a:ext uri="{FF2B5EF4-FFF2-40B4-BE49-F238E27FC236}">
                  <a16:creationId xmlns:a16="http://schemas.microsoft.com/office/drawing/2014/main" id="{00000000-0008-0000-6A00-00001B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1658268" name="Check Box 28" hidden="1">
              <a:extLst>
                <a:ext uri="{63B3BB69-23CF-44E3-9099-C40C66FF867C}">
                  <a14:compatExt spid="_x0000_s11658268"/>
                </a:ext>
                <a:ext uri="{FF2B5EF4-FFF2-40B4-BE49-F238E27FC236}">
                  <a16:creationId xmlns:a16="http://schemas.microsoft.com/office/drawing/2014/main" id="{00000000-0008-0000-6A00-00001C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1658269" name="Check Box 29" hidden="1">
              <a:extLst>
                <a:ext uri="{63B3BB69-23CF-44E3-9099-C40C66FF867C}">
                  <a14:compatExt spid="_x0000_s11658269"/>
                </a:ext>
                <a:ext uri="{FF2B5EF4-FFF2-40B4-BE49-F238E27FC236}">
                  <a16:creationId xmlns:a16="http://schemas.microsoft.com/office/drawing/2014/main" id="{00000000-0008-0000-6A00-00001D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658270" name="Check Box 30" hidden="1">
              <a:extLst>
                <a:ext uri="{63B3BB69-23CF-44E3-9099-C40C66FF867C}">
                  <a14:compatExt spid="_x0000_s11658270"/>
                </a:ext>
                <a:ext uri="{FF2B5EF4-FFF2-40B4-BE49-F238E27FC236}">
                  <a16:creationId xmlns:a16="http://schemas.microsoft.com/office/drawing/2014/main" id="{00000000-0008-0000-6A00-00001E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658271" name="Check Box 31" hidden="1">
              <a:extLst>
                <a:ext uri="{63B3BB69-23CF-44E3-9099-C40C66FF867C}">
                  <a14:compatExt spid="_x0000_s11658271"/>
                </a:ext>
                <a:ext uri="{FF2B5EF4-FFF2-40B4-BE49-F238E27FC236}">
                  <a16:creationId xmlns:a16="http://schemas.microsoft.com/office/drawing/2014/main" id="{00000000-0008-0000-6A00-00001F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1658272" name="Button 32" hidden="1">
              <a:extLst>
                <a:ext uri="{63B3BB69-23CF-44E3-9099-C40C66FF867C}">
                  <a14:compatExt spid="_x0000_s11658272"/>
                </a:ext>
                <a:ext uri="{FF2B5EF4-FFF2-40B4-BE49-F238E27FC236}">
                  <a16:creationId xmlns:a16="http://schemas.microsoft.com/office/drawing/2014/main" id="{00000000-0008-0000-6A00-000020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1658273" name="Button 33" hidden="1">
              <a:extLst>
                <a:ext uri="{63B3BB69-23CF-44E3-9099-C40C66FF867C}">
                  <a14:compatExt spid="_x0000_s11658273"/>
                </a:ext>
                <a:ext uri="{FF2B5EF4-FFF2-40B4-BE49-F238E27FC236}">
                  <a16:creationId xmlns:a16="http://schemas.microsoft.com/office/drawing/2014/main" id="{00000000-0008-0000-6A00-000021E4B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1658274" name="Check Box 34" hidden="1">
              <a:extLst>
                <a:ext uri="{63B3BB69-23CF-44E3-9099-C40C66FF867C}">
                  <a14:compatExt spid="_x0000_s11658274"/>
                </a:ext>
                <a:ext uri="{FF2B5EF4-FFF2-40B4-BE49-F238E27FC236}">
                  <a16:creationId xmlns:a16="http://schemas.microsoft.com/office/drawing/2014/main" id="{00000000-0008-0000-6A00-000022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1658275" name="Check Box 35" hidden="1">
              <a:extLst>
                <a:ext uri="{63B3BB69-23CF-44E3-9099-C40C66FF867C}">
                  <a14:compatExt spid="_x0000_s11658275"/>
                </a:ext>
                <a:ext uri="{FF2B5EF4-FFF2-40B4-BE49-F238E27FC236}">
                  <a16:creationId xmlns:a16="http://schemas.microsoft.com/office/drawing/2014/main" id="{00000000-0008-0000-6A00-000023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1658276" name="Check Box 36" hidden="1">
              <a:extLst>
                <a:ext uri="{63B3BB69-23CF-44E3-9099-C40C66FF867C}">
                  <a14:compatExt spid="_x0000_s11658276"/>
                </a:ext>
                <a:ext uri="{FF2B5EF4-FFF2-40B4-BE49-F238E27FC236}">
                  <a16:creationId xmlns:a16="http://schemas.microsoft.com/office/drawing/2014/main" id="{00000000-0008-0000-6A00-000024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1658277" name="Check Box 37" hidden="1">
              <a:extLst>
                <a:ext uri="{63B3BB69-23CF-44E3-9099-C40C66FF867C}">
                  <a14:compatExt spid="_x0000_s11658277"/>
                </a:ext>
                <a:ext uri="{FF2B5EF4-FFF2-40B4-BE49-F238E27FC236}">
                  <a16:creationId xmlns:a16="http://schemas.microsoft.com/office/drawing/2014/main" id="{00000000-0008-0000-6A00-000025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1658278" name="Check Box 38" hidden="1">
              <a:extLst>
                <a:ext uri="{63B3BB69-23CF-44E3-9099-C40C66FF867C}">
                  <a14:compatExt spid="_x0000_s11658278"/>
                </a:ext>
                <a:ext uri="{FF2B5EF4-FFF2-40B4-BE49-F238E27FC236}">
                  <a16:creationId xmlns:a16="http://schemas.microsoft.com/office/drawing/2014/main" id="{00000000-0008-0000-6A00-000026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658279" name="Check Box 39" hidden="1">
              <a:extLst>
                <a:ext uri="{63B3BB69-23CF-44E3-9099-C40C66FF867C}">
                  <a14:compatExt spid="_x0000_s11658279"/>
                </a:ext>
                <a:ext uri="{FF2B5EF4-FFF2-40B4-BE49-F238E27FC236}">
                  <a16:creationId xmlns:a16="http://schemas.microsoft.com/office/drawing/2014/main" id="{00000000-0008-0000-6A00-000027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658280" name="Check Box 40" hidden="1">
              <a:extLst>
                <a:ext uri="{63B3BB69-23CF-44E3-9099-C40C66FF867C}">
                  <a14:compatExt spid="_x0000_s11658280"/>
                </a:ext>
                <a:ext uri="{FF2B5EF4-FFF2-40B4-BE49-F238E27FC236}">
                  <a16:creationId xmlns:a16="http://schemas.microsoft.com/office/drawing/2014/main" id="{00000000-0008-0000-6A00-000028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658281" name="Check Box 41" hidden="1">
              <a:extLst>
                <a:ext uri="{63B3BB69-23CF-44E3-9099-C40C66FF867C}">
                  <a14:compatExt spid="_x0000_s11658281"/>
                </a:ext>
                <a:ext uri="{FF2B5EF4-FFF2-40B4-BE49-F238E27FC236}">
                  <a16:creationId xmlns:a16="http://schemas.microsoft.com/office/drawing/2014/main" id="{00000000-0008-0000-6A00-000029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658282" name="Check Box 42" hidden="1">
              <a:extLst>
                <a:ext uri="{63B3BB69-23CF-44E3-9099-C40C66FF867C}">
                  <a14:compatExt spid="_x0000_s11658282"/>
                </a:ext>
                <a:ext uri="{FF2B5EF4-FFF2-40B4-BE49-F238E27FC236}">
                  <a16:creationId xmlns:a16="http://schemas.microsoft.com/office/drawing/2014/main" id="{00000000-0008-0000-6A00-00002A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1658283" name="Check Box 43" hidden="1">
              <a:extLst>
                <a:ext uri="{63B3BB69-23CF-44E3-9099-C40C66FF867C}">
                  <a14:compatExt spid="_x0000_s11658283"/>
                </a:ext>
                <a:ext uri="{FF2B5EF4-FFF2-40B4-BE49-F238E27FC236}">
                  <a16:creationId xmlns:a16="http://schemas.microsoft.com/office/drawing/2014/main" id="{00000000-0008-0000-6A00-00002BE4B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1557889" name="Check Box 1" hidden="1">
              <a:extLst>
                <a:ext uri="{63B3BB69-23CF-44E3-9099-C40C66FF867C}">
                  <a14:compatExt spid="_x0000_s11557889"/>
                </a:ext>
                <a:ext uri="{FF2B5EF4-FFF2-40B4-BE49-F238E27FC236}">
                  <a16:creationId xmlns:a16="http://schemas.microsoft.com/office/drawing/2014/main" id="{00000000-0008-0000-6B00-000001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1557890" name="Check Box 2" hidden="1">
              <a:extLst>
                <a:ext uri="{63B3BB69-23CF-44E3-9099-C40C66FF867C}">
                  <a14:compatExt spid="_x0000_s11557890"/>
                </a:ext>
                <a:ext uri="{FF2B5EF4-FFF2-40B4-BE49-F238E27FC236}">
                  <a16:creationId xmlns:a16="http://schemas.microsoft.com/office/drawing/2014/main" id="{00000000-0008-0000-6B00-000002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1557891" name="Check Box 3" hidden="1">
              <a:extLst>
                <a:ext uri="{63B3BB69-23CF-44E3-9099-C40C66FF867C}">
                  <a14:compatExt spid="_x0000_s11557891"/>
                </a:ext>
                <a:ext uri="{FF2B5EF4-FFF2-40B4-BE49-F238E27FC236}">
                  <a16:creationId xmlns:a16="http://schemas.microsoft.com/office/drawing/2014/main" id="{00000000-0008-0000-6B00-000003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1557892" name="Check Box 4" hidden="1">
              <a:extLst>
                <a:ext uri="{63B3BB69-23CF-44E3-9099-C40C66FF867C}">
                  <a14:compatExt spid="_x0000_s11557892"/>
                </a:ext>
                <a:ext uri="{FF2B5EF4-FFF2-40B4-BE49-F238E27FC236}">
                  <a16:creationId xmlns:a16="http://schemas.microsoft.com/office/drawing/2014/main" id="{00000000-0008-0000-6B00-000004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1557893" name="Check Box 5" hidden="1">
              <a:extLst>
                <a:ext uri="{63B3BB69-23CF-44E3-9099-C40C66FF867C}">
                  <a14:compatExt spid="_x0000_s11557893"/>
                </a:ext>
                <a:ext uri="{FF2B5EF4-FFF2-40B4-BE49-F238E27FC236}">
                  <a16:creationId xmlns:a16="http://schemas.microsoft.com/office/drawing/2014/main" id="{00000000-0008-0000-6B00-000005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1557894" name="Check Box 6" hidden="1">
              <a:extLst>
                <a:ext uri="{63B3BB69-23CF-44E3-9099-C40C66FF867C}">
                  <a14:compatExt spid="_x0000_s11557894"/>
                </a:ext>
                <a:ext uri="{FF2B5EF4-FFF2-40B4-BE49-F238E27FC236}">
                  <a16:creationId xmlns:a16="http://schemas.microsoft.com/office/drawing/2014/main" id="{00000000-0008-0000-6B00-000006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1557895" name="Check Box 7" hidden="1">
              <a:extLst>
                <a:ext uri="{63B3BB69-23CF-44E3-9099-C40C66FF867C}">
                  <a14:compatExt spid="_x0000_s11557895"/>
                </a:ext>
                <a:ext uri="{FF2B5EF4-FFF2-40B4-BE49-F238E27FC236}">
                  <a16:creationId xmlns:a16="http://schemas.microsoft.com/office/drawing/2014/main" id="{00000000-0008-0000-6B00-000007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1557896" name="Button 8" hidden="1">
              <a:extLst>
                <a:ext uri="{63B3BB69-23CF-44E3-9099-C40C66FF867C}">
                  <a14:compatExt spid="_x0000_s11557896"/>
                </a:ext>
                <a:ext uri="{FF2B5EF4-FFF2-40B4-BE49-F238E27FC236}">
                  <a16:creationId xmlns:a16="http://schemas.microsoft.com/office/drawing/2014/main" id="{00000000-0008-0000-6B00-0000085CB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1557897" name="Button 9" hidden="1">
              <a:extLst>
                <a:ext uri="{63B3BB69-23CF-44E3-9099-C40C66FF867C}">
                  <a14:compatExt spid="_x0000_s11557897"/>
                </a:ext>
                <a:ext uri="{FF2B5EF4-FFF2-40B4-BE49-F238E27FC236}">
                  <a16:creationId xmlns:a16="http://schemas.microsoft.com/office/drawing/2014/main" id="{00000000-0008-0000-6B00-0000095CB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1557898" name="Check Box 10" hidden="1">
              <a:extLst>
                <a:ext uri="{63B3BB69-23CF-44E3-9099-C40C66FF867C}">
                  <a14:compatExt spid="_x0000_s11557898"/>
                </a:ext>
                <a:ext uri="{FF2B5EF4-FFF2-40B4-BE49-F238E27FC236}">
                  <a16:creationId xmlns:a16="http://schemas.microsoft.com/office/drawing/2014/main" id="{00000000-0008-0000-6B00-00000A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1557899" name="Button 11" hidden="1">
              <a:extLst>
                <a:ext uri="{63B3BB69-23CF-44E3-9099-C40C66FF867C}">
                  <a14:compatExt spid="_x0000_s11557899"/>
                </a:ext>
                <a:ext uri="{FF2B5EF4-FFF2-40B4-BE49-F238E27FC236}">
                  <a16:creationId xmlns:a16="http://schemas.microsoft.com/office/drawing/2014/main" id="{00000000-0008-0000-6B00-00000B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1557900" name="Button 12" hidden="1">
              <a:extLst>
                <a:ext uri="{63B3BB69-23CF-44E3-9099-C40C66FF867C}">
                  <a14:compatExt spid="_x0000_s11557900"/>
                </a:ext>
                <a:ext uri="{FF2B5EF4-FFF2-40B4-BE49-F238E27FC236}">
                  <a16:creationId xmlns:a16="http://schemas.microsoft.com/office/drawing/2014/main" id="{00000000-0008-0000-6B00-00000C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1557901" name="Button 13" hidden="1">
              <a:extLst>
                <a:ext uri="{63B3BB69-23CF-44E3-9099-C40C66FF867C}">
                  <a14:compatExt spid="_x0000_s11557901"/>
                </a:ext>
                <a:ext uri="{FF2B5EF4-FFF2-40B4-BE49-F238E27FC236}">
                  <a16:creationId xmlns:a16="http://schemas.microsoft.com/office/drawing/2014/main" id="{00000000-0008-0000-6B00-00000D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1557902" name="Button 14" hidden="1">
              <a:extLst>
                <a:ext uri="{63B3BB69-23CF-44E3-9099-C40C66FF867C}">
                  <a14:compatExt spid="_x0000_s11557902"/>
                </a:ext>
                <a:ext uri="{FF2B5EF4-FFF2-40B4-BE49-F238E27FC236}">
                  <a16:creationId xmlns:a16="http://schemas.microsoft.com/office/drawing/2014/main" id="{00000000-0008-0000-6B00-00000E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1557903" name="Check Box 15" hidden="1">
              <a:extLst>
                <a:ext uri="{63B3BB69-23CF-44E3-9099-C40C66FF867C}">
                  <a14:compatExt spid="_x0000_s11557903"/>
                </a:ext>
                <a:ext uri="{FF2B5EF4-FFF2-40B4-BE49-F238E27FC236}">
                  <a16:creationId xmlns:a16="http://schemas.microsoft.com/office/drawing/2014/main" id="{00000000-0008-0000-6B00-00000F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1557904" name="Check Box 16" hidden="1">
              <a:extLst>
                <a:ext uri="{63B3BB69-23CF-44E3-9099-C40C66FF867C}">
                  <a14:compatExt spid="_x0000_s11557904"/>
                </a:ext>
                <a:ext uri="{FF2B5EF4-FFF2-40B4-BE49-F238E27FC236}">
                  <a16:creationId xmlns:a16="http://schemas.microsoft.com/office/drawing/2014/main" id="{00000000-0008-0000-6B00-000010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1557905" name="Check Box 17" hidden="1">
              <a:extLst>
                <a:ext uri="{63B3BB69-23CF-44E3-9099-C40C66FF867C}">
                  <a14:compatExt spid="_x0000_s11557905"/>
                </a:ext>
                <a:ext uri="{FF2B5EF4-FFF2-40B4-BE49-F238E27FC236}">
                  <a16:creationId xmlns:a16="http://schemas.microsoft.com/office/drawing/2014/main" id="{00000000-0008-0000-6B00-000011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1557906" name="Check Box 18" hidden="1">
              <a:extLst>
                <a:ext uri="{63B3BB69-23CF-44E3-9099-C40C66FF867C}">
                  <a14:compatExt spid="_x0000_s11557906"/>
                </a:ext>
                <a:ext uri="{FF2B5EF4-FFF2-40B4-BE49-F238E27FC236}">
                  <a16:creationId xmlns:a16="http://schemas.microsoft.com/office/drawing/2014/main" id="{00000000-0008-0000-6B00-000012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1557907" name="Check Box 19" hidden="1">
              <a:extLst>
                <a:ext uri="{63B3BB69-23CF-44E3-9099-C40C66FF867C}">
                  <a14:compatExt spid="_x0000_s11557907"/>
                </a:ext>
                <a:ext uri="{FF2B5EF4-FFF2-40B4-BE49-F238E27FC236}">
                  <a16:creationId xmlns:a16="http://schemas.microsoft.com/office/drawing/2014/main" id="{00000000-0008-0000-6B00-000013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1557908" name="Check Box 20" hidden="1">
              <a:extLst>
                <a:ext uri="{63B3BB69-23CF-44E3-9099-C40C66FF867C}">
                  <a14:compatExt spid="_x0000_s11557908"/>
                </a:ext>
                <a:ext uri="{FF2B5EF4-FFF2-40B4-BE49-F238E27FC236}">
                  <a16:creationId xmlns:a16="http://schemas.microsoft.com/office/drawing/2014/main" id="{00000000-0008-0000-6B00-000014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1557909" name="Check Box 21" hidden="1">
              <a:extLst>
                <a:ext uri="{63B3BB69-23CF-44E3-9099-C40C66FF867C}">
                  <a14:compatExt spid="_x0000_s11557909"/>
                </a:ext>
                <a:ext uri="{FF2B5EF4-FFF2-40B4-BE49-F238E27FC236}">
                  <a16:creationId xmlns:a16="http://schemas.microsoft.com/office/drawing/2014/main" id="{00000000-0008-0000-6B00-000015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1557910" name="Check Box 22" hidden="1">
              <a:extLst>
                <a:ext uri="{63B3BB69-23CF-44E3-9099-C40C66FF867C}">
                  <a14:compatExt spid="_x0000_s11557910"/>
                </a:ext>
                <a:ext uri="{FF2B5EF4-FFF2-40B4-BE49-F238E27FC236}">
                  <a16:creationId xmlns:a16="http://schemas.microsoft.com/office/drawing/2014/main" id="{00000000-0008-0000-6B00-000016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1557911" name="Check Box 23" hidden="1">
              <a:extLst>
                <a:ext uri="{63B3BB69-23CF-44E3-9099-C40C66FF867C}">
                  <a14:compatExt spid="_x0000_s11557911"/>
                </a:ext>
                <a:ext uri="{FF2B5EF4-FFF2-40B4-BE49-F238E27FC236}">
                  <a16:creationId xmlns:a16="http://schemas.microsoft.com/office/drawing/2014/main" id="{00000000-0008-0000-6B00-000017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1557912" name="Check Box 24" hidden="1">
              <a:extLst>
                <a:ext uri="{63B3BB69-23CF-44E3-9099-C40C66FF867C}">
                  <a14:compatExt spid="_x0000_s11557912"/>
                </a:ext>
                <a:ext uri="{FF2B5EF4-FFF2-40B4-BE49-F238E27FC236}">
                  <a16:creationId xmlns:a16="http://schemas.microsoft.com/office/drawing/2014/main" id="{00000000-0008-0000-6B00-000018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1557913" name="Check Box 25" hidden="1">
              <a:extLst>
                <a:ext uri="{63B3BB69-23CF-44E3-9099-C40C66FF867C}">
                  <a14:compatExt spid="_x0000_s11557913"/>
                </a:ext>
                <a:ext uri="{FF2B5EF4-FFF2-40B4-BE49-F238E27FC236}">
                  <a16:creationId xmlns:a16="http://schemas.microsoft.com/office/drawing/2014/main" id="{00000000-0008-0000-6B00-000019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1557914" name="Check Box 26" hidden="1">
              <a:extLst>
                <a:ext uri="{63B3BB69-23CF-44E3-9099-C40C66FF867C}">
                  <a14:compatExt spid="_x0000_s11557914"/>
                </a:ext>
                <a:ext uri="{FF2B5EF4-FFF2-40B4-BE49-F238E27FC236}">
                  <a16:creationId xmlns:a16="http://schemas.microsoft.com/office/drawing/2014/main" id="{00000000-0008-0000-6B00-00001A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1557915" name="Check Box 27" hidden="1">
              <a:extLst>
                <a:ext uri="{63B3BB69-23CF-44E3-9099-C40C66FF867C}">
                  <a14:compatExt spid="_x0000_s11557915"/>
                </a:ext>
                <a:ext uri="{FF2B5EF4-FFF2-40B4-BE49-F238E27FC236}">
                  <a16:creationId xmlns:a16="http://schemas.microsoft.com/office/drawing/2014/main" id="{00000000-0008-0000-6B00-00001B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1557916" name="Check Box 28" hidden="1">
              <a:extLst>
                <a:ext uri="{63B3BB69-23CF-44E3-9099-C40C66FF867C}">
                  <a14:compatExt spid="_x0000_s11557916"/>
                </a:ext>
                <a:ext uri="{FF2B5EF4-FFF2-40B4-BE49-F238E27FC236}">
                  <a16:creationId xmlns:a16="http://schemas.microsoft.com/office/drawing/2014/main" id="{00000000-0008-0000-6B00-00001C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1557917" name="Check Box 29" hidden="1">
              <a:extLst>
                <a:ext uri="{63B3BB69-23CF-44E3-9099-C40C66FF867C}">
                  <a14:compatExt spid="_x0000_s11557917"/>
                </a:ext>
                <a:ext uri="{FF2B5EF4-FFF2-40B4-BE49-F238E27FC236}">
                  <a16:creationId xmlns:a16="http://schemas.microsoft.com/office/drawing/2014/main" id="{00000000-0008-0000-6B00-00001D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1557918" name="Check Box 30" hidden="1">
              <a:extLst>
                <a:ext uri="{63B3BB69-23CF-44E3-9099-C40C66FF867C}">
                  <a14:compatExt spid="_x0000_s11557918"/>
                </a:ext>
                <a:ext uri="{FF2B5EF4-FFF2-40B4-BE49-F238E27FC236}">
                  <a16:creationId xmlns:a16="http://schemas.microsoft.com/office/drawing/2014/main" id="{00000000-0008-0000-6B00-00001E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1557919" name="Check Box 31" hidden="1">
              <a:extLst>
                <a:ext uri="{63B3BB69-23CF-44E3-9099-C40C66FF867C}">
                  <a14:compatExt spid="_x0000_s11557919"/>
                </a:ext>
                <a:ext uri="{FF2B5EF4-FFF2-40B4-BE49-F238E27FC236}">
                  <a16:creationId xmlns:a16="http://schemas.microsoft.com/office/drawing/2014/main" id="{00000000-0008-0000-6B00-00001F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1557920" name="Button 32" hidden="1">
              <a:extLst>
                <a:ext uri="{63B3BB69-23CF-44E3-9099-C40C66FF867C}">
                  <a14:compatExt spid="_x0000_s11557920"/>
                </a:ext>
                <a:ext uri="{FF2B5EF4-FFF2-40B4-BE49-F238E27FC236}">
                  <a16:creationId xmlns:a16="http://schemas.microsoft.com/office/drawing/2014/main" id="{00000000-0008-0000-6B00-000020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1557921" name="Button 33" hidden="1">
              <a:extLst>
                <a:ext uri="{63B3BB69-23CF-44E3-9099-C40C66FF867C}">
                  <a14:compatExt spid="_x0000_s11557921"/>
                </a:ext>
                <a:ext uri="{FF2B5EF4-FFF2-40B4-BE49-F238E27FC236}">
                  <a16:creationId xmlns:a16="http://schemas.microsoft.com/office/drawing/2014/main" id="{00000000-0008-0000-6B00-0000215CB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1557922" name="Check Box 34" hidden="1">
              <a:extLst>
                <a:ext uri="{63B3BB69-23CF-44E3-9099-C40C66FF867C}">
                  <a14:compatExt spid="_x0000_s11557922"/>
                </a:ext>
                <a:ext uri="{FF2B5EF4-FFF2-40B4-BE49-F238E27FC236}">
                  <a16:creationId xmlns:a16="http://schemas.microsoft.com/office/drawing/2014/main" id="{00000000-0008-0000-6B00-000022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1557923" name="Check Box 35" hidden="1">
              <a:extLst>
                <a:ext uri="{63B3BB69-23CF-44E3-9099-C40C66FF867C}">
                  <a14:compatExt spid="_x0000_s11557923"/>
                </a:ext>
                <a:ext uri="{FF2B5EF4-FFF2-40B4-BE49-F238E27FC236}">
                  <a16:creationId xmlns:a16="http://schemas.microsoft.com/office/drawing/2014/main" id="{00000000-0008-0000-6B00-000023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1557924" name="Check Box 36" hidden="1">
              <a:extLst>
                <a:ext uri="{63B3BB69-23CF-44E3-9099-C40C66FF867C}">
                  <a14:compatExt spid="_x0000_s11557924"/>
                </a:ext>
                <a:ext uri="{FF2B5EF4-FFF2-40B4-BE49-F238E27FC236}">
                  <a16:creationId xmlns:a16="http://schemas.microsoft.com/office/drawing/2014/main" id="{00000000-0008-0000-6B00-000024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1557925" name="Check Box 37" hidden="1">
              <a:extLst>
                <a:ext uri="{63B3BB69-23CF-44E3-9099-C40C66FF867C}">
                  <a14:compatExt spid="_x0000_s11557925"/>
                </a:ext>
                <a:ext uri="{FF2B5EF4-FFF2-40B4-BE49-F238E27FC236}">
                  <a16:creationId xmlns:a16="http://schemas.microsoft.com/office/drawing/2014/main" id="{00000000-0008-0000-6B00-0000255CB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0" i="0" u="none" strike="noStrike" baseline="0">
              <a:solidFill>
                <a:schemeClr val="accent4"/>
              </a:solidFill>
              <a:latin typeface="+mn-lt"/>
              <a:ea typeface="+mn-ea"/>
              <a:cs typeface="+mn-cs"/>
            </a:rPr>
            <a:t>1. See restriction on POS - provide confirmation from council if the proposed works are going to exceed</a:t>
          </a:r>
        </a:p>
        <a:p>
          <a:r>
            <a:rPr lang="en-AU" sz="800" b="0" i="0" u="none" strike="noStrike" baseline="0">
              <a:solidFill>
                <a:schemeClr val="accent4"/>
              </a:solidFill>
              <a:latin typeface="+mn-lt"/>
              <a:ea typeface="+mn-ea"/>
              <a:cs typeface="+mn-cs"/>
            </a:rPr>
            <a:t>the stormwater allowance as noted in the restriction - this is something we can not determine.</a:t>
          </a:r>
        </a:p>
        <a:p>
          <a:r>
            <a:rPr lang="en-AU" sz="800" b="1" i="0" u="none" strike="noStrike" baseline="0">
              <a:solidFill>
                <a:schemeClr val="dk1"/>
              </a:solidFill>
              <a:latin typeface="+mn-lt"/>
              <a:ea typeface="+mn-ea"/>
              <a:cs typeface="+mn-cs"/>
            </a:rPr>
            <a:t>RFI Checklist</a:t>
          </a:r>
        </a:p>
        <a:p>
          <a:r>
            <a:rPr lang="en-AU" sz="800" b="0" i="0" u="none" strike="noStrike" baseline="0">
              <a:solidFill>
                <a:schemeClr val="dk1"/>
              </a:solidFill>
              <a:latin typeface="+mn-lt"/>
              <a:ea typeface="+mn-ea"/>
              <a:cs typeface="+mn-cs"/>
            </a:rPr>
            <a:t>2. Provide elevations for proposed works</a:t>
          </a:r>
        </a:p>
        <a:p>
          <a:r>
            <a:rPr lang="en-AU" sz="800" b="0" i="0" u="none" strike="noStrike" baseline="0">
              <a:solidFill>
                <a:schemeClr val="dk1"/>
              </a:solidFill>
              <a:latin typeface="+mn-lt"/>
              <a:ea typeface="+mn-ea"/>
              <a:cs typeface="+mn-cs"/>
            </a:rPr>
            <a:t>3. Provide engineering documents</a:t>
          </a:r>
        </a:p>
        <a:p>
          <a:r>
            <a:rPr lang="en-AU" sz="800" b="0" i="0" u="none" strike="noStrike" baseline="0">
              <a:solidFill>
                <a:schemeClr val="dk1"/>
              </a:solidFill>
              <a:latin typeface="+mn-lt"/>
              <a:ea typeface="+mn-ea"/>
              <a:cs typeface="+mn-cs"/>
            </a:rPr>
            <a:t>4. Provide engineers certificate of compliance reg 126</a:t>
          </a:r>
        </a:p>
        <a:p>
          <a:r>
            <a:rPr lang="en-AU" sz="800" b="0" i="0" u="none" strike="noStrike" baseline="0">
              <a:solidFill>
                <a:schemeClr val="accent4"/>
              </a:solidFill>
              <a:latin typeface="+mn-lt"/>
              <a:ea typeface="+mn-ea"/>
              <a:cs typeface="+mn-cs"/>
            </a:rPr>
            <a:t>5. Provide confirmation from Council Planning Dept indicating if planning approval is or is not required</a:t>
          </a:r>
        </a:p>
        <a:p>
          <a:r>
            <a:rPr lang="en-AU" sz="800" b="0" i="0" u="none" strike="noStrike" baseline="0">
              <a:solidFill>
                <a:schemeClr val="accent4"/>
              </a:solidFill>
              <a:latin typeface="+mn-lt"/>
              <a:ea typeface="+mn-ea"/>
              <a:cs typeface="+mn-cs"/>
            </a:rPr>
            <a:t>for the proposed works. (under the DDO it is not clear if planning is or is not required) secondary consent amendment because of DDO. </a:t>
          </a:r>
        </a:p>
        <a:p>
          <a:r>
            <a:rPr lang="en-AU" sz="800" b="0" i="0" u="none" strike="noStrike" baseline="0">
              <a:solidFill>
                <a:srgbClr val="00B050"/>
              </a:solidFill>
              <a:latin typeface="+mn-lt"/>
              <a:ea typeface="+mn-ea"/>
              <a:cs typeface="+mn-cs"/>
            </a:rPr>
            <a:t>6. Provide a detailed cost of works breakdown e.g.: kit cost, footings and concrete and labour cost.</a:t>
          </a:r>
        </a:p>
        <a:p>
          <a:r>
            <a:rPr lang="en-AU" sz="800" b="0" i="0" u="none" strike="noStrike" baseline="0">
              <a:solidFill>
                <a:schemeClr val="dk1"/>
              </a:solidFill>
              <a:latin typeface="+mn-lt"/>
              <a:ea typeface="+mn-ea"/>
              <a:cs typeface="+mn-cs"/>
            </a:rPr>
            <a:t>7. Invoice to follow, this will be required to be paid prior to the permit being issued.</a:t>
          </a:r>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0941441" name="Check Box 1" hidden="1">
              <a:extLst>
                <a:ext uri="{63B3BB69-23CF-44E3-9099-C40C66FF867C}">
                  <a14:compatExt spid="_x0000_s10941441"/>
                </a:ext>
                <a:ext uri="{FF2B5EF4-FFF2-40B4-BE49-F238E27FC236}">
                  <a16:creationId xmlns:a16="http://schemas.microsoft.com/office/drawing/2014/main" id="{00000000-0008-0000-6C00-000001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0941442" name="Check Box 2" hidden="1">
              <a:extLst>
                <a:ext uri="{63B3BB69-23CF-44E3-9099-C40C66FF867C}">
                  <a14:compatExt spid="_x0000_s10941442"/>
                </a:ext>
                <a:ext uri="{FF2B5EF4-FFF2-40B4-BE49-F238E27FC236}">
                  <a16:creationId xmlns:a16="http://schemas.microsoft.com/office/drawing/2014/main" id="{00000000-0008-0000-6C00-000002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0941443" name="Check Box 3" hidden="1">
              <a:extLst>
                <a:ext uri="{63B3BB69-23CF-44E3-9099-C40C66FF867C}">
                  <a14:compatExt spid="_x0000_s10941443"/>
                </a:ext>
                <a:ext uri="{FF2B5EF4-FFF2-40B4-BE49-F238E27FC236}">
                  <a16:creationId xmlns:a16="http://schemas.microsoft.com/office/drawing/2014/main" id="{00000000-0008-0000-6C00-000003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0941444" name="Check Box 4" hidden="1">
              <a:extLst>
                <a:ext uri="{63B3BB69-23CF-44E3-9099-C40C66FF867C}">
                  <a14:compatExt spid="_x0000_s10941444"/>
                </a:ext>
                <a:ext uri="{FF2B5EF4-FFF2-40B4-BE49-F238E27FC236}">
                  <a16:creationId xmlns:a16="http://schemas.microsoft.com/office/drawing/2014/main" id="{00000000-0008-0000-6C00-000004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0941445" name="Check Box 5" hidden="1">
              <a:extLst>
                <a:ext uri="{63B3BB69-23CF-44E3-9099-C40C66FF867C}">
                  <a14:compatExt spid="_x0000_s10941445"/>
                </a:ext>
                <a:ext uri="{FF2B5EF4-FFF2-40B4-BE49-F238E27FC236}">
                  <a16:creationId xmlns:a16="http://schemas.microsoft.com/office/drawing/2014/main" id="{00000000-0008-0000-6C00-000005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0941446" name="Check Box 6" hidden="1">
              <a:extLst>
                <a:ext uri="{63B3BB69-23CF-44E3-9099-C40C66FF867C}">
                  <a14:compatExt spid="_x0000_s10941446"/>
                </a:ext>
                <a:ext uri="{FF2B5EF4-FFF2-40B4-BE49-F238E27FC236}">
                  <a16:creationId xmlns:a16="http://schemas.microsoft.com/office/drawing/2014/main" id="{00000000-0008-0000-6C00-000006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0941447" name="Check Box 7" hidden="1">
              <a:extLst>
                <a:ext uri="{63B3BB69-23CF-44E3-9099-C40C66FF867C}">
                  <a14:compatExt spid="_x0000_s10941447"/>
                </a:ext>
                <a:ext uri="{FF2B5EF4-FFF2-40B4-BE49-F238E27FC236}">
                  <a16:creationId xmlns:a16="http://schemas.microsoft.com/office/drawing/2014/main" id="{00000000-0008-0000-6C00-000007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0941448" name="Button 8" hidden="1">
              <a:extLst>
                <a:ext uri="{63B3BB69-23CF-44E3-9099-C40C66FF867C}">
                  <a14:compatExt spid="_x0000_s10941448"/>
                </a:ext>
                <a:ext uri="{FF2B5EF4-FFF2-40B4-BE49-F238E27FC236}">
                  <a16:creationId xmlns:a16="http://schemas.microsoft.com/office/drawing/2014/main" id="{00000000-0008-0000-6C00-000008F4A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0941449" name="Button 9" hidden="1">
              <a:extLst>
                <a:ext uri="{63B3BB69-23CF-44E3-9099-C40C66FF867C}">
                  <a14:compatExt spid="_x0000_s10941449"/>
                </a:ext>
                <a:ext uri="{FF2B5EF4-FFF2-40B4-BE49-F238E27FC236}">
                  <a16:creationId xmlns:a16="http://schemas.microsoft.com/office/drawing/2014/main" id="{00000000-0008-0000-6C00-000009F4A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0941450" name="Check Box 10" hidden="1">
              <a:extLst>
                <a:ext uri="{63B3BB69-23CF-44E3-9099-C40C66FF867C}">
                  <a14:compatExt spid="_x0000_s10941450"/>
                </a:ext>
                <a:ext uri="{FF2B5EF4-FFF2-40B4-BE49-F238E27FC236}">
                  <a16:creationId xmlns:a16="http://schemas.microsoft.com/office/drawing/2014/main" id="{00000000-0008-0000-6C00-00000A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0941451" name="Button 11" hidden="1">
              <a:extLst>
                <a:ext uri="{63B3BB69-23CF-44E3-9099-C40C66FF867C}">
                  <a14:compatExt spid="_x0000_s10941451"/>
                </a:ext>
                <a:ext uri="{FF2B5EF4-FFF2-40B4-BE49-F238E27FC236}">
                  <a16:creationId xmlns:a16="http://schemas.microsoft.com/office/drawing/2014/main" id="{00000000-0008-0000-6C00-00000B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0941452" name="Button 12" hidden="1">
              <a:extLst>
                <a:ext uri="{63B3BB69-23CF-44E3-9099-C40C66FF867C}">
                  <a14:compatExt spid="_x0000_s10941452"/>
                </a:ext>
                <a:ext uri="{FF2B5EF4-FFF2-40B4-BE49-F238E27FC236}">
                  <a16:creationId xmlns:a16="http://schemas.microsoft.com/office/drawing/2014/main" id="{00000000-0008-0000-6C00-00000C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0941453" name="Button 13" hidden="1">
              <a:extLst>
                <a:ext uri="{63B3BB69-23CF-44E3-9099-C40C66FF867C}">
                  <a14:compatExt spid="_x0000_s10941453"/>
                </a:ext>
                <a:ext uri="{FF2B5EF4-FFF2-40B4-BE49-F238E27FC236}">
                  <a16:creationId xmlns:a16="http://schemas.microsoft.com/office/drawing/2014/main" id="{00000000-0008-0000-6C00-00000D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0941454" name="Button 14" hidden="1">
              <a:extLst>
                <a:ext uri="{63B3BB69-23CF-44E3-9099-C40C66FF867C}">
                  <a14:compatExt spid="_x0000_s10941454"/>
                </a:ext>
                <a:ext uri="{FF2B5EF4-FFF2-40B4-BE49-F238E27FC236}">
                  <a16:creationId xmlns:a16="http://schemas.microsoft.com/office/drawing/2014/main" id="{00000000-0008-0000-6C00-00000E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0941455" name="Check Box 15" hidden="1">
              <a:extLst>
                <a:ext uri="{63B3BB69-23CF-44E3-9099-C40C66FF867C}">
                  <a14:compatExt spid="_x0000_s10941455"/>
                </a:ext>
                <a:ext uri="{FF2B5EF4-FFF2-40B4-BE49-F238E27FC236}">
                  <a16:creationId xmlns:a16="http://schemas.microsoft.com/office/drawing/2014/main" id="{00000000-0008-0000-6C00-00000F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0941456" name="Check Box 16" hidden="1">
              <a:extLst>
                <a:ext uri="{63B3BB69-23CF-44E3-9099-C40C66FF867C}">
                  <a14:compatExt spid="_x0000_s10941456"/>
                </a:ext>
                <a:ext uri="{FF2B5EF4-FFF2-40B4-BE49-F238E27FC236}">
                  <a16:creationId xmlns:a16="http://schemas.microsoft.com/office/drawing/2014/main" id="{00000000-0008-0000-6C00-000010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0941457" name="Check Box 17" hidden="1">
              <a:extLst>
                <a:ext uri="{63B3BB69-23CF-44E3-9099-C40C66FF867C}">
                  <a14:compatExt spid="_x0000_s10941457"/>
                </a:ext>
                <a:ext uri="{FF2B5EF4-FFF2-40B4-BE49-F238E27FC236}">
                  <a16:creationId xmlns:a16="http://schemas.microsoft.com/office/drawing/2014/main" id="{00000000-0008-0000-6C00-000011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0941458" name="Check Box 18" hidden="1">
              <a:extLst>
                <a:ext uri="{63B3BB69-23CF-44E3-9099-C40C66FF867C}">
                  <a14:compatExt spid="_x0000_s10941458"/>
                </a:ext>
                <a:ext uri="{FF2B5EF4-FFF2-40B4-BE49-F238E27FC236}">
                  <a16:creationId xmlns:a16="http://schemas.microsoft.com/office/drawing/2014/main" id="{00000000-0008-0000-6C00-000012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0941459" name="Check Box 19" hidden="1">
              <a:extLst>
                <a:ext uri="{63B3BB69-23CF-44E3-9099-C40C66FF867C}">
                  <a14:compatExt spid="_x0000_s10941459"/>
                </a:ext>
                <a:ext uri="{FF2B5EF4-FFF2-40B4-BE49-F238E27FC236}">
                  <a16:creationId xmlns:a16="http://schemas.microsoft.com/office/drawing/2014/main" id="{00000000-0008-0000-6C00-000013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0941460" name="Check Box 20" hidden="1">
              <a:extLst>
                <a:ext uri="{63B3BB69-23CF-44E3-9099-C40C66FF867C}">
                  <a14:compatExt spid="_x0000_s10941460"/>
                </a:ext>
                <a:ext uri="{FF2B5EF4-FFF2-40B4-BE49-F238E27FC236}">
                  <a16:creationId xmlns:a16="http://schemas.microsoft.com/office/drawing/2014/main" id="{00000000-0008-0000-6C00-000014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0941461" name="Check Box 21" hidden="1">
              <a:extLst>
                <a:ext uri="{63B3BB69-23CF-44E3-9099-C40C66FF867C}">
                  <a14:compatExt spid="_x0000_s10941461"/>
                </a:ext>
                <a:ext uri="{FF2B5EF4-FFF2-40B4-BE49-F238E27FC236}">
                  <a16:creationId xmlns:a16="http://schemas.microsoft.com/office/drawing/2014/main" id="{00000000-0008-0000-6C00-000015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0941462" name="Check Box 22" hidden="1">
              <a:extLst>
                <a:ext uri="{63B3BB69-23CF-44E3-9099-C40C66FF867C}">
                  <a14:compatExt spid="_x0000_s10941462"/>
                </a:ext>
                <a:ext uri="{FF2B5EF4-FFF2-40B4-BE49-F238E27FC236}">
                  <a16:creationId xmlns:a16="http://schemas.microsoft.com/office/drawing/2014/main" id="{00000000-0008-0000-6C00-000016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0941463" name="Check Box 23" hidden="1">
              <a:extLst>
                <a:ext uri="{63B3BB69-23CF-44E3-9099-C40C66FF867C}">
                  <a14:compatExt spid="_x0000_s10941463"/>
                </a:ext>
                <a:ext uri="{FF2B5EF4-FFF2-40B4-BE49-F238E27FC236}">
                  <a16:creationId xmlns:a16="http://schemas.microsoft.com/office/drawing/2014/main" id="{00000000-0008-0000-6C00-000017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0941464" name="Check Box 24" hidden="1">
              <a:extLst>
                <a:ext uri="{63B3BB69-23CF-44E3-9099-C40C66FF867C}">
                  <a14:compatExt spid="_x0000_s10941464"/>
                </a:ext>
                <a:ext uri="{FF2B5EF4-FFF2-40B4-BE49-F238E27FC236}">
                  <a16:creationId xmlns:a16="http://schemas.microsoft.com/office/drawing/2014/main" id="{00000000-0008-0000-6C00-000018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0941465" name="Check Box 25" hidden="1">
              <a:extLst>
                <a:ext uri="{63B3BB69-23CF-44E3-9099-C40C66FF867C}">
                  <a14:compatExt spid="_x0000_s10941465"/>
                </a:ext>
                <a:ext uri="{FF2B5EF4-FFF2-40B4-BE49-F238E27FC236}">
                  <a16:creationId xmlns:a16="http://schemas.microsoft.com/office/drawing/2014/main" id="{00000000-0008-0000-6C00-000019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0941466" name="Check Box 26" hidden="1">
              <a:extLst>
                <a:ext uri="{63B3BB69-23CF-44E3-9099-C40C66FF867C}">
                  <a14:compatExt spid="_x0000_s10941466"/>
                </a:ext>
                <a:ext uri="{FF2B5EF4-FFF2-40B4-BE49-F238E27FC236}">
                  <a16:creationId xmlns:a16="http://schemas.microsoft.com/office/drawing/2014/main" id="{00000000-0008-0000-6C00-00001A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0941467" name="Check Box 27" hidden="1">
              <a:extLst>
                <a:ext uri="{63B3BB69-23CF-44E3-9099-C40C66FF867C}">
                  <a14:compatExt spid="_x0000_s10941467"/>
                </a:ext>
                <a:ext uri="{FF2B5EF4-FFF2-40B4-BE49-F238E27FC236}">
                  <a16:creationId xmlns:a16="http://schemas.microsoft.com/office/drawing/2014/main" id="{00000000-0008-0000-6C00-00001B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10941468" name="Check Box 28" hidden="1">
              <a:extLst>
                <a:ext uri="{63B3BB69-23CF-44E3-9099-C40C66FF867C}">
                  <a14:compatExt spid="_x0000_s10941468"/>
                </a:ext>
                <a:ext uri="{FF2B5EF4-FFF2-40B4-BE49-F238E27FC236}">
                  <a16:creationId xmlns:a16="http://schemas.microsoft.com/office/drawing/2014/main" id="{00000000-0008-0000-6C00-00001C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10941469" name="Check Box 29" hidden="1">
              <a:extLst>
                <a:ext uri="{63B3BB69-23CF-44E3-9099-C40C66FF867C}">
                  <a14:compatExt spid="_x0000_s10941469"/>
                </a:ext>
                <a:ext uri="{FF2B5EF4-FFF2-40B4-BE49-F238E27FC236}">
                  <a16:creationId xmlns:a16="http://schemas.microsoft.com/office/drawing/2014/main" id="{00000000-0008-0000-6C00-00001D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10941470" name="Check Box 30" hidden="1">
              <a:extLst>
                <a:ext uri="{63B3BB69-23CF-44E3-9099-C40C66FF867C}">
                  <a14:compatExt spid="_x0000_s10941470"/>
                </a:ext>
                <a:ext uri="{FF2B5EF4-FFF2-40B4-BE49-F238E27FC236}">
                  <a16:creationId xmlns:a16="http://schemas.microsoft.com/office/drawing/2014/main" id="{00000000-0008-0000-6C00-00001E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10941471" name="Check Box 31" hidden="1">
              <a:extLst>
                <a:ext uri="{63B3BB69-23CF-44E3-9099-C40C66FF867C}">
                  <a14:compatExt spid="_x0000_s10941471"/>
                </a:ext>
                <a:ext uri="{FF2B5EF4-FFF2-40B4-BE49-F238E27FC236}">
                  <a16:creationId xmlns:a16="http://schemas.microsoft.com/office/drawing/2014/main" id="{00000000-0008-0000-6C00-00001F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0941472" name="Button 32" hidden="1">
              <a:extLst>
                <a:ext uri="{63B3BB69-23CF-44E3-9099-C40C66FF867C}">
                  <a14:compatExt spid="_x0000_s10941472"/>
                </a:ext>
                <a:ext uri="{FF2B5EF4-FFF2-40B4-BE49-F238E27FC236}">
                  <a16:creationId xmlns:a16="http://schemas.microsoft.com/office/drawing/2014/main" id="{00000000-0008-0000-6C00-000020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0941473" name="Button 33" hidden="1">
              <a:extLst>
                <a:ext uri="{63B3BB69-23CF-44E3-9099-C40C66FF867C}">
                  <a14:compatExt spid="_x0000_s10941473"/>
                </a:ext>
                <a:ext uri="{FF2B5EF4-FFF2-40B4-BE49-F238E27FC236}">
                  <a16:creationId xmlns:a16="http://schemas.microsoft.com/office/drawing/2014/main" id="{00000000-0008-0000-6C00-000021F4A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10941474" name="Check Box 34" hidden="1">
              <a:extLst>
                <a:ext uri="{63B3BB69-23CF-44E3-9099-C40C66FF867C}">
                  <a14:compatExt spid="_x0000_s10941474"/>
                </a:ext>
                <a:ext uri="{FF2B5EF4-FFF2-40B4-BE49-F238E27FC236}">
                  <a16:creationId xmlns:a16="http://schemas.microsoft.com/office/drawing/2014/main" id="{00000000-0008-0000-6C00-000022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10941475" name="Check Box 35" hidden="1">
              <a:extLst>
                <a:ext uri="{63B3BB69-23CF-44E3-9099-C40C66FF867C}">
                  <a14:compatExt spid="_x0000_s10941475"/>
                </a:ext>
                <a:ext uri="{FF2B5EF4-FFF2-40B4-BE49-F238E27FC236}">
                  <a16:creationId xmlns:a16="http://schemas.microsoft.com/office/drawing/2014/main" id="{00000000-0008-0000-6C00-000023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10941476" name="Check Box 36" hidden="1">
              <a:extLst>
                <a:ext uri="{63B3BB69-23CF-44E3-9099-C40C66FF867C}">
                  <a14:compatExt spid="_x0000_s10941476"/>
                </a:ext>
                <a:ext uri="{FF2B5EF4-FFF2-40B4-BE49-F238E27FC236}">
                  <a16:creationId xmlns:a16="http://schemas.microsoft.com/office/drawing/2014/main" id="{00000000-0008-0000-6C00-000024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10941477" name="Check Box 37" hidden="1">
              <a:extLst>
                <a:ext uri="{63B3BB69-23CF-44E3-9099-C40C66FF867C}">
                  <a14:compatExt spid="_x0000_s10941477"/>
                </a:ext>
                <a:ext uri="{FF2B5EF4-FFF2-40B4-BE49-F238E27FC236}">
                  <a16:creationId xmlns:a16="http://schemas.microsoft.com/office/drawing/2014/main" id="{00000000-0008-0000-6C00-000025F4A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0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9437185" name="Check Box 1" hidden="1">
              <a:extLst>
                <a:ext uri="{63B3BB69-23CF-44E3-9099-C40C66FF867C}">
                  <a14:compatExt spid="_x0000_s9437185"/>
                </a:ext>
                <a:ext uri="{FF2B5EF4-FFF2-40B4-BE49-F238E27FC236}">
                  <a16:creationId xmlns:a16="http://schemas.microsoft.com/office/drawing/2014/main" id="{00000000-0008-0000-6D00-000001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9437186" name="Check Box 2" hidden="1">
              <a:extLst>
                <a:ext uri="{63B3BB69-23CF-44E3-9099-C40C66FF867C}">
                  <a14:compatExt spid="_x0000_s9437186"/>
                </a:ext>
                <a:ext uri="{FF2B5EF4-FFF2-40B4-BE49-F238E27FC236}">
                  <a16:creationId xmlns:a16="http://schemas.microsoft.com/office/drawing/2014/main" id="{00000000-0008-0000-6D00-000002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437187" name="Check Box 3" hidden="1">
              <a:extLst>
                <a:ext uri="{63B3BB69-23CF-44E3-9099-C40C66FF867C}">
                  <a14:compatExt spid="_x0000_s9437187"/>
                </a:ext>
                <a:ext uri="{FF2B5EF4-FFF2-40B4-BE49-F238E27FC236}">
                  <a16:creationId xmlns:a16="http://schemas.microsoft.com/office/drawing/2014/main" id="{00000000-0008-0000-6D00-000003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437188" name="Check Box 4" hidden="1">
              <a:extLst>
                <a:ext uri="{63B3BB69-23CF-44E3-9099-C40C66FF867C}">
                  <a14:compatExt spid="_x0000_s9437188"/>
                </a:ext>
                <a:ext uri="{FF2B5EF4-FFF2-40B4-BE49-F238E27FC236}">
                  <a16:creationId xmlns:a16="http://schemas.microsoft.com/office/drawing/2014/main" id="{00000000-0008-0000-6D00-000004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437189" name="Check Box 5" hidden="1">
              <a:extLst>
                <a:ext uri="{63B3BB69-23CF-44E3-9099-C40C66FF867C}">
                  <a14:compatExt spid="_x0000_s9437189"/>
                </a:ext>
                <a:ext uri="{FF2B5EF4-FFF2-40B4-BE49-F238E27FC236}">
                  <a16:creationId xmlns:a16="http://schemas.microsoft.com/office/drawing/2014/main" id="{00000000-0008-0000-6D00-000005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437190" name="Check Box 6" hidden="1">
              <a:extLst>
                <a:ext uri="{63B3BB69-23CF-44E3-9099-C40C66FF867C}">
                  <a14:compatExt spid="_x0000_s9437190"/>
                </a:ext>
                <a:ext uri="{FF2B5EF4-FFF2-40B4-BE49-F238E27FC236}">
                  <a16:creationId xmlns:a16="http://schemas.microsoft.com/office/drawing/2014/main" id="{00000000-0008-0000-6D00-000006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437191" name="Check Box 7" hidden="1">
              <a:extLst>
                <a:ext uri="{63B3BB69-23CF-44E3-9099-C40C66FF867C}">
                  <a14:compatExt spid="_x0000_s9437191"/>
                </a:ext>
                <a:ext uri="{FF2B5EF4-FFF2-40B4-BE49-F238E27FC236}">
                  <a16:creationId xmlns:a16="http://schemas.microsoft.com/office/drawing/2014/main" id="{00000000-0008-0000-6D00-000007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9437192" name="Button 8" hidden="1">
              <a:extLst>
                <a:ext uri="{63B3BB69-23CF-44E3-9099-C40C66FF867C}">
                  <a14:compatExt spid="_x0000_s9437192"/>
                </a:ext>
                <a:ext uri="{FF2B5EF4-FFF2-40B4-BE49-F238E27FC236}">
                  <a16:creationId xmlns:a16="http://schemas.microsoft.com/office/drawing/2014/main" id="{00000000-0008-0000-6D00-000008009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9437193" name="Button 9" hidden="1">
              <a:extLst>
                <a:ext uri="{63B3BB69-23CF-44E3-9099-C40C66FF867C}">
                  <a14:compatExt spid="_x0000_s9437193"/>
                </a:ext>
                <a:ext uri="{FF2B5EF4-FFF2-40B4-BE49-F238E27FC236}">
                  <a16:creationId xmlns:a16="http://schemas.microsoft.com/office/drawing/2014/main" id="{00000000-0008-0000-6D00-000009009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9437194" name="Check Box 10" hidden="1">
              <a:extLst>
                <a:ext uri="{63B3BB69-23CF-44E3-9099-C40C66FF867C}">
                  <a14:compatExt spid="_x0000_s9437194"/>
                </a:ext>
                <a:ext uri="{FF2B5EF4-FFF2-40B4-BE49-F238E27FC236}">
                  <a16:creationId xmlns:a16="http://schemas.microsoft.com/office/drawing/2014/main" id="{00000000-0008-0000-6D00-00000A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9437195" name="Button 11" hidden="1">
              <a:extLst>
                <a:ext uri="{63B3BB69-23CF-44E3-9099-C40C66FF867C}">
                  <a14:compatExt spid="_x0000_s9437195"/>
                </a:ext>
                <a:ext uri="{FF2B5EF4-FFF2-40B4-BE49-F238E27FC236}">
                  <a16:creationId xmlns:a16="http://schemas.microsoft.com/office/drawing/2014/main" id="{00000000-0008-0000-6D00-00000B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9437196" name="Button 12" hidden="1">
              <a:extLst>
                <a:ext uri="{63B3BB69-23CF-44E3-9099-C40C66FF867C}">
                  <a14:compatExt spid="_x0000_s9437196"/>
                </a:ext>
                <a:ext uri="{FF2B5EF4-FFF2-40B4-BE49-F238E27FC236}">
                  <a16:creationId xmlns:a16="http://schemas.microsoft.com/office/drawing/2014/main" id="{00000000-0008-0000-6D00-00000C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9437197" name="Button 13" hidden="1">
              <a:extLst>
                <a:ext uri="{63B3BB69-23CF-44E3-9099-C40C66FF867C}">
                  <a14:compatExt spid="_x0000_s9437197"/>
                </a:ext>
                <a:ext uri="{FF2B5EF4-FFF2-40B4-BE49-F238E27FC236}">
                  <a16:creationId xmlns:a16="http://schemas.microsoft.com/office/drawing/2014/main" id="{00000000-0008-0000-6D00-00000D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437198" name="Button 14" hidden="1">
              <a:extLst>
                <a:ext uri="{63B3BB69-23CF-44E3-9099-C40C66FF867C}">
                  <a14:compatExt spid="_x0000_s9437198"/>
                </a:ext>
                <a:ext uri="{FF2B5EF4-FFF2-40B4-BE49-F238E27FC236}">
                  <a16:creationId xmlns:a16="http://schemas.microsoft.com/office/drawing/2014/main" id="{00000000-0008-0000-6D00-00000E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9437199" name="Check Box 15" hidden="1">
              <a:extLst>
                <a:ext uri="{63B3BB69-23CF-44E3-9099-C40C66FF867C}">
                  <a14:compatExt spid="_x0000_s9437199"/>
                </a:ext>
                <a:ext uri="{FF2B5EF4-FFF2-40B4-BE49-F238E27FC236}">
                  <a16:creationId xmlns:a16="http://schemas.microsoft.com/office/drawing/2014/main" id="{00000000-0008-0000-6D00-00000F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9437200" name="Check Box 16" hidden="1">
              <a:extLst>
                <a:ext uri="{63B3BB69-23CF-44E3-9099-C40C66FF867C}">
                  <a14:compatExt spid="_x0000_s9437200"/>
                </a:ext>
                <a:ext uri="{FF2B5EF4-FFF2-40B4-BE49-F238E27FC236}">
                  <a16:creationId xmlns:a16="http://schemas.microsoft.com/office/drawing/2014/main" id="{00000000-0008-0000-6D00-000010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437201" name="Check Box 17" hidden="1">
              <a:extLst>
                <a:ext uri="{63B3BB69-23CF-44E3-9099-C40C66FF867C}">
                  <a14:compatExt spid="_x0000_s9437201"/>
                </a:ext>
                <a:ext uri="{FF2B5EF4-FFF2-40B4-BE49-F238E27FC236}">
                  <a16:creationId xmlns:a16="http://schemas.microsoft.com/office/drawing/2014/main" id="{00000000-0008-0000-6D00-000011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437202" name="Check Box 18" hidden="1">
              <a:extLst>
                <a:ext uri="{63B3BB69-23CF-44E3-9099-C40C66FF867C}">
                  <a14:compatExt spid="_x0000_s9437202"/>
                </a:ext>
                <a:ext uri="{FF2B5EF4-FFF2-40B4-BE49-F238E27FC236}">
                  <a16:creationId xmlns:a16="http://schemas.microsoft.com/office/drawing/2014/main" id="{00000000-0008-0000-6D00-000012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437203" name="Check Box 19" hidden="1">
              <a:extLst>
                <a:ext uri="{63B3BB69-23CF-44E3-9099-C40C66FF867C}">
                  <a14:compatExt spid="_x0000_s9437203"/>
                </a:ext>
                <a:ext uri="{FF2B5EF4-FFF2-40B4-BE49-F238E27FC236}">
                  <a16:creationId xmlns:a16="http://schemas.microsoft.com/office/drawing/2014/main" id="{00000000-0008-0000-6D00-000013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9437204" name="Check Box 20" hidden="1">
              <a:extLst>
                <a:ext uri="{63B3BB69-23CF-44E3-9099-C40C66FF867C}">
                  <a14:compatExt spid="_x0000_s9437204"/>
                </a:ext>
                <a:ext uri="{FF2B5EF4-FFF2-40B4-BE49-F238E27FC236}">
                  <a16:creationId xmlns:a16="http://schemas.microsoft.com/office/drawing/2014/main" id="{00000000-0008-0000-6D00-000014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437205" name="Check Box 21" hidden="1">
              <a:extLst>
                <a:ext uri="{63B3BB69-23CF-44E3-9099-C40C66FF867C}">
                  <a14:compatExt spid="_x0000_s9437205"/>
                </a:ext>
                <a:ext uri="{FF2B5EF4-FFF2-40B4-BE49-F238E27FC236}">
                  <a16:creationId xmlns:a16="http://schemas.microsoft.com/office/drawing/2014/main" id="{00000000-0008-0000-6D00-000015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437206" name="Check Box 22" hidden="1">
              <a:extLst>
                <a:ext uri="{63B3BB69-23CF-44E3-9099-C40C66FF867C}">
                  <a14:compatExt spid="_x0000_s9437206"/>
                </a:ext>
                <a:ext uri="{FF2B5EF4-FFF2-40B4-BE49-F238E27FC236}">
                  <a16:creationId xmlns:a16="http://schemas.microsoft.com/office/drawing/2014/main" id="{00000000-0008-0000-6D00-000016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9437207" name="Check Box 23" hidden="1">
              <a:extLst>
                <a:ext uri="{63B3BB69-23CF-44E3-9099-C40C66FF867C}">
                  <a14:compatExt spid="_x0000_s9437207"/>
                </a:ext>
                <a:ext uri="{FF2B5EF4-FFF2-40B4-BE49-F238E27FC236}">
                  <a16:creationId xmlns:a16="http://schemas.microsoft.com/office/drawing/2014/main" id="{00000000-0008-0000-6D00-000017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437208" name="Check Box 24" hidden="1">
              <a:extLst>
                <a:ext uri="{63B3BB69-23CF-44E3-9099-C40C66FF867C}">
                  <a14:compatExt spid="_x0000_s9437208"/>
                </a:ext>
                <a:ext uri="{FF2B5EF4-FFF2-40B4-BE49-F238E27FC236}">
                  <a16:creationId xmlns:a16="http://schemas.microsoft.com/office/drawing/2014/main" id="{00000000-0008-0000-6D00-000018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437209" name="Check Box 25" hidden="1">
              <a:extLst>
                <a:ext uri="{63B3BB69-23CF-44E3-9099-C40C66FF867C}">
                  <a14:compatExt spid="_x0000_s9437209"/>
                </a:ext>
                <a:ext uri="{FF2B5EF4-FFF2-40B4-BE49-F238E27FC236}">
                  <a16:creationId xmlns:a16="http://schemas.microsoft.com/office/drawing/2014/main" id="{00000000-0008-0000-6D00-000019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437210" name="Check Box 26" hidden="1">
              <a:extLst>
                <a:ext uri="{63B3BB69-23CF-44E3-9099-C40C66FF867C}">
                  <a14:compatExt spid="_x0000_s9437210"/>
                </a:ext>
                <a:ext uri="{FF2B5EF4-FFF2-40B4-BE49-F238E27FC236}">
                  <a16:creationId xmlns:a16="http://schemas.microsoft.com/office/drawing/2014/main" id="{00000000-0008-0000-6D00-00001A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9437211" name="Check Box 27" hidden="1">
              <a:extLst>
                <a:ext uri="{63B3BB69-23CF-44E3-9099-C40C66FF867C}">
                  <a14:compatExt spid="_x0000_s9437211"/>
                </a:ext>
                <a:ext uri="{FF2B5EF4-FFF2-40B4-BE49-F238E27FC236}">
                  <a16:creationId xmlns:a16="http://schemas.microsoft.com/office/drawing/2014/main" id="{00000000-0008-0000-6D00-00001B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9437212" name="Check Box 28" hidden="1">
              <a:extLst>
                <a:ext uri="{63B3BB69-23CF-44E3-9099-C40C66FF867C}">
                  <a14:compatExt spid="_x0000_s9437212"/>
                </a:ext>
                <a:ext uri="{FF2B5EF4-FFF2-40B4-BE49-F238E27FC236}">
                  <a16:creationId xmlns:a16="http://schemas.microsoft.com/office/drawing/2014/main" id="{00000000-0008-0000-6D00-00001C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7213" name="Check Box 29" hidden="1">
              <a:extLst>
                <a:ext uri="{63B3BB69-23CF-44E3-9099-C40C66FF867C}">
                  <a14:compatExt spid="_x0000_s9437213"/>
                </a:ext>
                <a:ext uri="{FF2B5EF4-FFF2-40B4-BE49-F238E27FC236}">
                  <a16:creationId xmlns:a16="http://schemas.microsoft.com/office/drawing/2014/main" id="{00000000-0008-0000-6D00-00001D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437214" name="Check Box 30" hidden="1">
              <a:extLst>
                <a:ext uri="{63B3BB69-23CF-44E3-9099-C40C66FF867C}">
                  <a14:compatExt spid="_x0000_s9437214"/>
                </a:ext>
                <a:ext uri="{FF2B5EF4-FFF2-40B4-BE49-F238E27FC236}">
                  <a16:creationId xmlns:a16="http://schemas.microsoft.com/office/drawing/2014/main" id="{00000000-0008-0000-6D00-00001E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9437215" name="Check Box 31" hidden="1">
              <a:extLst>
                <a:ext uri="{63B3BB69-23CF-44E3-9099-C40C66FF867C}">
                  <a14:compatExt spid="_x0000_s9437215"/>
                </a:ext>
                <a:ext uri="{FF2B5EF4-FFF2-40B4-BE49-F238E27FC236}">
                  <a16:creationId xmlns:a16="http://schemas.microsoft.com/office/drawing/2014/main" id="{00000000-0008-0000-6D00-00001F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9437216" name="Button 32" hidden="1">
              <a:extLst>
                <a:ext uri="{63B3BB69-23CF-44E3-9099-C40C66FF867C}">
                  <a14:compatExt spid="_x0000_s9437216"/>
                </a:ext>
                <a:ext uri="{FF2B5EF4-FFF2-40B4-BE49-F238E27FC236}">
                  <a16:creationId xmlns:a16="http://schemas.microsoft.com/office/drawing/2014/main" id="{00000000-0008-0000-6D00-000020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9437217" name="Button 33" hidden="1">
              <a:extLst>
                <a:ext uri="{63B3BB69-23CF-44E3-9099-C40C66FF867C}">
                  <a14:compatExt spid="_x0000_s9437217"/>
                </a:ext>
                <a:ext uri="{FF2B5EF4-FFF2-40B4-BE49-F238E27FC236}">
                  <a16:creationId xmlns:a16="http://schemas.microsoft.com/office/drawing/2014/main" id="{00000000-0008-0000-6D00-000021009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9437218" name="Check Box 34" hidden="1">
              <a:extLst>
                <a:ext uri="{63B3BB69-23CF-44E3-9099-C40C66FF867C}">
                  <a14:compatExt spid="_x0000_s9437218"/>
                </a:ext>
                <a:ext uri="{FF2B5EF4-FFF2-40B4-BE49-F238E27FC236}">
                  <a16:creationId xmlns:a16="http://schemas.microsoft.com/office/drawing/2014/main" id="{00000000-0008-0000-6D00-000022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7219" name="Check Box 35" hidden="1">
              <a:extLst>
                <a:ext uri="{63B3BB69-23CF-44E3-9099-C40C66FF867C}">
                  <a14:compatExt spid="_x0000_s9437219"/>
                </a:ext>
                <a:ext uri="{FF2B5EF4-FFF2-40B4-BE49-F238E27FC236}">
                  <a16:creationId xmlns:a16="http://schemas.microsoft.com/office/drawing/2014/main" id="{00000000-0008-0000-6D00-000023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9437220" name="Check Box 36" hidden="1">
              <a:extLst>
                <a:ext uri="{63B3BB69-23CF-44E3-9099-C40C66FF867C}">
                  <a14:compatExt spid="_x0000_s9437220"/>
                </a:ext>
                <a:ext uri="{FF2B5EF4-FFF2-40B4-BE49-F238E27FC236}">
                  <a16:creationId xmlns:a16="http://schemas.microsoft.com/office/drawing/2014/main" id="{00000000-0008-0000-6D00-000024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9437221" name="Check Box 37" hidden="1">
              <a:extLst>
                <a:ext uri="{63B3BB69-23CF-44E3-9099-C40C66FF867C}">
                  <a14:compatExt spid="_x0000_s9437221"/>
                </a:ext>
                <a:ext uri="{FF2B5EF4-FFF2-40B4-BE49-F238E27FC236}">
                  <a16:creationId xmlns:a16="http://schemas.microsoft.com/office/drawing/2014/main" id="{00000000-0008-0000-6D00-000025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7222" name="Check Box 38" hidden="1">
              <a:extLst>
                <a:ext uri="{63B3BB69-23CF-44E3-9099-C40C66FF867C}">
                  <a14:compatExt spid="_x0000_s9437222"/>
                </a:ext>
                <a:ext uri="{FF2B5EF4-FFF2-40B4-BE49-F238E27FC236}">
                  <a16:creationId xmlns:a16="http://schemas.microsoft.com/office/drawing/2014/main" id="{00000000-0008-0000-6D00-000026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7223" name="Check Box 39" hidden="1">
              <a:extLst>
                <a:ext uri="{63B3BB69-23CF-44E3-9099-C40C66FF867C}">
                  <a14:compatExt spid="_x0000_s9437223"/>
                </a:ext>
                <a:ext uri="{FF2B5EF4-FFF2-40B4-BE49-F238E27FC236}">
                  <a16:creationId xmlns:a16="http://schemas.microsoft.com/office/drawing/2014/main" id="{00000000-0008-0000-6D00-000027009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0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0" i="0" u="none" strike="noStrike" baseline="0">
              <a:solidFill>
                <a:schemeClr val="accent4"/>
              </a:solidFill>
              <a:latin typeface="+mn-lt"/>
              <a:ea typeface="+mn-ea"/>
              <a:cs typeface="+mn-cs"/>
            </a:rPr>
            <a:t>1. Please provide a copy of the Title. Please also include any listed 173 Agreements/Covenants that may</a:t>
          </a:r>
        </a:p>
        <a:p>
          <a:r>
            <a:rPr lang="en-AU" sz="800" b="0" i="0" u="none" strike="noStrike" baseline="0">
              <a:solidFill>
                <a:schemeClr val="accent4"/>
              </a:solidFill>
              <a:latin typeface="+mn-lt"/>
              <a:ea typeface="+mn-ea"/>
              <a:cs typeface="+mn-cs"/>
            </a:rPr>
            <a:t>be listed also.</a:t>
          </a:r>
        </a:p>
        <a:p>
          <a:r>
            <a:rPr lang="en-AU" sz="800" b="0" i="0" u="none" strike="noStrike" baseline="0">
              <a:solidFill>
                <a:schemeClr val="dk1"/>
              </a:solidFill>
              <a:latin typeface="+mn-lt"/>
              <a:ea typeface="+mn-ea"/>
              <a:cs typeface="+mn-cs"/>
            </a:rPr>
            <a:t>2. Please ensure that the invoice is paid by the due date.</a:t>
          </a:r>
        </a:p>
        <a:p>
          <a:r>
            <a:rPr lang="en-AU" sz="800" b="0" i="0" u="none" strike="noStrike" baseline="0">
              <a:solidFill>
                <a:schemeClr val="dk1"/>
              </a:solidFill>
              <a:latin typeface="+mn-lt"/>
              <a:ea typeface="+mn-ea"/>
              <a:cs typeface="+mn-cs"/>
            </a:rPr>
            <a:t>3. Please provide owner builder consent from the Victorian Building Authority when available. Please go</a:t>
          </a:r>
        </a:p>
        <a:p>
          <a:r>
            <a:rPr lang="en-AU" sz="800" b="0" i="0" u="none" strike="noStrike" baseline="0">
              <a:solidFill>
                <a:schemeClr val="dk1"/>
              </a:solidFill>
              <a:latin typeface="+mn-lt"/>
              <a:ea typeface="+mn-ea"/>
              <a:cs typeface="+mn-cs"/>
            </a:rPr>
            <a:t>to the VBA website https://www.vba.vic.gov.au/owner-builders/application</a:t>
          </a:r>
        </a:p>
        <a:p>
          <a:r>
            <a:rPr lang="en-AU" sz="800" b="0" i="0" u="none" strike="noStrike" baseline="0">
              <a:solidFill>
                <a:schemeClr val="dk1"/>
              </a:solidFill>
              <a:latin typeface="+mn-lt"/>
              <a:ea typeface="+mn-ea"/>
              <a:cs typeface="+mn-cs"/>
            </a:rPr>
            <a:t>4. Please provide a copy of the Regulation 126 certificate with James Cunning - Building Approval</a:t>
          </a:r>
        </a:p>
        <a:p>
          <a:r>
            <a:rPr lang="en-AU" sz="800" b="0" i="0" u="none" strike="noStrike" baseline="0">
              <a:solidFill>
                <a:schemeClr val="dk1"/>
              </a:solidFill>
              <a:latin typeface="+mn-lt"/>
              <a:ea typeface="+mn-ea"/>
              <a:cs typeface="+mn-cs"/>
            </a:rPr>
            <a:t>Specialists as the relevant building surveyor.</a:t>
          </a:r>
        </a:p>
        <a:p>
          <a:r>
            <a:rPr lang="en-AU" sz="800" b="0" i="0" u="none" strike="noStrike" baseline="0">
              <a:solidFill>
                <a:schemeClr val="dk1"/>
              </a:solidFill>
              <a:latin typeface="+mn-lt"/>
              <a:ea typeface="+mn-ea"/>
              <a:cs typeface="+mn-cs"/>
            </a:rPr>
            <a:t>5. Please provide a copy of the complete engineer's design for the project when available.</a:t>
          </a:r>
          <a:endParaRPr lang="en-AU" sz="800" baseline="0"/>
        </a:p>
        <a:p>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9435137" name="Check Box 1" hidden="1">
              <a:extLst>
                <a:ext uri="{63B3BB69-23CF-44E3-9099-C40C66FF867C}">
                  <a14:compatExt spid="_x0000_s9435137"/>
                </a:ext>
                <a:ext uri="{FF2B5EF4-FFF2-40B4-BE49-F238E27FC236}">
                  <a16:creationId xmlns:a16="http://schemas.microsoft.com/office/drawing/2014/main" id="{00000000-0008-0000-6E00-000001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9435138" name="Check Box 2" hidden="1">
              <a:extLst>
                <a:ext uri="{63B3BB69-23CF-44E3-9099-C40C66FF867C}">
                  <a14:compatExt spid="_x0000_s9435138"/>
                </a:ext>
                <a:ext uri="{FF2B5EF4-FFF2-40B4-BE49-F238E27FC236}">
                  <a16:creationId xmlns:a16="http://schemas.microsoft.com/office/drawing/2014/main" id="{00000000-0008-0000-6E00-000002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435139" name="Check Box 3" hidden="1">
              <a:extLst>
                <a:ext uri="{63B3BB69-23CF-44E3-9099-C40C66FF867C}">
                  <a14:compatExt spid="_x0000_s9435139"/>
                </a:ext>
                <a:ext uri="{FF2B5EF4-FFF2-40B4-BE49-F238E27FC236}">
                  <a16:creationId xmlns:a16="http://schemas.microsoft.com/office/drawing/2014/main" id="{00000000-0008-0000-6E00-000003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435140" name="Check Box 4" hidden="1">
              <a:extLst>
                <a:ext uri="{63B3BB69-23CF-44E3-9099-C40C66FF867C}">
                  <a14:compatExt spid="_x0000_s9435140"/>
                </a:ext>
                <a:ext uri="{FF2B5EF4-FFF2-40B4-BE49-F238E27FC236}">
                  <a16:creationId xmlns:a16="http://schemas.microsoft.com/office/drawing/2014/main" id="{00000000-0008-0000-6E00-000004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435141" name="Check Box 5" hidden="1">
              <a:extLst>
                <a:ext uri="{63B3BB69-23CF-44E3-9099-C40C66FF867C}">
                  <a14:compatExt spid="_x0000_s9435141"/>
                </a:ext>
                <a:ext uri="{FF2B5EF4-FFF2-40B4-BE49-F238E27FC236}">
                  <a16:creationId xmlns:a16="http://schemas.microsoft.com/office/drawing/2014/main" id="{00000000-0008-0000-6E00-000005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435142" name="Check Box 6" hidden="1">
              <a:extLst>
                <a:ext uri="{63B3BB69-23CF-44E3-9099-C40C66FF867C}">
                  <a14:compatExt spid="_x0000_s9435142"/>
                </a:ext>
                <a:ext uri="{FF2B5EF4-FFF2-40B4-BE49-F238E27FC236}">
                  <a16:creationId xmlns:a16="http://schemas.microsoft.com/office/drawing/2014/main" id="{00000000-0008-0000-6E00-000006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435143" name="Check Box 7" hidden="1">
              <a:extLst>
                <a:ext uri="{63B3BB69-23CF-44E3-9099-C40C66FF867C}">
                  <a14:compatExt spid="_x0000_s9435143"/>
                </a:ext>
                <a:ext uri="{FF2B5EF4-FFF2-40B4-BE49-F238E27FC236}">
                  <a16:creationId xmlns:a16="http://schemas.microsoft.com/office/drawing/2014/main" id="{00000000-0008-0000-6E00-000007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9435144" name="Button 8" hidden="1">
              <a:extLst>
                <a:ext uri="{63B3BB69-23CF-44E3-9099-C40C66FF867C}">
                  <a14:compatExt spid="_x0000_s9435144"/>
                </a:ext>
                <a:ext uri="{FF2B5EF4-FFF2-40B4-BE49-F238E27FC236}">
                  <a16:creationId xmlns:a16="http://schemas.microsoft.com/office/drawing/2014/main" id="{00000000-0008-0000-6E00-000008F88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9435145" name="Button 9" hidden="1">
              <a:extLst>
                <a:ext uri="{63B3BB69-23CF-44E3-9099-C40C66FF867C}">
                  <a14:compatExt spid="_x0000_s9435145"/>
                </a:ext>
                <a:ext uri="{FF2B5EF4-FFF2-40B4-BE49-F238E27FC236}">
                  <a16:creationId xmlns:a16="http://schemas.microsoft.com/office/drawing/2014/main" id="{00000000-0008-0000-6E00-000009F88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9435146" name="Check Box 10" hidden="1">
              <a:extLst>
                <a:ext uri="{63B3BB69-23CF-44E3-9099-C40C66FF867C}">
                  <a14:compatExt spid="_x0000_s9435146"/>
                </a:ext>
                <a:ext uri="{FF2B5EF4-FFF2-40B4-BE49-F238E27FC236}">
                  <a16:creationId xmlns:a16="http://schemas.microsoft.com/office/drawing/2014/main" id="{00000000-0008-0000-6E00-00000A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9435147" name="Button 11" hidden="1">
              <a:extLst>
                <a:ext uri="{63B3BB69-23CF-44E3-9099-C40C66FF867C}">
                  <a14:compatExt spid="_x0000_s9435147"/>
                </a:ext>
                <a:ext uri="{FF2B5EF4-FFF2-40B4-BE49-F238E27FC236}">
                  <a16:creationId xmlns:a16="http://schemas.microsoft.com/office/drawing/2014/main" id="{00000000-0008-0000-6E00-00000B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9435148" name="Button 12" hidden="1">
              <a:extLst>
                <a:ext uri="{63B3BB69-23CF-44E3-9099-C40C66FF867C}">
                  <a14:compatExt spid="_x0000_s9435148"/>
                </a:ext>
                <a:ext uri="{FF2B5EF4-FFF2-40B4-BE49-F238E27FC236}">
                  <a16:creationId xmlns:a16="http://schemas.microsoft.com/office/drawing/2014/main" id="{00000000-0008-0000-6E00-00000C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9435149" name="Button 13" hidden="1">
              <a:extLst>
                <a:ext uri="{63B3BB69-23CF-44E3-9099-C40C66FF867C}">
                  <a14:compatExt spid="_x0000_s9435149"/>
                </a:ext>
                <a:ext uri="{FF2B5EF4-FFF2-40B4-BE49-F238E27FC236}">
                  <a16:creationId xmlns:a16="http://schemas.microsoft.com/office/drawing/2014/main" id="{00000000-0008-0000-6E00-00000D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435150" name="Button 14" hidden="1">
              <a:extLst>
                <a:ext uri="{63B3BB69-23CF-44E3-9099-C40C66FF867C}">
                  <a14:compatExt spid="_x0000_s9435150"/>
                </a:ext>
                <a:ext uri="{FF2B5EF4-FFF2-40B4-BE49-F238E27FC236}">
                  <a16:creationId xmlns:a16="http://schemas.microsoft.com/office/drawing/2014/main" id="{00000000-0008-0000-6E00-00000E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9435151" name="Check Box 15" hidden="1">
              <a:extLst>
                <a:ext uri="{63B3BB69-23CF-44E3-9099-C40C66FF867C}">
                  <a14:compatExt spid="_x0000_s9435151"/>
                </a:ext>
                <a:ext uri="{FF2B5EF4-FFF2-40B4-BE49-F238E27FC236}">
                  <a16:creationId xmlns:a16="http://schemas.microsoft.com/office/drawing/2014/main" id="{00000000-0008-0000-6E00-00000F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9435152" name="Check Box 16" hidden="1">
              <a:extLst>
                <a:ext uri="{63B3BB69-23CF-44E3-9099-C40C66FF867C}">
                  <a14:compatExt spid="_x0000_s9435152"/>
                </a:ext>
                <a:ext uri="{FF2B5EF4-FFF2-40B4-BE49-F238E27FC236}">
                  <a16:creationId xmlns:a16="http://schemas.microsoft.com/office/drawing/2014/main" id="{00000000-0008-0000-6E00-000010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435153" name="Check Box 17" hidden="1">
              <a:extLst>
                <a:ext uri="{63B3BB69-23CF-44E3-9099-C40C66FF867C}">
                  <a14:compatExt spid="_x0000_s9435153"/>
                </a:ext>
                <a:ext uri="{FF2B5EF4-FFF2-40B4-BE49-F238E27FC236}">
                  <a16:creationId xmlns:a16="http://schemas.microsoft.com/office/drawing/2014/main" id="{00000000-0008-0000-6E00-000011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435154" name="Check Box 18" hidden="1">
              <a:extLst>
                <a:ext uri="{63B3BB69-23CF-44E3-9099-C40C66FF867C}">
                  <a14:compatExt spid="_x0000_s9435154"/>
                </a:ext>
                <a:ext uri="{FF2B5EF4-FFF2-40B4-BE49-F238E27FC236}">
                  <a16:creationId xmlns:a16="http://schemas.microsoft.com/office/drawing/2014/main" id="{00000000-0008-0000-6E00-000012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435155" name="Check Box 19" hidden="1">
              <a:extLst>
                <a:ext uri="{63B3BB69-23CF-44E3-9099-C40C66FF867C}">
                  <a14:compatExt spid="_x0000_s9435155"/>
                </a:ext>
                <a:ext uri="{FF2B5EF4-FFF2-40B4-BE49-F238E27FC236}">
                  <a16:creationId xmlns:a16="http://schemas.microsoft.com/office/drawing/2014/main" id="{00000000-0008-0000-6E00-000013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9435156" name="Check Box 20" hidden="1">
              <a:extLst>
                <a:ext uri="{63B3BB69-23CF-44E3-9099-C40C66FF867C}">
                  <a14:compatExt spid="_x0000_s9435156"/>
                </a:ext>
                <a:ext uri="{FF2B5EF4-FFF2-40B4-BE49-F238E27FC236}">
                  <a16:creationId xmlns:a16="http://schemas.microsoft.com/office/drawing/2014/main" id="{00000000-0008-0000-6E00-000014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435157" name="Check Box 21" hidden="1">
              <a:extLst>
                <a:ext uri="{63B3BB69-23CF-44E3-9099-C40C66FF867C}">
                  <a14:compatExt spid="_x0000_s9435157"/>
                </a:ext>
                <a:ext uri="{FF2B5EF4-FFF2-40B4-BE49-F238E27FC236}">
                  <a16:creationId xmlns:a16="http://schemas.microsoft.com/office/drawing/2014/main" id="{00000000-0008-0000-6E00-000015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435158" name="Check Box 22" hidden="1">
              <a:extLst>
                <a:ext uri="{63B3BB69-23CF-44E3-9099-C40C66FF867C}">
                  <a14:compatExt spid="_x0000_s9435158"/>
                </a:ext>
                <a:ext uri="{FF2B5EF4-FFF2-40B4-BE49-F238E27FC236}">
                  <a16:creationId xmlns:a16="http://schemas.microsoft.com/office/drawing/2014/main" id="{00000000-0008-0000-6E00-000016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9435159" name="Check Box 23" hidden="1">
              <a:extLst>
                <a:ext uri="{63B3BB69-23CF-44E3-9099-C40C66FF867C}">
                  <a14:compatExt spid="_x0000_s9435159"/>
                </a:ext>
                <a:ext uri="{FF2B5EF4-FFF2-40B4-BE49-F238E27FC236}">
                  <a16:creationId xmlns:a16="http://schemas.microsoft.com/office/drawing/2014/main" id="{00000000-0008-0000-6E00-000017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435160" name="Check Box 24" hidden="1">
              <a:extLst>
                <a:ext uri="{63B3BB69-23CF-44E3-9099-C40C66FF867C}">
                  <a14:compatExt spid="_x0000_s9435160"/>
                </a:ext>
                <a:ext uri="{FF2B5EF4-FFF2-40B4-BE49-F238E27FC236}">
                  <a16:creationId xmlns:a16="http://schemas.microsoft.com/office/drawing/2014/main" id="{00000000-0008-0000-6E00-000018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435161" name="Check Box 25" hidden="1">
              <a:extLst>
                <a:ext uri="{63B3BB69-23CF-44E3-9099-C40C66FF867C}">
                  <a14:compatExt spid="_x0000_s9435161"/>
                </a:ext>
                <a:ext uri="{FF2B5EF4-FFF2-40B4-BE49-F238E27FC236}">
                  <a16:creationId xmlns:a16="http://schemas.microsoft.com/office/drawing/2014/main" id="{00000000-0008-0000-6E00-000019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435162" name="Check Box 26" hidden="1">
              <a:extLst>
                <a:ext uri="{63B3BB69-23CF-44E3-9099-C40C66FF867C}">
                  <a14:compatExt spid="_x0000_s9435162"/>
                </a:ext>
                <a:ext uri="{FF2B5EF4-FFF2-40B4-BE49-F238E27FC236}">
                  <a16:creationId xmlns:a16="http://schemas.microsoft.com/office/drawing/2014/main" id="{00000000-0008-0000-6E00-00001A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9435163" name="Check Box 27" hidden="1">
              <a:extLst>
                <a:ext uri="{63B3BB69-23CF-44E3-9099-C40C66FF867C}">
                  <a14:compatExt spid="_x0000_s9435163"/>
                </a:ext>
                <a:ext uri="{FF2B5EF4-FFF2-40B4-BE49-F238E27FC236}">
                  <a16:creationId xmlns:a16="http://schemas.microsoft.com/office/drawing/2014/main" id="{00000000-0008-0000-6E00-00001B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9435164" name="Check Box 28" hidden="1">
              <a:extLst>
                <a:ext uri="{63B3BB69-23CF-44E3-9099-C40C66FF867C}">
                  <a14:compatExt spid="_x0000_s9435164"/>
                </a:ext>
                <a:ext uri="{FF2B5EF4-FFF2-40B4-BE49-F238E27FC236}">
                  <a16:creationId xmlns:a16="http://schemas.microsoft.com/office/drawing/2014/main" id="{00000000-0008-0000-6E00-00001C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5165" name="Check Box 29" hidden="1">
              <a:extLst>
                <a:ext uri="{63B3BB69-23CF-44E3-9099-C40C66FF867C}">
                  <a14:compatExt spid="_x0000_s9435165"/>
                </a:ext>
                <a:ext uri="{FF2B5EF4-FFF2-40B4-BE49-F238E27FC236}">
                  <a16:creationId xmlns:a16="http://schemas.microsoft.com/office/drawing/2014/main" id="{00000000-0008-0000-6E00-00001D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435166" name="Check Box 30" hidden="1">
              <a:extLst>
                <a:ext uri="{63B3BB69-23CF-44E3-9099-C40C66FF867C}">
                  <a14:compatExt spid="_x0000_s9435166"/>
                </a:ext>
                <a:ext uri="{FF2B5EF4-FFF2-40B4-BE49-F238E27FC236}">
                  <a16:creationId xmlns:a16="http://schemas.microsoft.com/office/drawing/2014/main" id="{00000000-0008-0000-6E00-00001E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9435167" name="Check Box 31" hidden="1">
              <a:extLst>
                <a:ext uri="{63B3BB69-23CF-44E3-9099-C40C66FF867C}">
                  <a14:compatExt spid="_x0000_s9435167"/>
                </a:ext>
                <a:ext uri="{FF2B5EF4-FFF2-40B4-BE49-F238E27FC236}">
                  <a16:creationId xmlns:a16="http://schemas.microsoft.com/office/drawing/2014/main" id="{00000000-0008-0000-6E00-00001F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9435168" name="Button 32" hidden="1">
              <a:extLst>
                <a:ext uri="{63B3BB69-23CF-44E3-9099-C40C66FF867C}">
                  <a14:compatExt spid="_x0000_s9435168"/>
                </a:ext>
                <a:ext uri="{FF2B5EF4-FFF2-40B4-BE49-F238E27FC236}">
                  <a16:creationId xmlns:a16="http://schemas.microsoft.com/office/drawing/2014/main" id="{00000000-0008-0000-6E00-000020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9435169" name="Button 33" hidden="1">
              <a:extLst>
                <a:ext uri="{63B3BB69-23CF-44E3-9099-C40C66FF867C}">
                  <a14:compatExt spid="_x0000_s9435169"/>
                </a:ext>
                <a:ext uri="{FF2B5EF4-FFF2-40B4-BE49-F238E27FC236}">
                  <a16:creationId xmlns:a16="http://schemas.microsoft.com/office/drawing/2014/main" id="{00000000-0008-0000-6E00-000021F88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9435170" name="Check Box 34" hidden="1">
              <a:extLst>
                <a:ext uri="{63B3BB69-23CF-44E3-9099-C40C66FF867C}">
                  <a14:compatExt spid="_x0000_s9435170"/>
                </a:ext>
                <a:ext uri="{FF2B5EF4-FFF2-40B4-BE49-F238E27FC236}">
                  <a16:creationId xmlns:a16="http://schemas.microsoft.com/office/drawing/2014/main" id="{00000000-0008-0000-6E00-000022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5171" name="Check Box 35" hidden="1">
              <a:extLst>
                <a:ext uri="{63B3BB69-23CF-44E3-9099-C40C66FF867C}">
                  <a14:compatExt spid="_x0000_s9435171"/>
                </a:ext>
                <a:ext uri="{FF2B5EF4-FFF2-40B4-BE49-F238E27FC236}">
                  <a16:creationId xmlns:a16="http://schemas.microsoft.com/office/drawing/2014/main" id="{00000000-0008-0000-6E00-000023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9435172" name="Check Box 36" hidden="1">
              <a:extLst>
                <a:ext uri="{63B3BB69-23CF-44E3-9099-C40C66FF867C}">
                  <a14:compatExt spid="_x0000_s9435172"/>
                </a:ext>
                <a:ext uri="{FF2B5EF4-FFF2-40B4-BE49-F238E27FC236}">
                  <a16:creationId xmlns:a16="http://schemas.microsoft.com/office/drawing/2014/main" id="{00000000-0008-0000-6E00-000024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9435173" name="Check Box 37" hidden="1">
              <a:extLst>
                <a:ext uri="{63B3BB69-23CF-44E3-9099-C40C66FF867C}">
                  <a14:compatExt spid="_x0000_s9435173"/>
                </a:ext>
                <a:ext uri="{FF2B5EF4-FFF2-40B4-BE49-F238E27FC236}">
                  <a16:creationId xmlns:a16="http://schemas.microsoft.com/office/drawing/2014/main" id="{00000000-0008-0000-6E00-000025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435174" name="Check Box 38" hidden="1">
              <a:extLst>
                <a:ext uri="{63B3BB69-23CF-44E3-9099-C40C66FF867C}">
                  <a14:compatExt spid="_x0000_s9435174"/>
                </a:ext>
                <a:ext uri="{FF2B5EF4-FFF2-40B4-BE49-F238E27FC236}">
                  <a16:creationId xmlns:a16="http://schemas.microsoft.com/office/drawing/2014/main" id="{00000000-0008-0000-6E00-000026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435175" name="Check Box 39" hidden="1">
              <a:extLst>
                <a:ext uri="{63B3BB69-23CF-44E3-9099-C40C66FF867C}">
                  <a14:compatExt spid="_x0000_s9435175"/>
                </a:ext>
                <a:ext uri="{FF2B5EF4-FFF2-40B4-BE49-F238E27FC236}">
                  <a16:creationId xmlns:a16="http://schemas.microsoft.com/office/drawing/2014/main" id="{00000000-0008-0000-6E00-000027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435176" name="Check Box 40" hidden="1">
              <a:extLst>
                <a:ext uri="{63B3BB69-23CF-44E3-9099-C40C66FF867C}">
                  <a14:compatExt spid="_x0000_s9435176"/>
                </a:ext>
                <a:ext uri="{FF2B5EF4-FFF2-40B4-BE49-F238E27FC236}">
                  <a16:creationId xmlns:a16="http://schemas.microsoft.com/office/drawing/2014/main" id="{00000000-0008-0000-6E00-000028F88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0.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1100"/>
            <a:t>Planning applied 01.07.2024 / Planning paid 8/7/24</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xdr:twoCellAnchor editAs="oneCell">
    <xdr:from>
      <xdr:col>9</xdr:col>
      <xdr:colOff>85725</xdr:colOff>
      <xdr:row>3</xdr:row>
      <xdr:rowOff>135144</xdr:rowOff>
    </xdr:from>
    <xdr:to>
      <xdr:col>21</xdr:col>
      <xdr:colOff>503461</xdr:colOff>
      <xdr:row>13</xdr:row>
      <xdr:rowOff>123488</xdr:rowOff>
    </xdr:to>
    <xdr:pic>
      <xdr:nvPicPr>
        <xdr:cNvPr id="4" name="Picture 3">
          <a:extLst>
            <a:ext uri="{FF2B5EF4-FFF2-40B4-BE49-F238E27FC236}">
              <a16:creationId xmlns:a16="http://schemas.microsoft.com/office/drawing/2014/main" id="{00000000-0008-0000-2600-000004000000}"/>
            </a:ext>
          </a:extLst>
        </xdr:cNvPr>
        <xdr:cNvPicPr>
          <a:picLocks noChangeAspect="1"/>
        </xdr:cNvPicPr>
      </xdr:nvPicPr>
      <xdr:blipFill>
        <a:blip xmlns:r="http://schemas.openxmlformats.org/officeDocument/2006/relationships" r:embed="rId2"/>
        <a:stretch>
          <a:fillRect/>
        </a:stretch>
      </xdr:blipFill>
      <xdr:spPr>
        <a:xfrm>
          <a:off x="5905500" y="735219"/>
          <a:ext cx="7732936" cy="190286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9110529" name="Check Box 1" hidden="1">
              <a:extLst>
                <a:ext uri="{63B3BB69-23CF-44E3-9099-C40C66FF867C}">
                  <a14:compatExt spid="_x0000_s9110529"/>
                </a:ext>
                <a:ext uri="{FF2B5EF4-FFF2-40B4-BE49-F238E27FC236}">
                  <a16:creationId xmlns:a16="http://schemas.microsoft.com/office/drawing/2014/main" id="{00000000-0008-0000-6F00-000001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9110530" name="Check Box 2" hidden="1">
              <a:extLst>
                <a:ext uri="{63B3BB69-23CF-44E3-9099-C40C66FF867C}">
                  <a14:compatExt spid="_x0000_s9110530"/>
                </a:ext>
                <a:ext uri="{FF2B5EF4-FFF2-40B4-BE49-F238E27FC236}">
                  <a16:creationId xmlns:a16="http://schemas.microsoft.com/office/drawing/2014/main" id="{00000000-0008-0000-6F00-000002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110531" name="Check Box 3" hidden="1">
              <a:extLst>
                <a:ext uri="{63B3BB69-23CF-44E3-9099-C40C66FF867C}">
                  <a14:compatExt spid="_x0000_s9110531"/>
                </a:ext>
                <a:ext uri="{FF2B5EF4-FFF2-40B4-BE49-F238E27FC236}">
                  <a16:creationId xmlns:a16="http://schemas.microsoft.com/office/drawing/2014/main" id="{00000000-0008-0000-6F00-000003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110532" name="Check Box 4" hidden="1">
              <a:extLst>
                <a:ext uri="{63B3BB69-23CF-44E3-9099-C40C66FF867C}">
                  <a14:compatExt spid="_x0000_s9110532"/>
                </a:ext>
                <a:ext uri="{FF2B5EF4-FFF2-40B4-BE49-F238E27FC236}">
                  <a16:creationId xmlns:a16="http://schemas.microsoft.com/office/drawing/2014/main" id="{00000000-0008-0000-6F00-000004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110533" name="Check Box 5" hidden="1">
              <a:extLst>
                <a:ext uri="{63B3BB69-23CF-44E3-9099-C40C66FF867C}">
                  <a14:compatExt spid="_x0000_s9110533"/>
                </a:ext>
                <a:ext uri="{FF2B5EF4-FFF2-40B4-BE49-F238E27FC236}">
                  <a16:creationId xmlns:a16="http://schemas.microsoft.com/office/drawing/2014/main" id="{00000000-0008-0000-6F00-000005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110534" name="Check Box 6" hidden="1">
              <a:extLst>
                <a:ext uri="{63B3BB69-23CF-44E3-9099-C40C66FF867C}">
                  <a14:compatExt spid="_x0000_s9110534"/>
                </a:ext>
                <a:ext uri="{FF2B5EF4-FFF2-40B4-BE49-F238E27FC236}">
                  <a16:creationId xmlns:a16="http://schemas.microsoft.com/office/drawing/2014/main" id="{00000000-0008-0000-6F00-000006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110535" name="Check Box 7" hidden="1">
              <a:extLst>
                <a:ext uri="{63B3BB69-23CF-44E3-9099-C40C66FF867C}">
                  <a14:compatExt spid="_x0000_s9110535"/>
                </a:ext>
                <a:ext uri="{FF2B5EF4-FFF2-40B4-BE49-F238E27FC236}">
                  <a16:creationId xmlns:a16="http://schemas.microsoft.com/office/drawing/2014/main" id="{00000000-0008-0000-6F00-000007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9110536" name="Button 8" hidden="1">
              <a:extLst>
                <a:ext uri="{63B3BB69-23CF-44E3-9099-C40C66FF867C}">
                  <a14:compatExt spid="_x0000_s9110536"/>
                </a:ext>
                <a:ext uri="{FF2B5EF4-FFF2-40B4-BE49-F238E27FC236}">
                  <a16:creationId xmlns:a16="http://schemas.microsoft.com/office/drawing/2014/main" id="{00000000-0008-0000-6F00-000008048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9110537" name="Button 9" hidden="1">
              <a:extLst>
                <a:ext uri="{63B3BB69-23CF-44E3-9099-C40C66FF867C}">
                  <a14:compatExt spid="_x0000_s9110537"/>
                </a:ext>
                <a:ext uri="{FF2B5EF4-FFF2-40B4-BE49-F238E27FC236}">
                  <a16:creationId xmlns:a16="http://schemas.microsoft.com/office/drawing/2014/main" id="{00000000-0008-0000-6F00-000009048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9110538" name="Check Box 10" hidden="1">
              <a:extLst>
                <a:ext uri="{63B3BB69-23CF-44E3-9099-C40C66FF867C}">
                  <a14:compatExt spid="_x0000_s9110538"/>
                </a:ext>
                <a:ext uri="{FF2B5EF4-FFF2-40B4-BE49-F238E27FC236}">
                  <a16:creationId xmlns:a16="http://schemas.microsoft.com/office/drawing/2014/main" id="{00000000-0008-0000-6F00-00000A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9110539" name="Button 11" hidden="1">
              <a:extLst>
                <a:ext uri="{63B3BB69-23CF-44E3-9099-C40C66FF867C}">
                  <a14:compatExt spid="_x0000_s9110539"/>
                </a:ext>
                <a:ext uri="{FF2B5EF4-FFF2-40B4-BE49-F238E27FC236}">
                  <a16:creationId xmlns:a16="http://schemas.microsoft.com/office/drawing/2014/main" id="{00000000-0008-0000-6F00-00000B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9110540" name="Button 12" hidden="1">
              <a:extLst>
                <a:ext uri="{63B3BB69-23CF-44E3-9099-C40C66FF867C}">
                  <a14:compatExt spid="_x0000_s9110540"/>
                </a:ext>
                <a:ext uri="{FF2B5EF4-FFF2-40B4-BE49-F238E27FC236}">
                  <a16:creationId xmlns:a16="http://schemas.microsoft.com/office/drawing/2014/main" id="{00000000-0008-0000-6F00-00000C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9110541" name="Button 13" hidden="1">
              <a:extLst>
                <a:ext uri="{63B3BB69-23CF-44E3-9099-C40C66FF867C}">
                  <a14:compatExt spid="_x0000_s9110541"/>
                </a:ext>
                <a:ext uri="{FF2B5EF4-FFF2-40B4-BE49-F238E27FC236}">
                  <a16:creationId xmlns:a16="http://schemas.microsoft.com/office/drawing/2014/main" id="{00000000-0008-0000-6F00-00000D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110542" name="Button 14" hidden="1">
              <a:extLst>
                <a:ext uri="{63B3BB69-23CF-44E3-9099-C40C66FF867C}">
                  <a14:compatExt spid="_x0000_s9110542"/>
                </a:ext>
                <a:ext uri="{FF2B5EF4-FFF2-40B4-BE49-F238E27FC236}">
                  <a16:creationId xmlns:a16="http://schemas.microsoft.com/office/drawing/2014/main" id="{00000000-0008-0000-6F00-00000E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9110543" name="Check Box 15" hidden="1">
              <a:extLst>
                <a:ext uri="{63B3BB69-23CF-44E3-9099-C40C66FF867C}">
                  <a14:compatExt spid="_x0000_s9110543"/>
                </a:ext>
                <a:ext uri="{FF2B5EF4-FFF2-40B4-BE49-F238E27FC236}">
                  <a16:creationId xmlns:a16="http://schemas.microsoft.com/office/drawing/2014/main" id="{00000000-0008-0000-6F00-00000F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9110544" name="Check Box 16" hidden="1">
              <a:extLst>
                <a:ext uri="{63B3BB69-23CF-44E3-9099-C40C66FF867C}">
                  <a14:compatExt spid="_x0000_s9110544"/>
                </a:ext>
                <a:ext uri="{FF2B5EF4-FFF2-40B4-BE49-F238E27FC236}">
                  <a16:creationId xmlns:a16="http://schemas.microsoft.com/office/drawing/2014/main" id="{00000000-0008-0000-6F00-000010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110545" name="Check Box 17" hidden="1">
              <a:extLst>
                <a:ext uri="{63B3BB69-23CF-44E3-9099-C40C66FF867C}">
                  <a14:compatExt spid="_x0000_s9110545"/>
                </a:ext>
                <a:ext uri="{FF2B5EF4-FFF2-40B4-BE49-F238E27FC236}">
                  <a16:creationId xmlns:a16="http://schemas.microsoft.com/office/drawing/2014/main" id="{00000000-0008-0000-6F00-000011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110546" name="Check Box 18" hidden="1">
              <a:extLst>
                <a:ext uri="{63B3BB69-23CF-44E3-9099-C40C66FF867C}">
                  <a14:compatExt spid="_x0000_s9110546"/>
                </a:ext>
                <a:ext uri="{FF2B5EF4-FFF2-40B4-BE49-F238E27FC236}">
                  <a16:creationId xmlns:a16="http://schemas.microsoft.com/office/drawing/2014/main" id="{00000000-0008-0000-6F00-000012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110547" name="Check Box 19" hidden="1">
              <a:extLst>
                <a:ext uri="{63B3BB69-23CF-44E3-9099-C40C66FF867C}">
                  <a14:compatExt spid="_x0000_s9110547"/>
                </a:ext>
                <a:ext uri="{FF2B5EF4-FFF2-40B4-BE49-F238E27FC236}">
                  <a16:creationId xmlns:a16="http://schemas.microsoft.com/office/drawing/2014/main" id="{00000000-0008-0000-6F00-000013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9110548" name="Check Box 20" hidden="1">
              <a:extLst>
                <a:ext uri="{63B3BB69-23CF-44E3-9099-C40C66FF867C}">
                  <a14:compatExt spid="_x0000_s9110548"/>
                </a:ext>
                <a:ext uri="{FF2B5EF4-FFF2-40B4-BE49-F238E27FC236}">
                  <a16:creationId xmlns:a16="http://schemas.microsoft.com/office/drawing/2014/main" id="{00000000-0008-0000-6F00-000014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110549" name="Check Box 21" hidden="1">
              <a:extLst>
                <a:ext uri="{63B3BB69-23CF-44E3-9099-C40C66FF867C}">
                  <a14:compatExt spid="_x0000_s9110549"/>
                </a:ext>
                <a:ext uri="{FF2B5EF4-FFF2-40B4-BE49-F238E27FC236}">
                  <a16:creationId xmlns:a16="http://schemas.microsoft.com/office/drawing/2014/main" id="{00000000-0008-0000-6F00-000015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110550" name="Check Box 22" hidden="1">
              <a:extLst>
                <a:ext uri="{63B3BB69-23CF-44E3-9099-C40C66FF867C}">
                  <a14:compatExt spid="_x0000_s9110550"/>
                </a:ext>
                <a:ext uri="{FF2B5EF4-FFF2-40B4-BE49-F238E27FC236}">
                  <a16:creationId xmlns:a16="http://schemas.microsoft.com/office/drawing/2014/main" id="{00000000-0008-0000-6F00-000016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9110551" name="Check Box 23" hidden="1">
              <a:extLst>
                <a:ext uri="{63B3BB69-23CF-44E3-9099-C40C66FF867C}">
                  <a14:compatExt spid="_x0000_s9110551"/>
                </a:ext>
                <a:ext uri="{FF2B5EF4-FFF2-40B4-BE49-F238E27FC236}">
                  <a16:creationId xmlns:a16="http://schemas.microsoft.com/office/drawing/2014/main" id="{00000000-0008-0000-6F00-000017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110552" name="Check Box 24" hidden="1">
              <a:extLst>
                <a:ext uri="{63B3BB69-23CF-44E3-9099-C40C66FF867C}">
                  <a14:compatExt spid="_x0000_s9110552"/>
                </a:ext>
                <a:ext uri="{FF2B5EF4-FFF2-40B4-BE49-F238E27FC236}">
                  <a16:creationId xmlns:a16="http://schemas.microsoft.com/office/drawing/2014/main" id="{00000000-0008-0000-6F00-000018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110553" name="Check Box 25" hidden="1">
              <a:extLst>
                <a:ext uri="{63B3BB69-23CF-44E3-9099-C40C66FF867C}">
                  <a14:compatExt spid="_x0000_s9110553"/>
                </a:ext>
                <a:ext uri="{FF2B5EF4-FFF2-40B4-BE49-F238E27FC236}">
                  <a16:creationId xmlns:a16="http://schemas.microsoft.com/office/drawing/2014/main" id="{00000000-0008-0000-6F00-000019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110554" name="Check Box 26" hidden="1">
              <a:extLst>
                <a:ext uri="{63B3BB69-23CF-44E3-9099-C40C66FF867C}">
                  <a14:compatExt spid="_x0000_s9110554"/>
                </a:ext>
                <a:ext uri="{FF2B5EF4-FFF2-40B4-BE49-F238E27FC236}">
                  <a16:creationId xmlns:a16="http://schemas.microsoft.com/office/drawing/2014/main" id="{00000000-0008-0000-6F00-00001A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9110555" name="Check Box 27" hidden="1">
              <a:extLst>
                <a:ext uri="{63B3BB69-23CF-44E3-9099-C40C66FF867C}">
                  <a14:compatExt spid="_x0000_s9110555"/>
                </a:ext>
                <a:ext uri="{FF2B5EF4-FFF2-40B4-BE49-F238E27FC236}">
                  <a16:creationId xmlns:a16="http://schemas.microsoft.com/office/drawing/2014/main" id="{00000000-0008-0000-6F00-00001B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9110556" name="Check Box 28" hidden="1">
              <a:extLst>
                <a:ext uri="{63B3BB69-23CF-44E3-9099-C40C66FF867C}">
                  <a14:compatExt spid="_x0000_s9110556"/>
                </a:ext>
                <a:ext uri="{FF2B5EF4-FFF2-40B4-BE49-F238E27FC236}">
                  <a16:creationId xmlns:a16="http://schemas.microsoft.com/office/drawing/2014/main" id="{00000000-0008-0000-6F00-00001C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9110557" name="Check Box 29" hidden="1">
              <a:extLst>
                <a:ext uri="{63B3BB69-23CF-44E3-9099-C40C66FF867C}">
                  <a14:compatExt spid="_x0000_s9110557"/>
                </a:ext>
                <a:ext uri="{FF2B5EF4-FFF2-40B4-BE49-F238E27FC236}">
                  <a16:creationId xmlns:a16="http://schemas.microsoft.com/office/drawing/2014/main" id="{00000000-0008-0000-6F00-00001D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9110558" name="Check Box 30" hidden="1">
              <a:extLst>
                <a:ext uri="{63B3BB69-23CF-44E3-9099-C40C66FF867C}">
                  <a14:compatExt spid="_x0000_s9110558"/>
                </a:ext>
                <a:ext uri="{FF2B5EF4-FFF2-40B4-BE49-F238E27FC236}">
                  <a16:creationId xmlns:a16="http://schemas.microsoft.com/office/drawing/2014/main" id="{00000000-0008-0000-6F00-00001E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9110559" name="Check Box 31" hidden="1">
              <a:extLst>
                <a:ext uri="{63B3BB69-23CF-44E3-9099-C40C66FF867C}">
                  <a14:compatExt spid="_x0000_s9110559"/>
                </a:ext>
                <a:ext uri="{FF2B5EF4-FFF2-40B4-BE49-F238E27FC236}">
                  <a16:creationId xmlns:a16="http://schemas.microsoft.com/office/drawing/2014/main" id="{00000000-0008-0000-6F00-00001F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9110560" name="Button 32" hidden="1">
              <a:extLst>
                <a:ext uri="{63B3BB69-23CF-44E3-9099-C40C66FF867C}">
                  <a14:compatExt spid="_x0000_s9110560"/>
                </a:ext>
                <a:ext uri="{FF2B5EF4-FFF2-40B4-BE49-F238E27FC236}">
                  <a16:creationId xmlns:a16="http://schemas.microsoft.com/office/drawing/2014/main" id="{00000000-0008-0000-6F00-000020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9110561" name="Button 33" hidden="1">
              <a:extLst>
                <a:ext uri="{63B3BB69-23CF-44E3-9099-C40C66FF867C}">
                  <a14:compatExt spid="_x0000_s9110561"/>
                </a:ext>
                <a:ext uri="{FF2B5EF4-FFF2-40B4-BE49-F238E27FC236}">
                  <a16:creationId xmlns:a16="http://schemas.microsoft.com/office/drawing/2014/main" id="{00000000-0008-0000-6F00-000021048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9110562" name="Check Box 34" hidden="1">
              <a:extLst>
                <a:ext uri="{63B3BB69-23CF-44E3-9099-C40C66FF867C}">
                  <a14:compatExt spid="_x0000_s9110562"/>
                </a:ext>
                <a:ext uri="{FF2B5EF4-FFF2-40B4-BE49-F238E27FC236}">
                  <a16:creationId xmlns:a16="http://schemas.microsoft.com/office/drawing/2014/main" id="{00000000-0008-0000-6F00-000022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9110563" name="Check Box 35" hidden="1">
              <a:extLst>
                <a:ext uri="{63B3BB69-23CF-44E3-9099-C40C66FF867C}">
                  <a14:compatExt spid="_x0000_s9110563"/>
                </a:ext>
                <a:ext uri="{FF2B5EF4-FFF2-40B4-BE49-F238E27FC236}">
                  <a16:creationId xmlns:a16="http://schemas.microsoft.com/office/drawing/2014/main" id="{00000000-0008-0000-6F00-000023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9110564" name="Check Box 36" hidden="1">
              <a:extLst>
                <a:ext uri="{63B3BB69-23CF-44E3-9099-C40C66FF867C}">
                  <a14:compatExt spid="_x0000_s9110564"/>
                </a:ext>
                <a:ext uri="{FF2B5EF4-FFF2-40B4-BE49-F238E27FC236}">
                  <a16:creationId xmlns:a16="http://schemas.microsoft.com/office/drawing/2014/main" id="{00000000-0008-0000-6F00-000024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9110565" name="Check Box 37" hidden="1">
              <a:extLst>
                <a:ext uri="{63B3BB69-23CF-44E3-9099-C40C66FF867C}">
                  <a14:compatExt spid="_x0000_s9110565"/>
                </a:ext>
                <a:ext uri="{FF2B5EF4-FFF2-40B4-BE49-F238E27FC236}">
                  <a16:creationId xmlns:a16="http://schemas.microsoft.com/office/drawing/2014/main" id="{00000000-0008-0000-6F00-000025048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123824</xdr:colOff>
      <xdr:row>14</xdr:row>
      <xdr:rowOff>76199</xdr:rowOff>
    </xdr:from>
    <xdr:to>
      <xdr:col>19</xdr:col>
      <xdr:colOff>85725</xdr:colOff>
      <xdr:row>43</xdr:row>
      <xdr:rowOff>171450</xdr:rowOff>
    </xdr:to>
    <xdr:sp macro="" textlink="">
      <xdr:nvSpPr>
        <xdr:cNvPr id="5" name="TextBox 4">
          <a:extLst>
            <a:ext uri="{FF2B5EF4-FFF2-40B4-BE49-F238E27FC236}">
              <a16:creationId xmlns:a16="http://schemas.microsoft.com/office/drawing/2014/main" id="{51F27FE2-B3FF-4D56-8F1F-E974BEDB5F12}"/>
            </a:ext>
          </a:extLst>
        </xdr:cNvPr>
        <xdr:cNvSpPr txBox="1"/>
      </xdr:nvSpPr>
      <xdr:spPr>
        <a:xfrm>
          <a:off x="5943599" y="2781299"/>
          <a:ext cx="6057901" cy="56388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a:t>Planning applied 01.07.2024 / Planning paid 8/7/24</a:t>
          </a:r>
        </a:p>
        <a:p>
          <a:endParaRPr lang="en-AU" sz="800" b="0" i="0" u="none" strike="noStrike" baseline="0">
            <a:solidFill>
              <a:schemeClr val="dk1"/>
            </a:solidFill>
            <a:latin typeface="+mn-lt"/>
            <a:ea typeface="+mn-ea"/>
            <a:cs typeface="+mn-cs"/>
          </a:endParaRPr>
        </a:p>
        <a:p>
          <a:r>
            <a:rPr lang="en-AU" sz="800" b="0" i="0" u="none" strike="noStrike" baseline="0">
              <a:solidFill>
                <a:schemeClr val="accent4"/>
              </a:solidFill>
              <a:latin typeface="+mn-lt"/>
              <a:ea typeface="+mn-ea"/>
              <a:cs typeface="+mn-cs"/>
            </a:rPr>
            <a:t>An amended application form to include the use of the land for the purpose of Industry, along with a reduction to car parking requirements. </a:t>
          </a:r>
        </a:p>
        <a:p>
          <a:endParaRPr lang="en-AU" sz="800" b="0" i="0" u="none" strike="noStrike" baseline="0">
            <a:solidFill>
              <a:schemeClr val="accent4"/>
            </a:solidFill>
            <a:latin typeface="+mn-lt"/>
            <a:ea typeface="+mn-ea"/>
            <a:cs typeface="+mn-cs"/>
          </a:endParaRPr>
        </a:p>
        <a:p>
          <a:r>
            <a:rPr lang="en-AU" sz="800" b="0" i="0" u="none" strike="noStrike" baseline="0">
              <a:solidFill>
                <a:schemeClr val="dk1"/>
              </a:solidFill>
              <a:latin typeface="+mn-lt"/>
              <a:ea typeface="+mn-ea"/>
              <a:cs typeface="+mn-cs"/>
            </a:rPr>
            <a:t>The following information that is still outstanding from the first request for information: </a:t>
          </a:r>
        </a:p>
        <a:p>
          <a:r>
            <a:rPr lang="en-AU" sz="800" b="0" i="0" u="none" strike="noStrike" baseline="0">
              <a:solidFill>
                <a:srgbClr val="00B050"/>
              </a:solidFill>
              <a:latin typeface="+mn-lt"/>
              <a:ea typeface="+mn-ea"/>
              <a:cs typeface="+mn-cs"/>
            </a:rPr>
            <a:t>A written statement addressing the application requirements of Clause 33.01-2 of the Alpine Planning Scheme, being (as relevant): The purpose of the use and the types of processes to be utilised. </a:t>
          </a:r>
        </a:p>
        <a:p>
          <a:r>
            <a:rPr lang="en-AU" sz="800" b="0" i="0" u="none" strike="noStrike" baseline="0">
              <a:solidFill>
                <a:srgbClr val="00B050"/>
              </a:solidFill>
              <a:latin typeface="+mn-lt"/>
              <a:ea typeface="+mn-ea"/>
              <a:cs typeface="+mn-cs"/>
            </a:rPr>
            <a:t>The type and quantity of goods to be stored, processed or produced. </a:t>
          </a:r>
        </a:p>
        <a:p>
          <a:r>
            <a:rPr lang="en-AU" sz="800" b="0" i="0" u="none" strike="noStrike" baseline="0">
              <a:solidFill>
                <a:srgbClr val="00B050"/>
              </a:solidFill>
              <a:latin typeface="+mn-lt"/>
              <a:ea typeface="+mn-ea"/>
              <a:cs typeface="+mn-cs"/>
            </a:rPr>
            <a:t>How land not required for immediate use is to be maintained. </a:t>
          </a:r>
        </a:p>
        <a:p>
          <a:r>
            <a:rPr lang="en-AU" sz="800" b="0" i="0" u="none" strike="noStrike" baseline="0">
              <a:solidFill>
                <a:srgbClr val="00B050"/>
              </a:solidFill>
              <a:latin typeface="+mn-lt"/>
              <a:ea typeface="+mn-ea"/>
              <a:cs typeface="+mn-cs"/>
            </a:rPr>
            <a:t>Whether a Development Licence, Operating Licence, Permit or Registration is required from the Environment Protection Authority. </a:t>
          </a:r>
        </a:p>
        <a:p>
          <a:r>
            <a:rPr lang="en-AU" sz="800" b="0" i="0" u="none" strike="noStrike" baseline="0">
              <a:solidFill>
                <a:srgbClr val="00B050"/>
              </a:solidFill>
              <a:latin typeface="+mn-lt"/>
              <a:ea typeface="+mn-ea"/>
              <a:cs typeface="+mn-cs"/>
            </a:rPr>
            <a:t>Whether a notification under the Occupational Health and Safety Regulations 2017 is required, a licence under the Dangerous Goods Act 1985 is required, or a fire protection quantity under the Dangerous Goods (Storage and Handling) Regulations 2012 is exceeded. </a:t>
          </a:r>
        </a:p>
        <a:p>
          <a:r>
            <a:rPr lang="en-AU" sz="800" b="0" i="0" u="none" strike="noStrike" baseline="0">
              <a:solidFill>
                <a:srgbClr val="00B050"/>
              </a:solidFill>
              <a:latin typeface="+mn-lt"/>
              <a:ea typeface="+mn-ea"/>
              <a:cs typeface="+mn-cs"/>
            </a:rPr>
            <a:t>The likely effects, if any, on the neighbourhood, including: </a:t>
          </a:r>
        </a:p>
        <a:p>
          <a:r>
            <a:rPr lang="en-AU" sz="800" b="0" i="0" u="none" strike="noStrike" baseline="0">
              <a:solidFill>
                <a:srgbClr val="00B050"/>
              </a:solidFill>
              <a:latin typeface="+mn-lt"/>
              <a:ea typeface="+mn-ea"/>
              <a:cs typeface="+mn-cs"/>
            </a:rPr>
            <a:t>Noise levels. </a:t>
          </a:r>
        </a:p>
        <a:p>
          <a:r>
            <a:rPr lang="en-AU" sz="800" b="0" i="0" u="none" strike="noStrike" baseline="0">
              <a:solidFill>
                <a:srgbClr val="00B050"/>
              </a:solidFill>
              <a:latin typeface="+mn-lt"/>
              <a:ea typeface="+mn-ea"/>
              <a:cs typeface="+mn-cs"/>
            </a:rPr>
            <a:t>Air-borne emissions. </a:t>
          </a:r>
        </a:p>
        <a:p>
          <a:r>
            <a:rPr lang="en-AU" sz="800" b="0" i="0" u="none" strike="noStrike" baseline="0">
              <a:solidFill>
                <a:srgbClr val="00B050"/>
              </a:solidFill>
              <a:latin typeface="+mn-lt"/>
              <a:ea typeface="+mn-ea"/>
              <a:cs typeface="+mn-cs"/>
            </a:rPr>
            <a:t>Emissions to land or water. </a:t>
          </a:r>
        </a:p>
        <a:p>
          <a:r>
            <a:rPr lang="en-AU" sz="800" b="0" i="0" u="none" strike="noStrike" baseline="0">
              <a:solidFill>
                <a:srgbClr val="00B050"/>
              </a:solidFill>
              <a:latin typeface="+mn-lt"/>
              <a:ea typeface="+mn-ea"/>
              <a:cs typeface="+mn-cs"/>
            </a:rPr>
            <a:t>Traffic, including the hours of delivery and despatch. </a:t>
          </a:r>
        </a:p>
        <a:p>
          <a:r>
            <a:rPr lang="en-AU" sz="800" b="0" i="0" u="none" strike="noStrike" baseline="0">
              <a:solidFill>
                <a:srgbClr val="00B050"/>
              </a:solidFill>
              <a:latin typeface="+mn-lt"/>
              <a:ea typeface="+mn-ea"/>
              <a:cs typeface="+mn-cs"/>
            </a:rPr>
            <a:t>Light spill or glare. </a:t>
          </a:r>
        </a:p>
        <a:p>
          <a:r>
            <a:rPr lang="en-AU" sz="800" b="0" i="0" u="none" strike="noStrike" baseline="0">
              <a:solidFill>
                <a:srgbClr val="00B050"/>
              </a:solidFill>
              <a:latin typeface="+mn-lt"/>
              <a:ea typeface="+mn-ea"/>
              <a:cs typeface="+mn-cs"/>
            </a:rPr>
            <a:t>Further to the above, it is noted the site directly abuts residential uses in a General Residential Zone; therefore, particular consideration should be given to how potential amenity impacts (including noise) will be managed to avoid affecting residential neighbours. </a:t>
          </a:r>
        </a:p>
        <a:p>
          <a:r>
            <a:rPr lang="en-AU" sz="800" b="0" i="0" u="none" strike="noStrike" baseline="0">
              <a:solidFill>
                <a:srgbClr val="00B050"/>
              </a:solidFill>
              <a:latin typeface="+mn-lt"/>
              <a:ea typeface="+mn-ea"/>
              <a:cs typeface="+mn-cs"/>
            </a:rPr>
            <a:t>Amended plans showing: Any on-site car parking spaces pursuant to Clause 52.06 of the Alpine Planning Scheme, noting that in Industry use requires on-site parking at the rate of 2.9 spaces to each 100m2 of net floor area. If no on-site car parking is proposed, refer Item 4 below. </a:t>
          </a:r>
        </a:p>
        <a:p>
          <a:r>
            <a:rPr lang="en-AU" sz="800" b="0" i="0" u="none" strike="noStrike" baseline="0">
              <a:solidFill>
                <a:schemeClr val="accent4"/>
              </a:solidFill>
              <a:latin typeface="+mn-lt"/>
              <a:ea typeface="+mn-ea"/>
              <a:cs typeface="+mn-cs"/>
            </a:rPr>
            <a:t>Elevations to be in two-dimensional format for all sides of the shed. </a:t>
          </a:r>
        </a:p>
        <a:p>
          <a:r>
            <a:rPr lang="en-AU" sz="800" b="0" i="0" u="none" strike="noStrike" baseline="0">
              <a:solidFill>
                <a:schemeClr val="accent4"/>
              </a:solidFill>
              <a:latin typeface="+mn-lt"/>
              <a:ea typeface="+mn-ea"/>
              <a:cs typeface="+mn-cs"/>
            </a:rPr>
            <a:t>A colours and materials schedule for the proposed shed. </a:t>
          </a:r>
        </a:p>
        <a:p>
          <a:endParaRPr lang="en-AU" sz="800" b="0" i="0" u="none" strike="noStrike" baseline="0">
            <a:solidFill>
              <a:schemeClr val="dk1"/>
            </a:solidFill>
            <a:latin typeface="+mn-lt"/>
            <a:ea typeface="+mn-ea"/>
            <a:cs typeface="+mn-cs"/>
          </a:endParaRPr>
        </a:p>
        <a:p>
          <a:endParaRPr lang="en-AU" sz="800" b="0" i="0" u="none" strike="noStrike" baseline="0">
            <a:solidFill>
              <a:schemeClr val="dk1"/>
            </a:solidFill>
            <a:latin typeface="+mn-lt"/>
            <a:ea typeface="+mn-ea"/>
            <a:cs typeface="+mn-cs"/>
          </a:endParaRPr>
        </a:p>
        <a:p>
          <a:r>
            <a:rPr lang="en-AU" sz="800" b="0" i="0" u="none" strike="noStrike" baseline="0">
              <a:solidFill>
                <a:schemeClr val="dk1"/>
              </a:solidFill>
              <a:latin typeface="+mn-lt"/>
              <a:ea typeface="+mn-ea"/>
              <a:cs typeface="+mn-cs"/>
            </a:rPr>
            <a:t>Car parking </a:t>
          </a:r>
        </a:p>
        <a:p>
          <a:endParaRPr lang="en-AU" sz="800" b="0" i="0" u="none" strike="noStrike" baseline="0">
            <a:solidFill>
              <a:schemeClr val="dk1"/>
            </a:solidFill>
            <a:latin typeface="+mn-lt"/>
            <a:ea typeface="+mn-ea"/>
            <a:cs typeface="+mn-cs"/>
          </a:endParaRPr>
        </a:p>
        <a:p>
          <a:r>
            <a:rPr lang="en-AU" sz="800" b="0" i="0" u="none" strike="noStrike" baseline="0">
              <a:solidFill>
                <a:srgbClr val="00B050"/>
              </a:solidFill>
              <a:latin typeface="+mn-lt"/>
              <a:ea typeface="+mn-ea"/>
              <a:cs typeface="+mn-cs"/>
            </a:rPr>
            <a:t>Based on the floor area of the shed, a total of 12 parking spaces is required. If no on-site car parking is being provided, or is provided at a reduced rate as described above, please provide a Car Parking Demand Assessment, addressing the following matters (as relevant) to the satisfaction of Council: </a:t>
          </a:r>
        </a:p>
        <a:p>
          <a:r>
            <a:rPr lang="en-AU" sz="800" b="0" i="0" u="none" strike="noStrike" baseline="0">
              <a:solidFill>
                <a:srgbClr val="00B050"/>
              </a:solidFill>
              <a:latin typeface="+mn-lt"/>
              <a:ea typeface="+mn-ea"/>
              <a:cs typeface="+mn-cs"/>
            </a:rPr>
            <a:t>The likelihood of multi-purpose trips within the locality which are likely to be combined with a trip to the land in connection with the proposed use. </a:t>
          </a:r>
        </a:p>
        <a:p>
          <a:r>
            <a:rPr lang="en-AU" sz="800" b="0" i="0" u="none" strike="noStrike" baseline="0">
              <a:solidFill>
                <a:srgbClr val="00B050"/>
              </a:solidFill>
              <a:latin typeface="+mn-lt"/>
              <a:ea typeface="+mn-ea"/>
              <a:cs typeface="+mn-cs"/>
            </a:rPr>
            <a:t>The variation of car parking demand likely to be generated by the proposed use over time. </a:t>
          </a:r>
        </a:p>
        <a:p>
          <a:r>
            <a:rPr lang="en-AU" sz="800" b="0" i="0" u="none" strike="noStrike" baseline="0">
              <a:solidFill>
                <a:srgbClr val="00B050"/>
              </a:solidFill>
              <a:latin typeface="+mn-lt"/>
              <a:ea typeface="+mn-ea"/>
              <a:cs typeface="+mn-cs"/>
            </a:rPr>
            <a:t>The short-stay and long-stay car parking demand likely to be generated by the proposed use. </a:t>
          </a:r>
        </a:p>
        <a:p>
          <a:r>
            <a:rPr lang="en-AU" sz="800" b="0" i="0" u="none" strike="noStrike" baseline="0">
              <a:solidFill>
                <a:srgbClr val="00B050"/>
              </a:solidFill>
              <a:latin typeface="+mn-lt"/>
              <a:ea typeface="+mn-ea"/>
              <a:cs typeface="+mn-cs"/>
            </a:rPr>
            <a:t>The availability of public transport in the locality of the land. </a:t>
          </a:r>
        </a:p>
        <a:p>
          <a:r>
            <a:rPr lang="en-AU" sz="800" b="0" i="0" u="none" strike="noStrike" baseline="0">
              <a:solidFill>
                <a:srgbClr val="00B050"/>
              </a:solidFill>
              <a:latin typeface="+mn-lt"/>
              <a:ea typeface="+mn-ea"/>
              <a:cs typeface="+mn-cs"/>
            </a:rPr>
            <a:t>The convenience of pedestrian and cyclist access to the land. </a:t>
          </a:r>
        </a:p>
        <a:p>
          <a:r>
            <a:rPr lang="en-AU" sz="800" b="0" i="0" u="none" strike="noStrike" baseline="0">
              <a:solidFill>
                <a:srgbClr val="00B050"/>
              </a:solidFill>
              <a:latin typeface="+mn-lt"/>
              <a:ea typeface="+mn-ea"/>
              <a:cs typeface="+mn-cs"/>
            </a:rPr>
            <a:t>The provision of bicycle parking and end of trip facilities for cyclists in the locality of the land. </a:t>
          </a:r>
        </a:p>
        <a:p>
          <a:r>
            <a:rPr lang="en-AU" sz="800" b="0" i="0" u="none" strike="noStrike" baseline="0">
              <a:solidFill>
                <a:srgbClr val="00B050"/>
              </a:solidFill>
              <a:latin typeface="+mn-lt"/>
              <a:ea typeface="+mn-ea"/>
              <a:cs typeface="+mn-cs"/>
            </a:rPr>
            <a:t>The anticipated car ownership rates of likely or proposed visitors to or employees of the land. </a:t>
          </a:r>
        </a:p>
        <a:p>
          <a:r>
            <a:rPr lang="en-AU" sz="800" b="0" i="0" u="none" strike="noStrike" baseline="0">
              <a:solidFill>
                <a:srgbClr val="00B050"/>
              </a:solidFill>
              <a:latin typeface="+mn-lt"/>
              <a:ea typeface="+mn-ea"/>
              <a:cs typeface="+mn-cs"/>
            </a:rPr>
            <a:t>Any empirical assessment or case study. </a:t>
          </a:r>
        </a:p>
        <a:p>
          <a:endParaRPr lang="en-AU" sz="800" b="0" i="0" u="none" strike="noStrike" baseline="0">
            <a:solidFill>
              <a:schemeClr val="dk1"/>
            </a:solidFill>
            <a:latin typeface="+mn-lt"/>
            <a:ea typeface="+mn-ea"/>
            <a:cs typeface="+mn-cs"/>
          </a:endParaRPr>
        </a:p>
      </xdr:txBody>
    </xdr:sp>
    <xdr:clientData/>
  </xdr:twoCellAnchor>
</xdr:wsDr>
</file>

<file path=xl/drawings/drawing111.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2B00-000002000000}"/>
            </a:ext>
          </a:extLst>
        </xdr:cNvPr>
        <xdr:cNvSpPr txBox="1"/>
      </xdr:nvSpPr>
      <xdr:spPr>
        <a:xfrm>
          <a:off x="31749" y="20129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758431</xdr:colOff>
      <xdr:row>4</xdr:row>
      <xdr:rowOff>37873</xdr:rowOff>
    </xdr:to>
    <xdr:pic>
      <xdr:nvPicPr>
        <xdr:cNvPr id="3" name="Picture 2">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stretch>
          <a:fillRect/>
        </a:stretch>
      </xdr:blipFill>
      <xdr:spPr>
        <a:xfrm>
          <a:off x="4451350" y="156659"/>
          <a:ext cx="1180706" cy="6940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8430593" name="Check Box 1" hidden="1">
              <a:extLst>
                <a:ext uri="{63B3BB69-23CF-44E3-9099-C40C66FF867C}">
                  <a14:compatExt spid="_x0000_s8430593"/>
                </a:ext>
                <a:ext uri="{FF2B5EF4-FFF2-40B4-BE49-F238E27FC236}">
                  <a16:creationId xmlns:a16="http://schemas.microsoft.com/office/drawing/2014/main" id="{00000000-0008-0000-7000-000001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8430594" name="Check Box 2" hidden="1">
              <a:extLst>
                <a:ext uri="{63B3BB69-23CF-44E3-9099-C40C66FF867C}">
                  <a14:compatExt spid="_x0000_s8430594"/>
                </a:ext>
                <a:ext uri="{FF2B5EF4-FFF2-40B4-BE49-F238E27FC236}">
                  <a16:creationId xmlns:a16="http://schemas.microsoft.com/office/drawing/2014/main" id="{00000000-0008-0000-7000-000002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8430595" name="Check Box 3" hidden="1">
              <a:extLst>
                <a:ext uri="{63B3BB69-23CF-44E3-9099-C40C66FF867C}">
                  <a14:compatExt spid="_x0000_s8430595"/>
                </a:ext>
                <a:ext uri="{FF2B5EF4-FFF2-40B4-BE49-F238E27FC236}">
                  <a16:creationId xmlns:a16="http://schemas.microsoft.com/office/drawing/2014/main" id="{00000000-0008-0000-7000-000003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8430596" name="Check Box 4" hidden="1">
              <a:extLst>
                <a:ext uri="{63B3BB69-23CF-44E3-9099-C40C66FF867C}">
                  <a14:compatExt spid="_x0000_s8430596"/>
                </a:ext>
                <a:ext uri="{FF2B5EF4-FFF2-40B4-BE49-F238E27FC236}">
                  <a16:creationId xmlns:a16="http://schemas.microsoft.com/office/drawing/2014/main" id="{00000000-0008-0000-7000-000004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8430597" name="Check Box 5" hidden="1">
              <a:extLst>
                <a:ext uri="{63B3BB69-23CF-44E3-9099-C40C66FF867C}">
                  <a14:compatExt spid="_x0000_s8430597"/>
                </a:ext>
                <a:ext uri="{FF2B5EF4-FFF2-40B4-BE49-F238E27FC236}">
                  <a16:creationId xmlns:a16="http://schemas.microsoft.com/office/drawing/2014/main" id="{00000000-0008-0000-7000-000005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8430598" name="Check Box 6" hidden="1">
              <a:extLst>
                <a:ext uri="{63B3BB69-23CF-44E3-9099-C40C66FF867C}">
                  <a14:compatExt spid="_x0000_s8430598"/>
                </a:ext>
                <a:ext uri="{FF2B5EF4-FFF2-40B4-BE49-F238E27FC236}">
                  <a16:creationId xmlns:a16="http://schemas.microsoft.com/office/drawing/2014/main" id="{00000000-0008-0000-7000-000006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8430599" name="Check Box 7" hidden="1">
              <a:extLst>
                <a:ext uri="{63B3BB69-23CF-44E3-9099-C40C66FF867C}">
                  <a14:compatExt spid="_x0000_s8430599"/>
                </a:ext>
                <a:ext uri="{FF2B5EF4-FFF2-40B4-BE49-F238E27FC236}">
                  <a16:creationId xmlns:a16="http://schemas.microsoft.com/office/drawing/2014/main" id="{00000000-0008-0000-7000-000007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8430600" name="Button 8" hidden="1">
              <a:extLst>
                <a:ext uri="{63B3BB69-23CF-44E3-9099-C40C66FF867C}">
                  <a14:compatExt spid="_x0000_s8430600"/>
                </a:ext>
                <a:ext uri="{FF2B5EF4-FFF2-40B4-BE49-F238E27FC236}">
                  <a16:creationId xmlns:a16="http://schemas.microsoft.com/office/drawing/2014/main" id="{00000000-0008-0000-7000-000008A48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8430601" name="Button 9" hidden="1">
              <a:extLst>
                <a:ext uri="{63B3BB69-23CF-44E3-9099-C40C66FF867C}">
                  <a14:compatExt spid="_x0000_s8430601"/>
                </a:ext>
                <a:ext uri="{FF2B5EF4-FFF2-40B4-BE49-F238E27FC236}">
                  <a16:creationId xmlns:a16="http://schemas.microsoft.com/office/drawing/2014/main" id="{00000000-0008-0000-7000-000009A48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8430602" name="Check Box 10" hidden="1">
              <a:extLst>
                <a:ext uri="{63B3BB69-23CF-44E3-9099-C40C66FF867C}">
                  <a14:compatExt spid="_x0000_s8430602"/>
                </a:ext>
                <a:ext uri="{FF2B5EF4-FFF2-40B4-BE49-F238E27FC236}">
                  <a16:creationId xmlns:a16="http://schemas.microsoft.com/office/drawing/2014/main" id="{00000000-0008-0000-7000-00000A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8430603" name="Button 11" hidden="1">
              <a:extLst>
                <a:ext uri="{63B3BB69-23CF-44E3-9099-C40C66FF867C}">
                  <a14:compatExt spid="_x0000_s8430603"/>
                </a:ext>
                <a:ext uri="{FF2B5EF4-FFF2-40B4-BE49-F238E27FC236}">
                  <a16:creationId xmlns:a16="http://schemas.microsoft.com/office/drawing/2014/main" id="{00000000-0008-0000-7000-00000B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8430604" name="Button 12" hidden="1">
              <a:extLst>
                <a:ext uri="{63B3BB69-23CF-44E3-9099-C40C66FF867C}">
                  <a14:compatExt spid="_x0000_s8430604"/>
                </a:ext>
                <a:ext uri="{FF2B5EF4-FFF2-40B4-BE49-F238E27FC236}">
                  <a16:creationId xmlns:a16="http://schemas.microsoft.com/office/drawing/2014/main" id="{00000000-0008-0000-7000-00000C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8430605" name="Button 13" hidden="1">
              <a:extLst>
                <a:ext uri="{63B3BB69-23CF-44E3-9099-C40C66FF867C}">
                  <a14:compatExt spid="_x0000_s8430605"/>
                </a:ext>
                <a:ext uri="{FF2B5EF4-FFF2-40B4-BE49-F238E27FC236}">
                  <a16:creationId xmlns:a16="http://schemas.microsoft.com/office/drawing/2014/main" id="{00000000-0008-0000-7000-00000D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8430606" name="Button 14" hidden="1">
              <a:extLst>
                <a:ext uri="{63B3BB69-23CF-44E3-9099-C40C66FF867C}">
                  <a14:compatExt spid="_x0000_s8430606"/>
                </a:ext>
                <a:ext uri="{FF2B5EF4-FFF2-40B4-BE49-F238E27FC236}">
                  <a16:creationId xmlns:a16="http://schemas.microsoft.com/office/drawing/2014/main" id="{00000000-0008-0000-7000-00000E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8430607" name="Check Box 15" hidden="1">
              <a:extLst>
                <a:ext uri="{63B3BB69-23CF-44E3-9099-C40C66FF867C}">
                  <a14:compatExt spid="_x0000_s8430607"/>
                </a:ext>
                <a:ext uri="{FF2B5EF4-FFF2-40B4-BE49-F238E27FC236}">
                  <a16:creationId xmlns:a16="http://schemas.microsoft.com/office/drawing/2014/main" id="{00000000-0008-0000-7000-00000F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8430608" name="Check Box 16" hidden="1">
              <a:extLst>
                <a:ext uri="{63B3BB69-23CF-44E3-9099-C40C66FF867C}">
                  <a14:compatExt spid="_x0000_s8430608"/>
                </a:ext>
                <a:ext uri="{FF2B5EF4-FFF2-40B4-BE49-F238E27FC236}">
                  <a16:creationId xmlns:a16="http://schemas.microsoft.com/office/drawing/2014/main" id="{00000000-0008-0000-7000-000010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8430609" name="Check Box 17" hidden="1">
              <a:extLst>
                <a:ext uri="{63B3BB69-23CF-44E3-9099-C40C66FF867C}">
                  <a14:compatExt spid="_x0000_s8430609"/>
                </a:ext>
                <a:ext uri="{FF2B5EF4-FFF2-40B4-BE49-F238E27FC236}">
                  <a16:creationId xmlns:a16="http://schemas.microsoft.com/office/drawing/2014/main" id="{00000000-0008-0000-7000-000011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8430610" name="Check Box 18" hidden="1">
              <a:extLst>
                <a:ext uri="{63B3BB69-23CF-44E3-9099-C40C66FF867C}">
                  <a14:compatExt spid="_x0000_s8430610"/>
                </a:ext>
                <a:ext uri="{FF2B5EF4-FFF2-40B4-BE49-F238E27FC236}">
                  <a16:creationId xmlns:a16="http://schemas.microsoft.com/office/drawing/2014/main" id="{00000000-0008-0000-7000-000012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8430611" name="Check Box 19" hidden="1">
              <a:extLst>
                <a:ext uri="{63B3BB69-23CF-44E3-9099-C40C66FF867C}">
                  <a14:compatExt spid="_x0000_s8430611"/>
                </a:ext>
                <a:ext uri="{FF2B5EF4-FFF2-40B4-BE49-F238E27FC236}">
                  <a16:creationId xmlns:a16="http://schemas.microsoft.com/office/drawing/2014/main" id="{00000000-0008-0000-7000-000013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8430612" name="Check Box 20" hidden="1">
              <a:extLst>
                <a:ext uri="{63B3BB69-23CF-44E3-9099-C40C66FF867C}">
                  <a14:compatExt spid="_x0000_s8430612"/>
                </a:ext>
                <a:ext uri="{FF2B5EF4-FFF2-40B4-BE49-F238E27FC236}">
                  <a16:creationId xmlns:a16="http://schemas.microsoft.com/office/drawing/2014/main" id="{00000000-0008-0000-7000-000014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8430613" name="Check Box 21" hidden="1">
              <a:extLst>
                <a:ext uri="{63B3BB69-23CF-44E3-9099-C40C66FF867C}">
                  <a14:compatExt spid="_x0000_s8430613"/>
                </a:ext>
                <a:ext uri="{FF2B5EF4-FFF2-40B4-BE49-F238E27FC236}">
                  <a16:creationId xmlns:a16="http://schemas.microsoft.com/office/drawing/2014/main" id="{00000000-0008-0000-7000-000015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8430614" name="Check Box 22" hidden="1">
              <a:extLst>
                <a:ext uri="{63B3BB69-23CF-44E3-9099-C40C66FF867C}">
                  <a14:compatExt spid="_x0000_s8430614"/>
                </a:ext>
                <a:ext uri="{FF2B5EF4-FFF2-40B4-BE49-F238E27FC236}">
                  <a16:creationId xmlns:a16="http://schemas.microsoft.com/office/drawing/2014/main" id="{00000000-0008-0000-7000-000016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8430615" name="Check Box 23" hidden="1">
              <a:extLst>
                <a:ext uri="{63B3BB69-23CF-44E3-9099-C40C66FF867C}">
                  <a14:compatExt spid="_x0000_s8430615"/>
                </a:ext>
                <a:ext uri="{FF2B5EF4-FFF2-40B4-BE49-F238E27FC236}">
                  <a16:creationId xmlns:a16="http://schemas.microsoft.com/office/drawing/2014/main" id="{00000000-0008-0000-7000-000017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8430616" name="Check Box 24" hidden="1">
              <a:extLst>
                <a:ext uri="{63B3BB69-23CF-44E3-9099-C40C66FF867C}">
                  <a14:compatExt spid="_x0000_s8430616"/>
                </a:ext>
                <a:ext uri="{FF2B5EF4-FFF2-40B4-BE49-F238E27FC236}">
                  <a16:creationId xmlns:a16="http://schemas.microsoft.com/office/drawing/2014/main" id="{00000000-0008-0000-7000-000018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8430617" name="Check Box 25" hidden="1">
              <a:extLst>
                <a:ext uri="{63B3BB69-23CF-44E3-9099-C40C66FF867C}">
                  <a14:compatExt spid="_x0000_s8430617"/>
                </a:ext>
                <a:ext uri="{FF2B5EF4-FFF2-40B4-BE49-F238E27FC236}">
                  <a16:creationId xmlns:a16="http://schemas.microsoft.com/office/drawing/2014/main" id="{00000000-0008-0000-7000-000019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8430618" name="Check Box 26" hidden="1">
              <a:extLst>
                <a:ext uri="{63B3BB69-23CF-44E3-9099-C40C66FF867C}">
                  <a14:compatExt spid="_x0000_s8430618"/>
                </a:ext>
                <a:ext uri="{FF2B5EF4-FFF2-40B4-BE49-F238E27FC236}">
                  <a16:creationId xmlns:a16="http://schemas.microsoft.com/office/drawing/2014/main" id="{00000000-0008-0000-7000-00001A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8430619" name="Check Box 27" hidden="1">
              <a:extLst>
                <a:ext uri="{63B3BB69-23CF-44E3-9099-C40C66FF867C}">
                  <a14:compatExt spid="_x0000_s8430619"/>
                </a:ext>
                <a:ext uri="{FF2B5EF4-FFF2-40B4-BE49-F238E27FC236}">
                  <a16:creationId xmlns:a16="http://schemas.microsoft.com/office/drawing/2014/main" id="{00000000-0008-0000-7000-00001B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8430620" name="Check Box 28" hidden="1">
              <a:extLst>
                <a:ext uri="{63B3BB69-23CF-44E3-9099-C40C66FF867C}">
                  <a14:compatExt spid="_x0000_s8430620"/>
                </a:ext>
                <a:ext uri="{FF2B5EF4-FFF2-40B4-BE49-F238E27FC236}">
                  <a16:creationId xmlns:a16="http://schemas.microsoft.com/office/drawing/2014/main" id="{00000000-0008-0000-7000-00001C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8430621" name="Check Box 29" hidden="1">
              <a:extLst>
                <a:ext uri="{63B3BB69-23CF-44E3-9099-C40C66FF867C}">
                  <a14:compatExt spid="_x0000_s8430621"/>
                </a:ext>
                <a:ext uri="{FF2B5EF4-FFF2-40B4-BE49-F238E27FC236}">
                  <a16:creationId xmlns:a16="http://schemas.microsoft.com/office/drawing/2014/main" id="{00000000-0008-0000-7000-00001D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8430622" name="Check Box 30" hidden="1">
              <a:extLst>
                <a:ext uri="{63B3BB69-23CF-44E3-9099-C40C66FF867C}">
                  <a14:compatExt spid="_x0000_s8430622"/>
                </a:ext>
                <a:ext uri="{FF2B5EF4-FFF2-40B4-BE49-F238E27FC236}">
                  <a16:creationId xmlns:a16="http://schemas.microsoft.com/office/drawing/2014/main" id="{00000000-0008-0000-7000-00001E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8430623" name="Check Box 31" hidden="1">
              <a:extLst>
                <a:ext uri="{63B3BB69-23CF-44E3-9099-C40C66FF867C}">
                  <a14:compatExt spid="_x0000_s8430623"/>
                </a:ext>
                <a:ext uri="{FF2B5EF4-FFF2-40B4-BE49-F238E27FC236}">
                  <a16:creationId xmlns:a16="http://schemas.microsoft.com/office/drawing/2014/main" id="{00000000-0008-0000-7000-00001F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8430624" name="Button 32" hidden="1">
              <a:extLst>
                <a:ext uri="{63B3BB69-23CF-44E3-9099-C40C66FF867C}">
                  <a14:compatExt spid="_x0000_s8430624"/>
                </a:ext>
                <a:ext uri="{FF2B5EF4-FFF2-40B4-BE49-F238E27FC236}">
                  <a16:creationId xmlns:a16="http://schemas.microsoft.com/office/drawing/2014/main" id="{00000000-0008-0000-7000-000020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8430625" name="Button 33" hidden="1">
              <a:extLst>
                <a:ext uri="{63B3BB69-23CF-44E3-9099-C40C66FF867C}">
                  <a14:compatExt spid="_x0000_s8430625"/>
                </a:ext>
                <a:ext uri="{FF2B5EF4-FFF2-40B4-BE49-F238E27FC236}">
                  <a16:creationId xmlns:a16="http://schemas.microsoft.com/office/drawing/2014/main" id="{00000000-0008-0000-7000-000021A48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8430626" name="Check Box 34" hidden="1">
              <a:extLst>
                <a:ext uri="{63B3BB69-23CF-44E3-9099-C40C66FF867C}">
                  <a14:compatExt spid="_x0000_s8430626"/>
                </a:ext>
                <a:ext uri="{FF2B5EF4-FFF2-40B4-BE49-F238E27FC236}">
                  <a16:creationId xmlns:a16="http://schemas.microsoft.com/office/drawing/2014/main" id="{00000000-0008-0000-7000-000022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8430627" name="Check Box 35" hidden="1">
              <a:extLst>
                <a:ext uri="{63B3BB69-23CF-44E3-9099-C40C66FF867C}">
                  <a14:compatExt spid="_x0000_s8430627"/>
                </a:ext>
                <a:ext uri="{FF2B5EF4-FFF2-40B4-BE49-F238E27FC236}">
                  <a16:creationId xmlns:a16="http://schemas.microsoft.com/office/drawing/2014/main" id="{00000000-0008-0000-7000-000023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8430628" name="Check Box 36" hidden="1">
              <a:extLst>
                <a:ext uri="{63B3BB69-23CF-44E3-9099-C40C66FF867C}">
                  <a14:compatExt spid="_x0000_s8430628"/>
                </a:ext>
                <a:ext uri="{FF2B5EF4-FFF2-40B4-BE49-F238E27FC236}">
                  <a16:creationId xmlns:a16="http://schemas.microsoft.com/office/drawing/2014/main" id="{00000000-0008-0000-7000-000024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8430629" name="Check Box 37" hidden="1">
              <a:extLst>
                <a:ext uri="{63B3BB69-23CF-44E3-9099-C40C66FF867C}">
                  <a14:compatExt spid="_x0000_s8430629"/>
                </a:ext>
                <a:ext uri="{FF2B5EF4-FFF2-40B4-BE49-F238E27FC236}">
                  <a16:creationId xmlns:a16="http://schemas.microsoft.com/office/drawing/2014/main" id="{00000000-0008-0000-7000-000025A48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2.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0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aseline="0"/>
            <a:t>DECK SIZE: 6.6 X 8.0M </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7510017" name="Check Box 1" hidden="1">
              <a:extLst>
                <a:ext uri="{63B3BB69-23CF-44E3-9099-C40C66FF867C}">
                  <a14:compatExt spid="_x0000_s7510017"/>
                </a:ext>
                <a:ext uri="{FF2B5EF4-FFF2-40B4-BE49-F238E27FC236}">
                  <a16:creationId xmlns:a16="http://schemas.microsoft.com/office/drawing/2014/main" id="{00000000-0008-0000-7100-000001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7510018" name="Check Box 2" hidden="1">
              <a:extLst>
                <a:ext uri="{63B3BB69-23CF-44E3-9099-C40C66FF867C}">
                  <a14:compatExt spid="_x0000_s7510018"/>
                </a:ext>
                <a:ext uri="{FF2B5EF4-FFF2-40B4-BE49-F238E27FC236}">
                  <a16:creationId xmlns:a16="http://schemas.microsoft.com/office/drawing/2014/main" id="{00000000-0008-0000-7100-000002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7510019" name="Check Box 3" hidden="1">
              <a:extLst>
                <a:ext uri="{63B3BB69-23CF-44E3-9099-C40C66FF867C}">
                  <a14:compatExt spid="_x0000_s7510019"/>
                </a:ext>
                <a:ext uri="{FF2B5EF4-FFF2-40B4-BE49-F238E27FC236}">
                  <a16:creationId xmlns:a16="http://schemas.microsoft.com/office/drawing/2014/main" id="{00000000-0008-0000-7100-000003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7510020" name="Check Box 4" hidden="1">
              <a:extLst>
                <a:ext uri="{63B3BB69-23CF-44E3-9099-C40C66FF867C}">
                  <a14:compatExt spid="_x0000_s7510020"/>
                </a:ext>
                <a:ext uri="{FF2B5EF4-FFF2-40B4-BE49-F238E27FC236}">
                  <a16:creationId xmlns:a16="http://schemas.microsoft.com/office/drawing/2014/main" id="{00000000-0008-0000-7100-000004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7510021" name="Check Box 5" hidden="1">
              <a:extLst>
                <a:ext uri="{63B3BB69-23CF-44E3-9099-C40C66FF867C}">
                  <a14:compatExt spid="_x0000_s7510021"/>
                </a:ext>
                <a:ext uri="{FF2B5EF4-FFF2-40B4-BE49-F238E27FC236}">
                  <a16:creationId xmlns:a16="http://schemas.microsoft.com/office/drawing/2014/main" id="{00000000-0008-0000-7100-000005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7510022" name="Check Box 6" hidden="1">
              <a:extLst>
                <a:ext uri="{63B3BB69-23CF-44E3-9099-C40C66FF867C}">
                  <a14:compatExt spid="_x0000_s7510022"/>
                </a:ext>
                <a:ext uri="{FF2B5EF4-FFF2-40B4-BE49-F238E27FC236}">
                  <a16:creationId xmlns:a16="http://schemas.microsoft.com/office/drawing/2014/main" id="{00000000-0008-0000-7100-000006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7510023" name="Check Box 7" hidden="1">
              <a:extLst>
                <a:ext uri="{63B3BB69-23CF-44E3-9099-C40C66FF867C}">
                  <a14:compatExt spid="_x0000_s7510023"/>
                </a:ext>
                <a:ext uri="{FF2B5EF4-FFF2-40B4-BE49-F238E27FC236}">
                  <a16:creationId xmlns:a16="http://schemas.microsoft.com/office/drawing/2014/main" id="{00000000-0008-0000-7100-000007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7510024" name="Check Box 8" hidden="1">
              <a:extLst>
                <a:ext uri="{63B3BB69-23CF-44E3-9099-C40C66FF867C}">
                  <a14:compatExt spid="_x0000_s7510024"/>
                </a:ext>
                <a:ext uri="{FF2B5EF4-FFF2-40B4-BE49-F238E27FC236}">
                  <a16:creationId xmlns:a16="http://schemas.microsoft.com/office/drawing/2014/main" id="{00000000-0008-0000-7100-000008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7510025" name="Check Box 9" hidden="1">
              <a:extLst>
                <a:ext uri="{63B3BB69-23CF-44E3-9099-C40C66FF867C}">
                  <a14:compatExt spid="_x0000_s7510025"/>
                </a:ext>
                <a:ext uri="{FF2B5EF4-FFF2-40B4-BE49-F238E27FC236}">
                  <a16:creationId xmlns:a16="http://schemas.microsoft.com/office/drawing/2014/main" id="{00000000-0008-0000-7100-000009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7510026" name="Check Box 10" hidden="1">
              <a:extLst>
                <a:ext uri="{63B3BB69-23CF-44E3-9099-C40C66FF867C}">
                  <a14:compatExt spid="_x0000_s7510026"/>
                </a:ext>
                <a:ext uri="{FF2B5EF4-FFF2-40B4-BE49-F238E27FC236}">
                  <a16:creationId xmlns:a16="http://schemas.microsoft.com/office/drawing/2014/main" id="{00000000-0008-0000-7100-00000A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7510027" name="Check Box 11" hidden="1">
              <a:extLst>
                <a:ext uri="{63B3BB69-23CF-44E3-9099-C40C66FF867C}">
                  <a14:compatExt spid="_x0000_s7510027"/>
                </a:ext>
                <a:ext uri="{FF2B5EF4-FFF2-40B4-BE49-F238E27FC236}">
                  <a16:creationId xmlns:a16="http://schemas.microsoft.com/office/drawing/2014/main" id="{00000000-0008-0000-7100-00000B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7510028" name="Check Box 12" hidden="1">
              <a:extLst>
                <a:ext uri="{63B3BB69-23CF-44E3-9099-C40C66FF867C}">
                  <a14:compatExt spid="_x0000_s7510028"/>
                </a:ext>
                <a:ext uri="{FF2B5EF4-FFF2-40B4-BE49-F238E27FC236}">
                  <a16:creationId xmlns:a16="http://schemas.microsoft.com/office/drawing/2014/main" id="{00000000-0008-0000-7100-00000C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7510029" name="Check Box 13" hidden="1">
              <a:extLst>
                <a:ext uri="{63B3BB69-23CF-44E3-9099-C40C66FF867C}">
                  <a14:compatExt spid="_x0000_s7510029"/>
                </a:ext>
                <a:ext uri="{FF2B5EF4-FFF2-40B4-BE49-F238E27FC236}">
                  <a16:creationId xmlns:a16="http://schemas.microsoft.com/office/drawing/2014/main" id="{00000000-0008-0000-7100-00000D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510030" name="Check Box 14" hidden="1">
              <a:extLst>
                <a:ext uri="{63B3BB69-23CF-44E3-9099-C40C66FF867C}">
                  <a14:compatExt spid="_x0000_s7510030"/>
                </a:ext>
                <a:ext uri="{FF2B5EF4-FFF2-40B4-BE49-F238E27FC236}">
                  <a16:creationId xmlns:a16="http://schemas.microsoft.com/office/drawing/2014/main" id="{00000000-0008-0000-7100-00000E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510031" name="Check Box 15" hidden="1">
              <a:extLst>
                <a:ext uri="{63B3BB69-23CF-44E3-9099-C40C66FF867C}">
                  <a14:compatExt spid="_x0000_s7510031"/>
                </a:ext>
                <a:ext uri="{FF2B5EF4-FFF2-40B4-BE49-F238E27FC236}">
                  <a16:creationId xmlns:a16="http://schemas.microsoft.com/office/drawing/2014/main" id="{00000000-0008-0000-7100-00000F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510032" name="Check Box 16" hidden="1">
              <a:extLst>
                <a:ext uri="{63B3BB69-23CF-44E3-9099-C40C66FF867C}">
                  <a14:compatExt spid="_x0000_s7510032"/>
                </a:ext>
                <a:ext uri="{FF2B5EF4-FFF2-40B4-BE49-F238E27FC236}">
                  <a16:creationId xmlns:a16="http://schemas.microsoft.com/office/drawing/2014/main" id="{00000000-0008-0000-7100-000010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7510033" name="Check Box 17" hidden="1">
              <a:extLst>
                <a:ext uri="{63B3BB69-23CF-44E3-9099-C40C66FF867C}">
                  <a14:compatExt spid="_x0000_s7510033"/>
                </a:ext>
                <a:ext uri="{FF2B5EF4-FFF2-40B4-BE49-F238E27FC236}">
                  <a16:creationId xmlns:a16="http://schemas.microsoft.com/office/drawing/2014/main" id="{00000000-0008-0000-7100-000011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7510034" name="Check Box 18" hidden="1">
              <a:extLst>
                <a:ext uri="{63B3BB69-23CF-44E3-9099-C40C66FF867C}">
                  <a14:compatExt spid="_x0000_s7510034"/>
                </a:ext>
                <a:ext uri="{FF2B5EF4-FFF2-40B4-BE49-F238E27FC236}">
                  <a16:creationId xmlns:a16="http://schemas.microsoft.com/office/drawing/2014/main" id="{00000000-0008-0000-7100-000012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7510035" name="Check Box 19" hidden="1">
              <a:extLst>
                <a:ext uri="{63B3BB69-23CF-44E3-9099-C40C66FF867C}">
                  <a14:compatExt spid="_x0000_s7510035"/>
                </a:ext>
                <a:ext uri="{FF2B5EF4-FFF2-40B4-BE49-F238E27FC236}">
                  <a16:creationId xmlns:a16="http://schemas.microsoft.com/office/drawing/2014/main" id="{00000000-0008-0000-7100-000013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7510036" name="Check Box 20" hidden="1">
              <a:extLst>
                <a:ext uri="{63B3BB69-23CF-44E3-9099-C40C66FF867C}">
                  <a14:compatExt spid="_x0000_s7510036"/>
                </a:ext>
                <a:ext uri="{FF2B5EF4-FFF2-40B4-BE49-F238E27FC236}">
                  <a16:creationId xmlns:a16="http://schemas.microsoft.com/office/drawing/2014/main" id="{00000000-0008-0000-7100-000014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7510037" name="Check Box 21" hidden="1">
              <a:extLst>
                <a:ext uri="{63B3BB69-23CF-44E3-9099-C40C66FF867C}">
                  <a14:compatExt spid="_x0000_s7510037"/>
                </a:ext>
                <a:ext uri="{FF2B5EF4-FFF2-40B4-BE49-F238E27FC236}">
                  <a16:creationId xmlns:a16="http://schemas.microsoft.com/office/drawing/2014/main" id="{00000000-0008-0000-7100-000015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7510038" name="Check Box 22" hidden="1">
              <a:extLst>
                <a:ext uri="{63B3BB69-23CF-44E3-9099-C40C66FF867C}">
                  <a14:compatExt spid="_x0000_s7510038"/>
                </a:ext>
                <a:ext uri="{FF2B5EF4-FFF2-40B4-BE49-F238E27FC236}">
                  <a16:creationId xmlns:a16="http://schemas.microsoft.com/office/drawing/2014/main" id="{00000000-0008-0000-7100-000016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7510039" name="Check Box 23" hidden="1">
              <a:extLst>
                <a:ext uri="{63B3BB69-23CF-44E3-9099-C40C66FF867C}">
                  <a14:compatExt spid="_x0000_s7510039"/>
                </a:ext>
                <a:ext uri="{FF2B5EF4-FFF2-40B4-BE49-F238E27FC236}">
                  <a16:creationId xmlns:a16="http://schemas.microsoft.com/office/drawing/2014/main" id="{00000000-0008-0000-7100-000017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7510040" name="Button 24" hidden="1">
              <a:extLst>
                <a:ext uri="{63B3BB69-23CF-44E3-9099-C40C66FF867C}">
                  <a14:compatExt spid="_x0000_s7510040"/>
                </a:ext>
                <a:ext uri="{FF2B5EF4-FFF2-40B4-BE49-F238E27FC236}">
                  <a16:creationId xmlns:a16="http://schemas.microsoft.com/office/drawing/2014/main" id="{00000000-0008-0000-7100-000018987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7510041" name="Button 25" hidden="1">
              <a:extLst>
                <a:ext uri="{63B3BB69-23CF-44E3-9099-C40C66FF867C}">
                  <a14:compatExt spid="_x0000_s7510041"/>
                </a:ext>
                <a:ext uri="{FF2B5EF4-FFF2-40B4-BE49-F238E27FC236}">
                  <a16:creationId xmlns:a16="http://schemas.microsoft.com/office/drawing/2014/main" id="{00000000-0008-0000-7100-000019987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7510042" name="Check Box 26" hidden="1">
              <a:extLst>
                <a:ext uri="{63B3BB69-23CF-44E3-9099-C40C66FF867C}">
                  <a14:compatExt spid="_x0000_s7510042"/>
                </a:ext>
                <a:ext uri="{FF2B5EF4-FFF2-40B4-BE49-F238E27FC236}">
                  <a16:creationId xmlns:a16="http://schemas.microsoft.com/office/drawing/2014/main" id="{00000000-0008-0000-7100-00001A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7510043" name="Button 27" hidden="1">
              <a:extLst>
                <a:ext uri="{63B3BB69-23CF-44E3-9099-C40C66FF867C}">
                  <a14:compatExt spid="_x0000_s7510043"/>
                </a:ext>
                <a:ext uri="{FF2B5EF4-FFF2-40B4-BE49-F238E27FC236}">
                  <a16:creationId xmlns:a16="http://schemas.microsoft.com/office/drawing/2014/main" id="{00000000-0008-0000-7100-00001B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7510044" name="Button 28" hidden="1">
              <a:extLst>
                <a:ext uri="{63B3BB69-23CF-44E3-9099-C40C66FF867C}">
                  <a14:compatExt spid="_x0000_s7510044"/>
                </a:ext>
                <a:ext uri="{FF2B5EF4-FFF2-40B4-BE49-F238E27FC236}">
                  <a16:creationId xmlns:a16="http://schemas.microsoft.com/office/drawing/2014/main" id="{00000000-0008-0000-7100-00001C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7510045" name="Button 29" hidden="1">
              <a:extLst>
                <a:ext uri="{63B3BB69-23CF-44E3-9099-C40C66FF867C}">
                  <a14:compatExt spid="_x0000_s7510045"/>
                </a:ext>
                <a:ext uri="{FF2B5EF4-FFF2-40B4-BE49-F238E27FC236}">
                  <a16:creationId xmlns:a16="http://schemas.microsoft.com/office/drawing/2014/main" id="{00000000-0008-0000-7100-00001D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7510046" name="Button 30" hidden="1">
              <a:extLst>
                <a:ext uri="{63B3BB69-23CF-44E3-9099-C40C66FF867C}">
                  <a14:compatExt spid="_x0000_s7510046"/>
                </a:ext>
                <a:ext uri="{FF2B5EF4-FFF2-40B4-BE49-F238E27FC236}">
                  <a16:creationId xmlns:a16="http://schemas.microsoft.com/office/drawing/2014/main" id="{00000000-0008-0000-7100-00001E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7510047" name="Button 31" hidden="1">
              <a:extLst>
                <a:ext uri="{63B3BB69-23CF-44E3-9099-C40C66FF867C}">
                  <a14:compatExt spid="_x0000_s7510047"/>
                </a:ext>
                <a:ext uri="{FF2B5EF4-FFF2-40B4-BE49-F238E27FC236}">
                  <a16:creationId xmlns:a16="http://schemas.microsoft.com/office/drawing/2014/main" id="{00000000-0008-0000-7100-00001F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7510048" name="Button 32" hidden="1">
              <a:extLst>
                <a:ext uri="{63B3BB69-23CF-44E3-9099-C40C66FF867C}">
                  <a14:compatExt spid="_x0000_s7510048"/>
                </a:ext>
                <a:ext uri="{FF2B5EF4-FFF2-40B4-BE49-F238E27FC236}">
                  <a16:creationId xmlns:a16="http://schemas.microsoft.com/office/drawing/2014/main" id="{00000000-0008-0000-7100-000020987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7510049" name="Check Box 33" hidden="1">
              <a:extLst>
                <a:ext uri="{63B3BB69-23CF-44E3-9099-C40C66FF867C}">
                  <a14:compatExt spid="_x0000_s7510049"/>
                </a:ext>
                <a:ext uri="{FF2B5EF4-FFF2-40B4-BE49-F238E27FC236}">
                  <a16:creationId xmlns:a16="http://schemas.microsoft.com/office/drawing/2014/main" id="{00000000-0008-0000-7100-000021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7510050" name="Check Box 34" hidden="1">
              <a:extLst>
                <a:ext uri="{63B3BB69-23CF-44E3-9099-C40C66FF867C}">
                  <a14:compatExt spid="_x0000_s7510050"/>
                </a:ext>
                <a:ext uri="{FF2B5EF4-FFF2-40B4-BE49-F238E27FC236}">
                  <a16:creationId xmlns:a16="http://schemas.microsoft.com/office/drawing/2014/main" id="{00000000-0008-0000-7100-000022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510051" name="Check Box 35" hidden="1">
              <a:extLst>
                <a:ext uri="{63B3BB69-23CF-44E3-9099-C40C66FF867C}">
                  <a14:compatExt spid="_x0000_s7510051"/>
                </a:ext>
                <a:ext uri="{FF2B5EF4-FFF2-40B4-BE49-F238E27FC236}">
                  <a16:creationId xmlns:a16="http://schemas.microsoft.com/office/drawing/2014/main" id="{00000000-0008-0000-7100-000023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510052" name="Check Box 36" hidden="1">
              <a:extLst>
                <a:ext uri="{63B3BB69-23CF-44E3-9099-C40C66FF867C}">
                  <a14:compatExt spid="_x0000_s7510052"/>
                </a:ext>
                <a:ext uri="{FF2B5EF4-FFF2-40B4-BE49-F238E27FC236}">
                  <a16:creationId xmlns:a16="http://schemas.microsoft.com/office/drawing/2014/main" id="{00000000-0008-0000-7100-000024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7510053" name="Check Box 37" hidden="1">
              <a:extLst>
                <a:ext uri="{63B3BB69-23CF-44E3-9099-C40C66FF867C}">
                  <a14:compatExt spid="_x0000_s7510053"/>
                </a:ext>
                <a:ext uri="{FF2B5EF4-FFF2-40B4-BE49-F238E27FC236}">
                  <a16:creationId xmlns:a16="http://schemas.microsoft.com/office/drawing/2014/main" id="{00000000-0008-0000-7100-000025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510054" name="Check Box 38" hidden="1">
              <a:extLst>
                <a:ext uri="{63B3BB69-23CF-44E3-9099-C40C66FF867C}">
                  <a14:compatExt spid="_x0000_s7510054"/>
                </a:ext>
                <a:ext uri="{FF2B5EF4-FFF2-40B4-BE49-F238E27FC236}">
                  <a16:creationId xmlns:a16="http://schemas.microsoft.com/office/drawing/2014/main" id="{00000000-0008-0000-7100-000026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510055" name="Check Box 39" hidden="1">
              <a:extLst>
                <a:ext uri="{63B3BB69-23CF-44E3-9099-C40C66FF867C}">
                  <a14:compatExt spid="_x0000_s7510055"/>
                </a:ext>
                <a:ext uri="{FF2B5EF4-FFF2-40B4-BE49-F238E27FC236}">
                  <a16:creationId xmlns:a16="http://schemas.microsoft.com/office/drawing/2014/main" id="{00000000-0008-0000-7100-000027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510056" name="Check Box 40" hidden="1">
              <a:extLst>
                <a:ext uri="{63B3BB69-23CF-44E3-9099-C40C66FF867C}">
                  <a14:compatExt spid="_x0000_s7510056"/>
                </a:ext>
                <a:ext uri="{FF2B5EF4-FFF2-40B4-BE49-F238E27FC236}">
                  <a16:creationId xmlns:a16="http://schemas.microsoft.com/office/drawing/2014/main" id="{00000000-0008-0000-7100-000028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510057" name="Check Box 41" hidden="1">
              <a:extLst>
                <a:ext uri="{63B3BB69-23CF-44E3-9099-C40C66FF867C}">
                  <a14:compatExt spid="_x0000_s7510057"/>
                </a:ext>
                <a:ext uri="{FF2B5EF4-FFF2-40B4-BE49-F238E27FC236}">
                  <a16:creationId xmlns:a16="http://schemas.microsoft.com/office/drawing/2014/main" id="{00000000-0008-0000-7100-000029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510058" name="Check Box 42" hidden="1">
              <a:extLst>
                <a:ext uri="{63B3BB69-23CF-44E3-9099-C40C66FF867C}">
                  <a14:compatExt spid="_x0000_s7510058"/>
                </a:ext>
                <a:ext uri="{FF2B5EF4-FFF2-40B4-BE49-F238E27FC236}">
                  <a16:creationId xmlns:a16="http://schemas.microsoft.com/office/drawing/2014/main" id="{00000000-0008-0000-7100-00002A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510059" name="Check Box 43" hidden="1">
              <a:extLst>
                <a:ext uri="{63B3BB69-23CF-44E3-9099-C40C66FF867C}">
                  <a14:compatExt spid="_x0000_s7510059"/>
                </a:ext>
                <a:ext uri="{FF2B5EF4-FFF2-40B4-BE49-F238E27FC236}">
                  <a16:creationId xmlns:a16="http://schemas.microsoft.com/office/drawing/2014/main" id="{00000000-0008-0000-7100-00002B987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3.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3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7177217" name="Check Box 1" hidden="1">
              <a:extLst>
                <a:ext uri="{63B3BB69-23CF-44E3-9099-C40C66FF867C}">
                  <a14:compatExt spid="_x0000_s7177217"/>
                </a:ext>
                <a:ext uri="{FF2B5EF4-FFF2-40B4-BE49-F238E27FC236}">
                  <a16:creationId xmlns:a16="http://schemas.microsoft.com/office/drawing/2014/main" id="{00000000-0008-0000-7200-000001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7177218" name="Check Box 2" hidden="1">
              <a:extLst>
                <a:ext uri="{63B3BB69-23CF-44E3-9099-C40C66FF867C}">
                  <a14:compatExt spid="_x0000_s7177218"/>
                </a:ext>
                <a:ext uri="{FF2B5EF4-FFF2-40B4-BE49-F238E27FC236}">
                  <a16:creationId xmlns:a16="http://schemas.microsoft.com/office/drawing/2014/main" id="{00000000-0008-0000-7200-000002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7177219" name="Check Box 3" hidden="1">
              <a:extLst>
                <a:ext uri="{63B3BB69-23CF-44E3-9099-C40C66FF867C}">
                  <a14:compatExt spid="_x0000_s7177219"/>
                </a:ext>
                <a:ext uri="{FF2B5EF4-FFF2-40B4-BE49-F238E27FC236}">
                  <a16:creationId xmlns:a16="http://schemas.microsoft.com/office/drawing/2014/main" id="{00000000-0008-0000-7200-000003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7177220" name="Check Box 4" hidden="1">
              <a:extLst>
                <a:ext uri="{63B3BB69-23CF-44E3-9099-C40C66FF867C}">
                  <a14:compatExt spid="_x0000_s7177220"/>
                </a:ext>
                <a:ext uri="{FF2B5EF4-FFF2-40B4-BE49-F238E27FC236}">
                  <a16:creationId xmlns:a16="http://schemas.microsoft.com/office/drawing/2014/main" id="{00000000-0008-0000-7200-000004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7177221" name="Check Box 5" hidden="1">
              <a:extLst>
                <a:ext uri="{63B3BB69-23CF-44E3-9099-C40C66FF867C}">
                  <a14:compatExt spid="_x0000_s7177221"/>
                </a:ext>
                <a:ext uri="{FF2B5EF4-FFF2-40B4-BE49-F238E27FC236}">
                  <a16:creationId xmlns:a16="http://schemas.microsoft.com/office/drawing/2014/main" id="{00000000-0008-0000-7200-000005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7177222" name="Check Box 6" hidden="1">
              <a:extLst>
                <a:ext uri="{63B3BB69-23CF-44E3-9099-C40C66FF867C}">
                  <a14:compatExt spid="_x0000_s7177222"/>
                </a:ext>
                <a:ext uri="{FF2B5EF4-FFF2-40B4-BE49-F238E27FC236}">
                  <a16:creationId xmlns:a16="http://schemas.microsoft.com/office/drawing/2014/main" id="{00000000-0008-0000-7200-000006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7177223" name="Check Box 7" hidden="1">
              <a:extLst>
                <a:ext uri="{63B3BB69-23CF-44E3-9099-C40C66FF867C}">
                  <a14:compatExt spid="_x0000_s7177223"/>
                </a:ext>
                <a:ext uri="{FF2B5EF4-FFF2-40B4-BE49-F238E27FC236}">
                  <a16:creationId xmlns:a16="http://schemas.microsoft.com/office/drawing/2014/main" id="{00000000-0008-0000-7200-000007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7177224" name="Check Box 8" hidden="1">
              <a:extLst>
                <a:ext uri="{63B3BB69-23CF-44E3-9099-C40C66FF867C}">
                  <a14:compatExt spid="_x0000_s7177224"/>
                </a:ext>
                <a:ext uri="{FF2B5EF4-FFF2-40B4-BE49-F238E27FC236}">
                  <a16:creationId xmlns:a16="http://schemas.microsoft.com/office/drawing/2014/main" id="{00000000-0008-0000-7200-000008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7177225" name="Check Box 9" hidden="1">
              <a:extLst>
                <a:ext uri="{63B3BB69-23CF-44E3-9099-C40C66FF867C}">
                  <a14:compatExt spid="_x0000_s7177225"/>
                </a:ext>
                <a:ext uri="{FF2B5EF4-FFF2-40B4-BE49-F238E27FC236}">
                  <a16:creationId xmlns:a16="http://schemas.microsoft.com/office/drawing/2014/main" id="{00000000-0008-0000-7200-000009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7177226" name="Check Box 10" hidden="1">
              <a:extLst>
                <a:ext uri="{63B3BB69-23CF-44E3-9099-C40C66FF867C}">
                  <a14:compatExt spid="_x0000_s7177226"/>
                </a:ext>
                <a:ext uri="{FF2B5EF4-FFF2-40B4-BE49-F238E27FC236}">
                  <a16:creationId xmlns:a16="http://schemas.microsoft.com/office/drawing/2014/main" id="{00000000-0008-0000-7200-00000A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7177227" name="Check Box 11" hidden="1">
              <a:extLst>
                <a:ext uri="{63B3BB69-23CF-44E3-9099-C40C66FF867C}">
                  <a14:compatExt spid="_x0000_s7177227"/>
                </a:ext>
                <a:ext uri="{FF2B5EF4-FFF2-40B4-BE49-F238E27FC236}">
                  <a16:creationId xmlns:a16="http://schemas.microsoft.com/office/drawing/2014/main" id="{00000000-0008-0000-7200-00000B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7177228" name="Check Box 12" hidden="1">
              <a:extLst>
                <a:ext uri="{63B3BB69-23CF-44E3-9099-C40C66FF867C}">
                  <a14:compatExt spid="_x0000_s7177228"/>
                </a:ext>
                <a:ext uri="{FF2B5EF4-FFF2-40B4-BE49-F238E27FC236}">
                  <a16:creationId xmlns:a16="http://schemas.microsoft.com/office/drawing/2014/main" id="{00000000-0008-0000-7200-00000C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7177229" name="Check Box 13" hidden="1">
              <a:extLst>
                <a:ext uri="{63B3BB69-23CF-44E3-9099-C40C66FF867C}">
                  <a14:compatExt spid="_x0000_s7177229"/>
                </a:ext>
                <a:ext uri="{FF2B5EF4-FFF2-40B4-BE49-F238E27FC236}">
                  <a16:creationId xmlns:a16="http://schemas.microsoft.com/office/drawing/2014/main" id="{00000000-0008-0000-7200-00000D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177230" name="Check Box 14" hidden="1">
              <a:extLst>
                <a:ext uri="{63B3BB69-23CF-44E3-9099-C40C66FF867C}">
                  <a14:compatExt spid="_x0000_s7177230"/>
                </a:ext>
                <a:ext uri="{FF2B5EF4-FFF2-40B4-BE49-F238E27FC236}">
                  <a16:creationId xmlns:a16="http://schemas.microsoft.com/office/drawing/2014/main" id="{00000000-0008-0000-7200-00000E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177231" name="Check Box 15" hidden="1">
              <a:extLst>
                <a:ext uri="{63B3BB69-23CF-44E3-9099-C40C66FF867C}">
                  <a14:compatExt spid="_x0000_s7177231"/>
                </a:ext>
                <a:ext uri="{FF2B5EF4-FFF2-40B4-BE49-F238E27FC236}">
                  <a16:creationId xmlns:a16="http://schemas.microsoft.com/office/drawing/2014/main" id="{00000000-0008-0000-7200-00000F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177232" name="Check Box 16" hidden="1">
              <a:extLst>
                <a:ext uri="{63B3BB69-23CF-44E3-9099-C40C66FF867C}">
                  <a14:compatExt spid="_x0000_s7177232"/>
                </a:ext>
                <a:ext uri="{FF2B5EF4-FFF2-40B4-BE49-F238E27FC236}">
                  <a16:creationId xmlns:a16="http://schemas.microsoft.com/office/drawing/2014/main" id="{00000000-0008-0000-7200-000010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7177233" name="Check Box 17" hidden="1">
              <a:extLst>
                <a:ext uri="{63B3BB69-23CF-44E3-9099-C40C66FF867C}">
                  <a14:compatExt spid="_x0000_s7177233"/>
                </a:ext>
                <a:ext uri="{FF2B5EF4-FFF2-40B4-BE49-F238E27FC236}">
                  <a16:creationId xmlns:a16="http://schemas.microsoft.com/office/drawing/2014/main" id="{00000000-0008-0000-7200-000011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7177234" name="Check Box 18" hidden="1">
              <a:extLst>
                <a:ext uri="{63B3BB69-23CF-44E3-9099-C40C66FF867C}">
                  <a14:compatExt spid="_x0000_s7177234"/>
                </a:ext>
                <a:ext uri="{FF2B5EF4-FFF2-40B4-BE49-F238E27FC236}">
                  <a16:creationId xmlns:a16="http://schemas.microsoft.com/office/drawing/2014/main" id="{00000000-0008-0000-7200-000012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7177235" name="Check Box 19" hidden="1">
              <a:extLst>
                <a:ext uri="{63B3BB69-23CF-44E3-9099-C40C66FF867C}">
                  <a14:compatExt spid="_x0000_s7177235"/>
                </a:ext>
                <a:ext uri="{FF2B5EF4-FFF2-40B4-BE49-F238E27FC236}">
                  <a16:creationId xmlns:a16="http://schemas.microsoft.com/office/drawing/2014/main" id="{00000000-0008-0000-7200-000013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7177236" name="Check Box 20" hidden="1">
              <a:extLst>
                <a:ext uri="{63B3BB69-23CF-44E3-9099-C40C66FF867C}">
                  <a14:compatExt spid="_x0000_s7177236"/>
                </a:ext>
                <a:ext uri="{FF2B5EF4-FFF2-40B4-BE49-F238E27FC236}">
                  <a16:creationId xmlns:a16="http://schemas.microsoft.com/office/drawing/2014/main" id="{00000000-0008-0000-7200-000014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7177237" name="Check Box 21" hidden="1">
              <a:extLst>
                <a:ext uri="{63B3BB69-23CF-44E3-9099-C40C66FF867C}">
                  <a14:compatExt spid="_x0000_s7177237"/>
                </a:ext>
                <a:ext uri="{FF2B5EF4-FFF2-40B4-BE49-F238E27FC236}">
                  <a16:creationId xmlns:a16="http://schemas.microsoft.com/office/drawing/2014/main" id="{00000000-0008-0000-7200-000015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7177238" name="Check Box 22" hidden="1">
              <a:extLst>
                <a:ext uri="{63B3BB69-23CF-44E3-9099-C40C66FF867C}">
                  <a14:compatExt spid="_x0000_s7177238"/>
                </a:ext>
                <a:ext uri="{FF2B5EF4-FFF2-40B4-BE49-F238E27FC236}">
                  <a16:creationId xmlns:a16="http://schemas.microsoft.com/office/drawing/2014/main" id="{00000000-0008-0000-7200-000016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7177239" name="Check Box 23" hidden="1">
              <a:extLst>
                <a:ext uri="{63B3BB69-23CF-44E3-9099-C40C66FF867C}">
                  <a14:compatExt spid="_x0000_s7177239"/>
                </a:ext>
                <a:ext uri="{FF2B5EF4-FFF2-40B4-BE49-F238E27FC236}">
                  <a16:creationId xmlns:a16="http://schemas.microsoft.com/office/drawing/2014/main" id="{00000000-0008-0000-7200-000017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7177240" name="Button 24" hidden="1">
              <a:extLst>
                <a:ext uri="{63B3BB69-23CF-44E3-9099-C40C66FF867C}">
                  <a14:compatExt spid="_x0000_s7177240"/>
                </a:ext>
                <a:ext uri="{FF2B5EF4-FFF2-40B4-BE49-F238E27FC236}">
                  <a16:creationId xmlns:a16="http://schemas.microsoft.com/office/drawing/2014/main" id="{00000000-0008-0000-7200-000018846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7177241" name="Button 25" hidden="1">
              <a:extLst>
                <a:ext uri="{63B3BB69-23CF-44E3-9099-C40C66FF867C}">
                  <a14:compatExt spid="_x0000_s7177241"/>
                </a:ext>
                <a:ext uri="{FF2B5EF4-FFF2-40B4-BE49-F238E27FC236}">
                  <a16:creationId xmlns:a16="http://schemas.microsoft.com/office/drawing/2014/main" id="{00000000-0008-0000-7200-000019846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7177242" name="Check Box 26" hidden="1">
              <a:extLst>
                <a:ext uri="{63B3BB69-23CF-44E3-9099-C40C66FF867C}">
                  <a14:compatExt spid="_x0000_s7177242"/>
                </a:ext>
                <a:ext uri="{FF2B5EF4-FFF2-40B4-BE49-F238E27FC236}">
                  <a16:creationId xmlns:a16="http://schemas.microsoft.com/office/drawing/2014/main" id="{00000000-0008-0000-7200-00001A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7177243" name="Button 27" hidden="1">
              <a:extLst>
                <a:ext uri="{63B3BB69-23CF-44E3-9099-C40C66FF867C}">
                  <a14:compatExt spid="_x0000_s7177243"/>
                </a:ext>
                <a:ext uri="{FF2B5EF4-FFF2-40B4-BE49-F238E27FC236}">
                  <a16:creationId xmlns:a16="http://schemas.microsoft.com/office/drawing/2014/main" id="{00000000-0008-0000-7200-00001B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7177244" name="Button 28" hidden="1">
              <a:extLst>
                <a:ext uri="{63B3BB69-23CF-44E3-9099-C40C66FF867C}">
                  <a14:compatExt spid="_x0000_s7177244"/>
                </a:ext>
                <a:ext uri="{FF2B5EF4-FFF2-40B4-BE49-F238E27FC236}">
                  <a16:creationId xmlns:a16="http://schemas.microsoft.com/office/drawing/2014/main" id="{00000000-0008-0000-7200-00001C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7177245" name="Button 29" hidden="1">
              <a:extLst>
                <a:ext uri="{63B3BB69-23CF-44E3-9099-C40C66FF867C}">
                  <a14:compatExt spid="_x0000_s7177245"/>
                </a:ext>
                <a:ext uri="{FF2B5EF4-FFF2-40B4-BE49-F238E27FC236}">
                  <a16:creationId xmlns:a16="http://schemas.microsoft.com/office/drawing/2014/main" id="{00000000-0008-0000-7200-00001D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7177246" name="Button 30" hidden="1">
              <a:extLst>
                <a:ext uri="{63B3BB69-23CF-44E3-9099-C40C66FF867C}">
                  <a14:compatExt spid="_x0000_s7177246"/>
                </a:ext>
                <a:ext uri="{FF2B5EF4-FFF2-40B4-BE49-F238E27FC236}">
                  <a16:creationId xmlns:a16="http://schemas.microsoft.com/office/drawing/2014/main" id="{00000000-0008-0000-7200-00001E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7177247" name="Button 31" hidden="1">
              <a:extLst>
                <a:ext uri="{63B3BB69-23CF-44E3-9099-C40C66FF867C}">
                  <a14:compatExt spid="_x0000_s7177247"/>
                </a:ext>
                <a:ext uri="{FF2B5EF4-FFF2-40B4-BE49-F238E27FC236}">
                  <a16:creationId xmlns:a16="http://schemas.microsoft.com/office/drawing/2014/main" id="{00000000-0008-0000-7200-00001F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7177248" name="Button 32" hidden="1">
              <a:extLst>
                <a:ext uri="{63B3BB69-23CF-44E3-9099-C40C66FF867C}">
                  <a14:compatExt spid="_x0000_s7177248"/>
                </a:ext>
                <a:ext uri="{FF2B5EF4-FFF2-40B4-BE49-F238E27FC236}">
                  <a16:creationId xmlns:a16="http://schemas.microsoft.com/office/drawing/2014/main" id="{00000000-0008-0000-7200-000020846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7177249" name="Check Box 33" hidden="1">
              <a:extLst>
                <a:ext uri="{63B3BB69-23CF-44E3-9099-C40C66FF867C}">
                  <a14:compatExt spid="_x0000_s7177249"/>
                </a:ext>
                <a:ext uri="{FF2B5EF4-FFF2-40B4-BE49-F238E27FC236}">
                  <a16:creationId xmlns:a16="http://schemas.microsoft.com/office/drawing/2014/main" id="{00000000-0008-0000-7200-000021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7177250" name="Check Box 34" hidden="1">
              <a:extLst>
                <a:ext uri="{63B3BB69-23CF-44E3-9099-C40C66FF867C}">
                  <a14:compatExt spid="_x0000_s7177250"/>
                </a:ext>
                <a:ext uri="{FF2B5EF4-FFF2-40B4-BE49-F238E27FC236}">
                  <a16:creationId xmlns:a16="http://schemas.microsoft.com/office/drawing/2014/main" id="{00000000-0008-0000-7200-000022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177251" name="Check Box 35" hidden="1">
              <a:extLst>
                <a:ext uri="{63B3BB69-23CF-44E3-9099-C40C66FF867C}">
                  <a14:compatExt spid="_x0000_s7177251"/>
                </a:ext>
                <a:ext uri="{FF2B5EF4-FFF2-40B4-BE49-F238E27FC236}">
                  <a16:creationId xmlns:a16="http://schemas.microsoft.com/office/drawing/2014/main" id="{00000000-0008-0000-7200-000023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177252" name="Check Box 36" hidden="1">
              <a:extLst>
                <a:ext uri="{63B3BB69-23CF-44E3-9099-C40C66FF867C}">
                  <a14:compatExt spid="_x0000_s7177252"/>
                </a:ext>
                <a:ext uri="{FF2B5EF4-FFF2-40B4-BE49-F238E27FC236}">
                  <a16:creationId xmlns:a16="http://schemas.microsoft.com/office/drawing/2014/main" id="{00000000-0008-0000-7200-000024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7177253" name="Check Box 37" hidden="1">
              <a:extLst>
                <a:ext uri="{63B3BB69-23CF-44E3-9099-C40C66FF867C}">
                  <a14:compatExt spid="_x0000_s7177253"/>
                </a:ext>
                <a:ext uri="{FF2B5EF4-FFF2-40B4-BE49-F238E27FC236}">
                  <a16:creationId xmlns:a16="http://schemas.microsoft.com/office/drawing/2014/main" id="{00000000-0008-0000-7200-000025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177254" name="Check Box 38" hidden="1">
              <a:extLst>
                <a:ext uri="{63B3BB69-23CF-44E3-9099-C40C66FF867C}">
                  <a14:compatExt spid="_x0000_s7177254"/>
                </a:ext>
                <a:ext uri="{FF2B5EF4-FFF2-40B4-BE49-F238E27FC236}">
                  <a16:creationId xmlns:a16="http://schemas.microsoft.com/office/drawing/2014/main" id="{00000000-0008-0000-7200-000026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177255" name="Check Box 39" hidden="1">
              <a:extLst>
                <a:ext uri="{63B3BB69-23CF-44E3-9099-C40C66FF867C}">
                  <a14:compatExt spid="_x0000_s7177255"/>
                </a:ext>
                <a:ext uri="{FF2B5EF4-FFF2-40B4-BE49-F238E27FC236}">
                  <a16:creationId xmlns:a16="http://schemas.microsoft.com/office/drawing/2014/main" id="{00000000-0008-0000-7200-000027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177256" name="Check Box 40" hidden="1">
              <a:extLst>
                <a:ext uri="{63B3BB69-23CF-44E3-9099-C40C66FF867C}">
                  <a14:compatExt spid="_x0000_s7177256"/>
                </a:ext>
                <a:ext uri="{FF2B5EF4-FFF2-40B4-BE49-F238E27FC236}">
                  <a16:creationId xmlns:a16="http://schemas.microsoft.com/office/drawing/2014/main" id="{00000000-0008-0000-7200-000028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177257" name="Check Box 41" hidden="1">
              <a:extLst>
                <a:ext uri="{63B3BB69-23CF-44E3-9099-C40C66FF867C}">
                  <a14:compatExt spid="_x0000_s7177257"/>
                </a:ext>
                <a:ext uri="{FF2B5EF4-FFF2-40B4-BE49-F238E27FC236}">
                  <a16:creationId xmlns:a16="http://schemas.microsoft.com/office/drawing/2014/main" id="{00000000-0008-0000-7200-000029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177258" name="Check Box 42" hidden="1">
              <a:extLst>
                <a:ext uri="{63B3BB69-23CF-44E3-9099-C40C66FF867C}">
                  <a14:compatExt spid="_x0000_s7177258"/>
                </a:ext>
                <a:ext uri="{FF2B5EF4-FFF2-40B4-BE49-F238E27FC236}">
                  <a16:creationId xmlns:a16="http://schemas.microsoft.com/office/drawing/2014/main" id="{00000000-0008-0000-7200-00002A846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4.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6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7065601" name="Check Box 1" hidden="1">
              <a:extLst>
                <a:ext uri="{63B3BB69-23CF-44E3-9099-C40C66FF867C}">
                  <a14:compatExt spid="_x0000_s7065601"/>
                </a:ext>
                <a:ext uri="{FF2B5EF4-FFF2-40B4-BE49-F238E27FC236}">
                  <a16:creationId xmlns:a16="http://schemas.microsoft.com/office/drawing/2014/main" id="{00000000-0008-0000-7300-000001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7065602" name="Check Box 2" hidden="1">
              <a:extLst>
                <a:ext uri="{63B3BB69-23CF-44E3-9099-C40C66FF867C}">
                  <a14:compatExt spid="_x0000_s7065602"/>
                </a:ext>
                <a:ext uri="{FF2B5EF4-FFF2-40B4-BE49-F238E27FC236}">
                  <a16:creationId xmlns:a16="http://schemas.microsoft.com/office/drawing/2014/main" id="{00000000-0008-0000-7300-000002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7065603" name="Check Box 3" hidden="1">
              <a:extLst>
                <a:ext uri="{63B3BB69-23CF-44E3-9099-C40C66FF867C}">
                  <a14:compatExt spid="_x0000_s7065603"/>
                </a:ext>
                <a:ext uri="{FF2B5EF4-FFF2-40B4-BE49-F238E27FC236}">
                  <a16:creationId xmlns:a16="http://schemas.microsoft.com/office/drawing/2014/main" id="{00000000-0008-0000-7300-000003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7065604" name="Check Box 4" hidden="1">
              <a:extLst>
                <a:ext uri="{63B3BB69-23CF-44E3-9099-C40C66FF867C}">
                  <a14:compatExt spid="_x0000_s7065604"/>
                </a:ext>
                <a:ext uri="{FF2B5EF4-FFF2-40B4-BE49-F238E27FC236}">
                  <a16:creationId xmlns:a16="http://schemas.microsoft.com/office/drawing/2014/main" id="{00000000-0008-0000-7300-000004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7065605" name="Check Box 5" hidden="1">
              <a:extLst>
                <a:ext uri="{63B3BB69-23CF-44E3-9099-C40C66FF867C}">
                  <a14:compatExt spid="_x0000_s7065605"/>
                </a:ext>
                <a:ext uri="{FF2B5EF4-FFF2-40B4-BE49-F238E27FC236}">
                  <a16:creationId xmlns:a16="http://schemas.microsoft.com/office/drawing/2014/main" id="{00000000-0008-0000-7300-000005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7065606" name="Check Box 6" hidden="1">
              <a:extLst>
                <a:ext uri="{63B3BB69-23CF-44E3-9099-C40C66FF867C}">
                  <a14:compatExt spid="_x0000_s7065606"/>
                </a:ext>
                <a:ext uri="{FF2B5EF4-FFF2-40B4-BE49-F238E27FC236}">
                  <a16:creationId xmlns:a16="http://schemas.microsoft.com/office/drawing/2014/main" id="{00000000-0008-0000-7300-000006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7065607" name="Check Box 7" hidden="1">
              <a:extLst>
                <a:ext uri="{63B3BB69-23CF-44E3-9099-C40C66FF867C}">
                  <a14:compatExt spid="_x0000_s7065607"/>
                </a:ext>
                <a:ext uri="{FF2B5EF4-FFF2-40B4-BE49-F238E27FC236}">
                  <a16:creationId xmlns:a16="http://schemas.microsoft.com/office/drawing/2014/main" id="{00000000-0008-0000-7300-000007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7065608" name="Check Box 8" hidden="1">
              <a:extLst>
                <a:ext uri="{63B3BB69-23CF-44E3-9099-C40C66FF867C}">
                  <a14:compatExt spid="_x0000_s7065608"/>
                </a:ext>
                <a:ext uri="{FF2B5EF4-FFF2-40B4-BE49-F238E27FC236}">
                  <a16:creationId xmlns:a16="http://schemas.microsoft.com/office/drawing/2014/main" id="{00000000-0008-0000-7300-000008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7065609" name="Check Box 9" hidden="1">
              <a:extLst>
                <a:ext uri="{63B3BB69-23CF-44E3-9099-C40C66FF867C}">
                  <a14:compatExt spid="_x0000_s7065609"/>
                </a:ext>
                <a:ext uri="{FF2B5EF4-FFF2-40B4-BE49-F238E27FC236}">
                  <a16:creationId xmlns:a16="http://schemas.microsoft.com/office/drawing/2014/main" id="{00000000-0008-0000-7300-000009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7065610" name="Check Box 10" hidden="1">
              <a:extLst>
                <a:ext uri="{63B3BB69-23CF-44E3-9099-C40C66FF867C}">
                  <a14:compatExt spid="_x0000_s7065610"/>
                </a:ext>
                <a:ext uri="{FF2B5EF4-FFF2-40B4-BE49-F238E27FC236}">
                  <a16:creationId xmlns:a16="http://schemas.microsoft.com/office/drawing/2014/main" id="{00000000-0008-0000-7300-00000A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7065611" name="Check Box 11" hidden="1">
              <a:extLst>
                <a:ext uri="{63B3BB69-23CF-44E3-9099-C40C66FF867C}">
                  <a14:compatExt spid="_x0000_s7065611"/>
                </a:ext>
                <a:ext uri="{FF2B5EF4-FFF2-40B4-BE49-F238E27FC236}">
                  <a16:creationId xmlns:a16="http://schemas.microsoft.com/office/drawing/2014/main" id="{00000000-0008-0000-7300-00000B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7065612" name="Check Box 12" hidden="1">
              <a:extLst>
                <a:ext uri="{63B3BB69-23CF-44E3-9099-C40C66FF867C}">
                  <a14:compatExt spid="_x0000_s7065612"/>
                </a:ext>
                <a:ext uri="{FF2B5EF4-FFF2-40B4-BE49-F238E27FC236}">
                  <a16:creationId xmlns:a16="http://schemas.microsoft.com/office/drawing/2014/main" id="{00000000-0008-0000-7300-00000C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7065613" name="Check Box 13" hidden="1">
              <a:extLst>
                <a:ext uri="{63B3BB69-23CF-44E3-9099-C40C66FF867C}">
                  <a14:compatExt spid="_x0000_s7065613"/>
                </a:ext>
                <a:ext uri="{FF2B5EF4-FFF2-40B4-BE49-F238E27FC236}">
                  <a16:creationId xmlns:a16="http://schemas.microsoft.com/office/drawing/2014/main" id="{00000000-0008-0000-7300-00000D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065614" name="Check Box 14" hidden="1">
              <a:extLst>
                <a:ext uri="{63B3BB69-23CF-44E3-9099-C40C66FF867C}">
                  <a14:compatExt spid="_x0000_s7065614"/>
                </a:ext>
                <a:ext uri="{FF2B5EF4-FFF2-40B4-BE49-F238E27FC236}">
                  <a16:creationId xmlns:a16="http://schemas.microsoft.com/office/drawing/2014/main" id="{00000000-0008-0000-7300-00000E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065615" name="Check Box 15" hidden="1">
              <a:extLst>
                <a:ext uri="{63B3BB69-23CF-44E3-9099-C40C66FF867C}">
                  <a14:compatExt spid="_x0000_s7065615"/>
                </a:ext>
                <a:ext uri="{FF2B5EF4-FFF2-40B4-BE49-F238E27FC236}">
                  <a16:creationId xmlns:a16="http://schemas.microsoft.com/office/drawing/2014/main" id="{00000000-0008-0000-7300-00000F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065616" name="Check Box 16" hidden="1">
              <a:extLst>
                <a:ext uri="{63B3BB69-23CF-44E3-9099-C40C66FF867C}">
                  <a14:compatExt spid="_x0000_s7065616"/>
                </a:ext>
                <a:ext uri="{FF2B5EF4-FFF2-40B4-BE49-F238E27FC236}">
                  <a16:creationId xmlns:a16="http://schemas.microsoft.com/office/drawing/2014/main" id="{00000000-0008-0000-7300-000010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7065617" name="Check Box 17" hidden="1">
              <a:extLst>
                <a:ext uri="{63B3BB69-23CF-44E3-9099-C40C66FF867C}">
                  <a14:compatExt spid="_x0000_s7065617"/>
                </a:ext>
                <a:ext uri="{FF2B5EF4-FFF2-40B4-BE49-F238E27FC236}">
                  <a16:creationId xmlns:a16="http://schemas.microsoft.com/office/drawing/2014/main" id="{00000000-0008-0000-7300-000011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7065618" name="Check Box 18" hidden="1">
              <a:extLst>
                <a:ext uri="{63B3BB69-23CF-44E3-9099-C40C66FF867C}">
                  <a14:compatExt spid="_x0000_s7065618"/>
                </a:ext>
                <a:ext uri="{FF2B5EF4-FFF2-40B4-BE49-F238E27FC236}">
                  <a16:creationId xmlns:a16="http://schemas.microsoft.com/office/drawing/2014/main" id="{00000000-0008-0000-7300-000012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7065619" name="Check Box 19" hidden="1">
              <a:extLst>
                <a:ext uri="{63B3BB69-23CF-44E3-9099-C40C66FF867C}">
                  <a14:compatExt spid="_x0000_s7065619"/>
                </a:ext>
                <a:ext uri="{FF2B5EF4-FFF2-40B4-BE49-F238E27FC236}">
                  <a16:creationId xmlns:a16="http://schemas.microsoft.com/office/drawing/2014/main" id="{00000000-0008-0000-7300-000013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7065620" name="Check Box 20" hidden="1">
              <a:extLst>
                <a:ext uri="{63B3BB69-23CF-44E3-9099-C40C66FF867C}">
                  <a14:compatExt spid="_x0000_s7065620"/>
                </a:ext>
                <a:ext uri="{FF2B5EF4-FFF2-40B4-BE49-F238E27FC236}">
                  <a16:creationId xmlns:a16="http://schemas.microsoft.com/office/drawing/2014/main" id="{00000000-0008-0000-7300-000014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7065621" name="Check Box 21" hidden="1">
              <a:extLst>
                <a:ext uri="{63B3BB69-23CF-44E3-9099-C40C66FF867C}">
                  <a14:compatExt spid="_x0000_s7065621"/>
                </a:ext>
                <a:ext uri="{FF2B5EF4-FFF2-40B4-BE49-F238E27FC236}">
                  <a16:creationId xmlns:a16="http://schemas.microsoft.com/office/drawing/2014/main" id="{00000000-0008-0000-7300-000015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7065622" name="Check Box 22" hidden="1">
              <a:extLst>
                <a:ext uri="{63B3BB69-23CF-44E3-9099-C40C66FF867C}">
                  <a14:compatExt spid="_x0000_s7065622"/>
                </a:ext>
                <a:ext uri="{FF2B5EF4-FFF2-40B4-BE49-F238E27FC236}">
                  <a16:creationId xmlns:a16="http://schemas.microsoft.com/office/drawing/2014/main" id="{00000000-0008-0000-7300-000016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7065623" name="Check Box 23" hidden="1">
              <a:extLst>
                <a:ext uri="{63B3BB69-23CF-44E3-9099-C40C66FF867C}">
                  <a14:compatExt spid="_x0000_s7065623"/>
                </a:ext>
                <a:ext uri="{FF2B5EF4-FFF2-40B4-BE49-F238E27FC236}">
                  <a16:creationId xmlns:a16="http://schemas.microsoft.com/office/drawing/2014/main" id="{00000000-0008-0000-7300-000017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7065624" name="Button 24" hidden="1">
              <a:extLst>
                <a:ext uri="{63B3BB69-23CF-44E3-9099-C40C66FF867C}">
                  <a14:compatExt spid="_x0000_s7065624"/>
                </a:ext>
                <a:ext uri="{FF2B5EF4-FFF2-40B4-BE49-F238E27FC236}">
                  <a16:creationId xmlns:a16="http://schemas.microsoft.com/office/drawing/2014/main" id="{00000000-0008-0000-7300-000018D06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7065625" name="Button 25" hidden="1">
              <a:extLst>
                <a:ext uri="{63B3BB69-23CF-44E3-9099-C40C66FF867C}">
                  <a14:compatExt spid="_x0000_s7065625"/>
                </a:ext>
                <a:ext uri="{FF2B5EF4-FFF2-40B4-BE49-F238E27FC236}">
                  <a16:creationId xmlns:a16="http://schemas.microsoft.com/office/drawing/2014/main" id="{00000000-0008-0000-7300-000019D06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7065626" name="Check Box 26" hidden="1">
              <a:extLst>
                <a:ext uri="{63B3BB69-23CF-44E3-9099-C40C66FF867C}">
                  <a14:compatExt spid="_x0000_s7065626"/>
                </a:ext>
                <a:ext uri="{FF2B5EF4-FFF2-40B4-BE49-F238E27FC236}">
                  <a16:creationId xmlns:a16="http://schemas.microsoft.com/office/drawing/2014/main" id="{00000000-0008-0000-7300-00001A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7065627" name="Button 27" hidden="1">
              <a:extLst>
                <a:ext uri="{63B3BB69-23CF-44E3-9099-C40C66FF867C}">
                  <a14:compatExt spid="_x0000_s7065627"/>
                </a:ext>
                <a:ext uri="{FF2B5EF4-FFF2-40B4-BE49-F238E27FC236}">
                  <a16:creationId xmlns:a16="http://schemas.microsoft.com/office/drawing/2014/main" id="{00000000-0008-0000-7300-00001B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7065628" name="Button 28" hidden="1">
              <a:extLst>
                <a:ext uri="{63B3BB69-23CF-44E3-9099-C40C66FF867C}">
                  <a14:compatExt spid="_x0000_s7065628"/>
                </a:ext>
                <a:ext uri="{FF2B5EF4-FFF2-40B4-BE49-F238E27FC236}">
                  <a16:creationId xmlns:a16="http://schemas.microsoft.com/office/drawing/2014/main" id="{00000000-0008-0000-7300-00001C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7065629" name="Button 29" hidden="1">
              <a:extLst>
                <a:ext uri="{63B3BB69-23CF-44E3-9099-C40C66FF867C}">
                  <a14:compatExt spid="_x0000_s7065629"/>
                </a:ext>
                <a:ext uri="{FF2B5EF4-FFF2-40B4-BE49-F238E27FC236}">
                  <a16:creationId xmlns:a16="http://schemas.microsoft.com/office/drawing/2014/main" id="{00000000-0008-0000-7300-00001D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7065630" name="Button 30" hidden="1">
              <a:extLst>
                <a:ext uri="{63B3BB69-23CF-44E3-9099-C40C66FF867C}">
                  <a14:compatExt spid="_x0000_s7065630"/>
                </a:ext>
                <a:ext uri="{FF2B5EF4-FFF2-40B4-BE49-F238E27FC236}">
                  <a16:creationId xmlns:a16="http://schemas.microsoft.com/office/drawing/2014/main" id="{00000000-0008-0000-7300-00001E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7065631" name="Button 31" hidden="1">
              <a:extLst>
                <a:ext uri="{63B3BB69-23CF-44E3-9099-C40C66FF867C}">
                  <a14:compatExt spid="_x0000_s7065631"/>
                </a:ext>
                <a:ext uri="{FF2B5EF4-FFF2-40B4-BE49-F238E27FC236}">
                  <a16:creationId xmlns:a16="http://schemas.microsoft.com/office/drawing/2014/main" id="{00000000-0008-0000-7300-00001F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7065632" name="Button 32" hidden="1">
              <a:extLst>
                <a:ext uri="{63B3BB69-23CF-44E3-9099-C40C66FF867C}">
                  <a14:compatExt spid="_x0000_s7065632"/>
                </a:ext>
                <a:ext uri="{FF2B5EF4-FFF2-40B4-BE49-F238E27FC236}">
                  <a16:creationId xmlns:a16="http://schemas.microsoft.com/office/drawing/2014/main" id="{00000000-0008-0000-7300-000020D06B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7065633" name="Check Box 33" hidden="1">
              <a:extLst>
                <a:ext uri="{63B3BB69-23CF-44E3-9099-C40C66FF867C}">
                  <a14:compatExt spid="_x0000_s7065633"/>
                </a:ext>
                <a:ext uri="{FF2B5EF4-FFF2-40B4-BE49-F238E27FC236}">
                  <a16:creationId xmlns:a16="http://schemas.microsoft.com/office/drawing/2014/main" id="{00000000-0008-0000-7300-000021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7065634" name="Check Box 34" hidden="1">
              <a:extLst>
                <a:ext uri="{63B3BB69-23CF-44E3-9099-C40C66FF867C}">
                  <a14:compatExt spid="_x0000_s7065634"/>
                </a:ext>
                <a:ext uri="{FF2B5EF4-FFF2-40B4-BE49-F238E27FC236}">
                  <a16:creationId xmlns:a16="http://schemas.microsoft.com/office/drawing/2014/main" id="{00000000-0008-0000-7300-000022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065635" name="Check Box 35" hidden="1">
              <a:extLst>
                <a:ext uri="{63B3BB69-23CF-44E3-9099-C40C66FF867C}">
                  <a14:compatExt spid="_x0000_s7065635"/>
                </a:ext>
                <a:ext uri="{FF2B5EF4-FFF2-40B4-BE49-F238E27FC236}">
                  <a16:creationId xmlns:a16="http://schemas.microsoft.com/office/drawing/2014/main" id="{00000000-0008-0000-7300-000023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7065636" name="Check Box 36" hidden="1">
              <a:extLst>
                <a:ext uri="{63B3BB69-23CF-44E3-9099-C40C66FF867C}">
                  <a14:compatExt spid="_x0000_s7065636"/>
                </a:ext>
                <a:ext uri="{FF2B5EF4-FFF2-40B4-BE49-F238E27FC236}">
                  <a16:creationId xmlns:a16="http://schemas.microsoft.com/office/drawing/2014/main" id="{00000000-0008-0000-7300-000024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7065637" name="Check Box 37" hidden="1">
              <a:extLst>
                <a:ext uri="{63B3BB69-23CF-44E3-9099-C40C66FF867C}">
                  <a14:compatExt spid="_x0000_s7065637"/>
                </a:ext>
                <a:ext uri="{FF2B5EF4-FFF2-40B4-BE49-F238E27FC236}">
                  <a16:creationId xmlns:a16="http://schemas.microsoft.com/office/drawing/2014/main" id="{00000000-0008-0000-7300-000025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7065638" name="Check Box 38" hidden="1">
              <a:extLst>
                <a:ext uri="{63B3BB69-23CF-44E3-9099-C40C66FF867C}">
                  <a14:compatExt spid="_x0000_s7065638"/>
                </a:ext>
                <a:ext uri="{FF2B5EF4-FFF2-40B4-BE49-F238E27FC236}">
                  <a16:creationId xmlns:a16="http://schemas.microsoft.com/office/drawing/2014/main" id="{00000000-0008-0000-7300-000026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7065639" name="Check Box 39" hidden="1">
              <a:extLst>
                <a:ext uri="{63B3BB69-23CF-44E3-9099-C40C66FF867C}">
                  <a14:compatExt spid="_x0000_s7065639"/>
                </a:ext>
                <a:ext uri="{FF2B5EF4-FFF2-40B4-BE49-F238E27FC236}">
                  <a16:creationId xmlns:a16="http://schemas.microsoft.com/office/drawing/2014/main" id="{00000000-0008-0000-7300-000027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7065640" name="Check Box 40" hidden="1">
              <a:extLst>
                <a:ext uri="{63B3BB69-23CF-44E3-9099-C40C66FF867C}">
                  <a14:compatExt spid="_x0000_s7065640"/>
                </a:ext>
                <a:ext uri="{FF2B5EF4-FFF2-40B4-BE49-F238E27FC236}">
                  <a16:creationId xmlns:a16="http://schemas.microsoft.com/office/drawing/2014/main" id="{00000000-0008-0000-7300-000028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7065641" name="Check Box 41" hidden="1">
              <a:extLst>
                <a:ext uri="{63B3BB69-23CF-44E3-9099-C40C66FF867C}">
                  <a14:compatExt spid="_x0000_s7065641"/>
                </a:ext>
                <a:ext uri="{FF2B5EF4-FFF2-40B4-BE49-F238E27FC236}">
                  <a16:creationId xmlns:a16="http://schemas.microsoft.com/office/drawing/2014/main" id="{00000000-0008-0000-7300-000029D06B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5.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3E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3E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5618689" name="Check Box 1" hidden="1">
              <a:extLst>
                <a:ext uri="{63B3BB69-23CF-44E3-9099-C40C66FF867C}">
                  <a14:compatExt spid="_x0000_s5618689"/>
                </a:ext>
                <a:ext uri="{FF2B5EF4-FFF2-40B4-BE49-F238E27FC236}">
                  <a16:creationId xmlns:a16="http://schemas.microsoft.com/office/drawing/2014/main" id="{00000000-0008-0000-7400-000001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5618690" name="Check Box 2" hidden="1">
              <a:extLst>
                <a:ext uri="{63B3BB69-23CF-44E3-9099-C40C66FF867C}">
                  <a14:compatExt spid="_x0000_s5618690"/>
                </a:ext>
                <a:ext uri="{FF2B5EF4-FFF2-40B4-BE49-F238E27FC236}">
                  <a16:creationId xmlns:a16="http://schemas.microsoft.com/office/drawing/2014/main" id="{00000000-0008-0000-7400-000002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5618691" name="Check Box 3" hidden="1">
              <a:extLst>
                <a:ext uri="{63B3BB69-23CF-44E3-9099-C40C66FF867C}">
                  <a14:compatExt spid="_x0000_s5618691"/>
                </a:ext>
                <a:ext uri="{FF2B5EF4-FFF2-40B4-BE49-F238E27FC236}">
                  <a16:creationId xmlns:a16="http://schemas.microsoft.com/office/drawing/2014/main" id="{00000000-0008-0000-7400-000003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5618692" name="Check Box 4" hidden="1">
              <a:extLst>
                <a:ext uri="{63B3BB69-23CF-44E3-9099-C40C66FF867C}">
                  <a14:compatExt spid="_x0000_s5618692"/>
                </a:ext>
                <a:ext uri="{FF2B5EF4-FFF2-40B4-BE49-F238E27FC236}">
                  <a16:creationId xmlns:a16="http://schemas.microsoft.com/office/drawing/2014/main" id="{00000000-0008-0000-7400-000004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5618693" name="Check Box 5" hidden="1">
              <a:extLst>
                <a:ext uri="{63B3BB69-23CF-44E3-9099-C40C66FF867C}">
                  <a14:compatExt spid="_x0000_s5618693"/>
                </a:ext>
                <a:ext uri="{FF2B5EF4-FFF2-40B4-BE49-F238E27FC236}">
                  <a16:creationId xmlns:a16="http://schemas.microsoft.com/office/drawing/2014/main" id="{00000000-0008-0000-7400-000005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5618694" name="Check Box 6" hidden="1">
              <a:extLst>
                <a:ext uri="{63B3BB69-23CF-44E3-9099-C40C66FF867C}">
                  <a14:compatExt spid="_x0000_s5618694"/>
                </a:ext>
                <a:ext uri="{FF2B5EF4-FFF2-40B4-BE49-F238E27FC236}">
                  <a16:creationId xmlns:a16="http://schemas.microsoft.com/office/drawing/2014/main" id="{00000000-0008-0000-7400-000006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5618695" name="Check Box 7" hidden="1">
              <a:extLst>
                <a:ext uri="{63B3BB69-23CF-44E3-9099-C40C66FF867C}">
                  <a14:compatExt spid="_x0000_s5618695"/>
                </a:ext>
                <a:ext uri="{FF2B5EF4-FFF2-40B4-BE49-F238E27FC236}">
                  <a16:creationId xmlns:a16="http://schemas.microsoft.com/office/drawing/2014/main" id="{00000000-0008-0000-7400-000007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5618696" name="Check Box 8" hidden="1">
              <a:extLst>
                <a:ext uri="{63B3BB69-23CF-44E3-9099-C40C66FF867C}">
                  <a14:compatExt spid="_x0000_s5618696"/>
                </a:ext>
                <a:ext uri="{FF2B5EF4-FFF2-40B4-BE49-F238E27FC236}">
                  <a16:creationId xmlns:a16="http://schemas.microsoft.com/office/drawing/2014/main" id="{00000000-0008-0000-7400-000008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5618697" name="Check Box 9" hidden="1">
              <a:extLst>
                <a:ext uri="{63B3BB69-23CF-44E3-9099-C40C66FF867C}">
                  <a14:compatExt spid="_x0000_s5618697"/>
                </a:ext>
                <a:ext uri="{FF2B5EF4-FFF2-40B4-BE49-F238E27FC236}">
                  <a16:creationId xmlns:a16="http://schemas.microsoft.com/office/drawing/2014/main" id="{00000000-0008-0000-7400-000009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5618698" name="Check Box 10" hidden="1">
              <a:extLst>
                <a:ext uri="{63B3BB69-23CF-44E3-9099-C40C66FF867C}">
                  <a14:compatExt spid="_x0000_s5618698"/>
                </a:ext>
                <a:ext uri="{FF2B5EF4-FFF2-40B4-BE49-F238E27FC236}">
                  <a16:creationId xmlns:a16="http://schemas.microsoft.com/office/drawing/2014/main" id="{00000000-0008-0000-7400-00000A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5618699" name="Check Box 11" hidden="1">
              <a:extLst>
                <a:ext uri="{63B3BB69-23CF-44E3-9099-C40C66FF867C}">
                  <a14:compatExt spid="_x0000_s5618699"/>
                </a:ext>
                <a:ext uri="{FF2B5EF4-FFF2-40B4-BE49-F238E27FC236}">
                  <a16:creationId xmlns:a16="http://schemas.microsoft.com/office/drawing/2014/main" id="{00000000-0008-0000-7400-00000B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5618700" name="Check Box 12" hidden="1">
              <a:extLst>
                <a:ext uri="{63B3BB69-23CF-44E3-9099-C40C66FF867C}">
                  <a14:compatExt spid="_x0000_s5618700"/>
                </a:ext>
                <a:ext uri="{FF2B5EF4-FFF2-40B4-BE49-F238E27FC236}">
                  <a16:creationId xmlns:a16="http://schemas.microsoft.com/office/drawing/2014/main" id="{00000000-0008-0000-7400-00000C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32</xdr:row>
          <xdr:rowOff>0</xdr:rowOff>
        </xdr:from>
        <xdr:to>
          <xdr:col>3</xdr:col>
          <xdr:colOff>409575</xdr:colOff>
          <xdr:row>33</xdr:row>
          <xdr:rowOff>28575</xdr:rowOff>
        </xdr:to>
        <xdr:sp macro="" textlink="">
          <xdr:nvSpPr>
            <xdr:cNvPr id="5618701" name="Check Box 13" hidden="1">
              <a:extLst>
                <a:ext uri="{63B3BB69-23CF-44E3-9099-C40C66FF867C}">
                  <a14:compatExt spid="_x0000_s5618701"/>
                </a:ext>
                <a:ext uri="{FF2B5EF4-FFF2-40B4-BE49-F238E27FC236}">
                  <a16:creationId xmlns:a16="http://schemas.microsoft.com/office/drawing/2014/main" id="{00000000-0008-0000-7400-00000D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5618702" name="Check Box 14" hidden="1">
              <a:extLst>
                <a:ext uri="{63B3BB69-23CF-44E3-9099-C40C66FF867C}">
                  <a14:compatExt spid="_x0000_s5618702"/>
                </a:ext>
                <a:ext uri="{FF2B5EF4-FFF2-40B4-BE49-F238E27FC236}">
                  <a16:creationId xmlns:a16="http://schemas.microsoft.com/office/drawing/2014/main" id="{00000000-0008-0000-7400-00000E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5618703" name="Check Box 15" hidden="1">
              <a:extLst>
                <a:ext uri="{63B3BB69-23CF-44E3-9099-C40C66FF867C}">
                  <a14:compatExt spid="_x0000_s5618703"/>
                </a:ext>
                <a:ext uri="{FF2B5EF4-FFF2-40B4-BE49-F238E27FC236}">
                  <a16:creationId xmlns:a16="http://schemas.microsoft.com/office/drawing/2014/main" id="{00000000-0008-0000-7400-00000F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35</xdr:row>
          <xdr:rowOff>0</xdr:rowOff>
        </xdr:from>
        <xdr:to>
          <xdr:col>3</xdr:col>
          <xdr:colOff>409575</xdr:colOff>
          <xdr:row>36</xdr:row>
          <xdr:rowOff>28575</xdr:rowOff>
        </xdr:to>
        <xdr:sp macro="" textlink="">
          <xdr:nvSpPr>
            <xdr:cNvPr id="5618704" name="Check Box 16" hidden="1">
              <a:extLst>
                <a:ext uri="{63B3BB69-23CF-44E3-9099-C40C66FF867C}">
                  <a14:compatExt spid="_x0000_s5618704"/>
                </a:ext>
                <a:ext uri="{FF2B5EF4-FFF2-40B4-BE49-F238E27FC236}">
                  <a16:creationId xmlns:a16="http://schemas.microsoft.com/office/drawing/2014/main" id="{00000000-0008-0000-7400-000010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5618705" name="Check Box 17" hidden="1">
              <a:extLst>
                <a:ext uri="{63B3BB69-23CF-44E3-9099-C40C66FF867C}">
                  <a14:compatExt spid="_x0000_s5618705"/>
                </a:ext>
                <a:ext uri="{FF2B5EF4-FFF2-40B4-BE49-F238E27FC236}">
                  <a16:creationId xmlns:a16="http://schemas.microsoft.com/office/drawing/2014/main" id="{00000000-0008-0000-7400-000011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5618706" name="Check Box 18" hidden="1">
              <a:extLst>
                <a:ext uri="{63B3BB69-23CF-44E3-9099-C40C66FF867C}">
                  <a14:compatExt spid="_x0000_s5618706"/>
                </a:ext>
                <a:ext uri="{FF2B5EF4-FFF2-40B4-BE49-F238E27FC236}">
                  <a16:creationId xmlns:a16="http://schemas.microsoft.com/office/drawing/2014/main" id="{00000000-0008-0000-7400-000012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5618707" name="Check Box 19" hidden="1">
              <a:extLst>
                <a:ext uri="{63B3BB69-23CF-44E3-9099-C40C66FF867C}">
                  <a14:compatExt spid="_x0000_s5618707"/>
                </a:ext>
                <a:ext uri="{FF2B5EF4-FFF2-40B4-BE49-F238E27FC236}">
                  <a16:creationId xmlns:a16="http://schemas.microsoft.com/office/drawing/2014/main" id="{00000000-0008-0000-7400-000013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5618708" name="Check Box 20" hidden="1">
              <a:extLst>
                <a:ext uri="{63B3BB69-23CF-44E3-9099-C40C66FF867C}">
                  <a14:compatExt spid="_x0000_s5618708"/>
                </a:ext>
                <a:ext uri="{FF2B5EF4-FFF2-40B4-BE49-F238E27FC236}">
                  <a16:creationId xmlns:a16="http://schemas.microsoft.com/office/drawing/2014/main" id="{00000000-0008-0000-7400-000014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5618709" name="Check Box 21" hidden="1">
              <a:extLst>
                <a:ext uri="{63B3BB69-23CF-44E3-9099-C40C66FF867C}">
                  <a14:compatExt spid="_x0000_s5618709"/>
                </a:ext>
                <a:ext uri="{FF2B5EF4-FFF2-40B4-BE49-F238E27FC236}">
                  <a16:creationId xmlns:a16="http://schemas.microsoft.com/office/drawing/2014/main" id="{00000000-0008-0000-7400-000015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5618710" name="Check Box 22" hidden="1">
              <a:extLst>
                <a:ext uri="{63B3BB69-23CF-44E3-9099-C40C66FF867C}">
                  <a14:compatExt spid="_x0000_s5618710"/>
                </a:ext>
                <a:ext uri="{FF2B5EF4-FFF2-40B4-BE49-F238E27FC236}">
                  <a16:creationId xmlns:a16="http://schemas.microsoft.com/office/drawing/2014/main" id="{00000000-0008-0000-7400-000016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5618711" name="Check Box 23" hidden="1">
              <a:extLst>
                <a:ext uri="{63B3BB69-23CF-44E3-9099-C40C66FF867C}">
                  <a14:compatExt spid="_x0000_s5618711"/>
                </a:ext>
                <a:ext uri="{FF2B5EF4-FFF2-40B4-BE49-F238E27FC236}">
                  <a16:creationId xmlns:a16="http://schemas.microsoft.com/office/drawing/2014/main" id="{00000000-0008-0000-7400-000017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5618712" name="Button 24" hidden="1">
              <a:extLst>
                <a:ext uri="{63B3BB69-23CF-44E3-9099-C40C66FF867C}">
                  <a14:compatExt spid="_x0000_s5618712"/>
                </a:ext>
                <a:ext uri="{FF2B5EF4-FFF2-40B4-BE49-F238E27FC236}">
                  <a16:creationId xmlns:a16="http://schemas.microsoft.com/office/drawing/2014/main" id="{00000000-0008-0000-7400-000018BC5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5618713" name="Button 25" hidden="1">
              <a:extLst>
                <a:ext uri="{63B3BB69-23CF-44E3-9099-C40C66FF867C}">
                  <a14:compatExt spid="_x0000_s5618713"/>
                </a:ext>
                <a:ext uri="{FF2B5EF4-FFF2-40B4-BE49-F238E27FC236}">
                  <a16:creationId xmlns:a16="http://schemas.microsoft.com/office/drawing/2014/main" id="{00000000-0008-0000-7400-000019BC5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5618714" name="Check Box 26" hidden="1">
              <a:extLst>
                <a:ext uri="{63B3BB69-23CF-44E3-9099-C40C66FF867C}">
                  <a14:compatExt spid="_x0000_s5618714"/>
                </a:ext>
                <a:ext uri="{FF2B5EF4-FFF2-40B4-BE49-F238E27FC236}">
                  <a16:creationId xmlns:a16="http://schemas.microsoft.com/office/drawing/2014/main" id="{00000000-0008-0000-7400-00001A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5618715" name="Button 27" hidden="1">
              <a:extLst>
                <a:ext uri="{63B3BB69-23CF-44E3-9099-C40C66FF867C}">
                  <a14:compatExt spid="_x0000_s5618715"/>
                </a:ext>
                <a:ext uri="{FF2B5EF4-FFF2-40B4-BE49-F238E27FC236}">
                  <a16:creationId xmlns:a16="http://schemas.microsoft.com/office/drawing/2014/main" id="{00000000-0008-0000-7400-00001B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5618716" name="Button 28" hidden="1">
              <a:extLst>
                <a:ext uri="{63B3BB69-23CF-44E3-9099-C40C66FF867C}">
                  <a14:compatExt spid="_x0000_s5618716"/>
                </a:ext>
                <a:ext uri="{FF2B5EF4-FFF2-40B4-BE49-F238E27FC236}">
                  <a16:creationId xmlns:a16="http://schemas.microsoft.com/office/drawing/2014/main" id="{00000000-0008-0000-7400-00001C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5618717" name="Button 29" hidden="1">
              <a:extLst>
                <a:ext uri="{63B3BB69-23CF-44E3-9099-C40C66FF867C}">
                  <a14:compatExt spid="_x0000_s5618717"/>
                </a:ext>
                <a:ext uri="{FF2B5EF4-FFF2-40B4-BE49-F238E27FC236}">
                  <a16:creationId xmlns:a16="http://schemas.microsoft.com/office/drawing/2014/main" id="{00000000-0008-0000-7400-00001D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5618718" name="Button 30" hidden="1">
              <a:extLst>
                <a:ext uri="{63B3BB69-23CF-44E3-9099-C40C66FF867C}">
                  <a14:compatExt spid="_x0000_s5618718"/>
                </a:ext>
                <a:ext uri="{FF2B5EF4-FFF2-40B4-BE49-F238E27FC236}">
                  <a16:creationId xmlns:a16="http://schemas.microsoft.com/office/drawing/2014/main" id="{00000000-0008-0000-7400-00001E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5618719" name="Button 31" hidden="1">
              <a:extLst>
                <a:ext uri="{63B3BB69-23CF-44E3-9099-C40C66FF867C}">
                  <a14:compatExt spid="_x0000_s5618719"/>
                </a:ext>
                <a:ext uri="{FF2B5EF4-FFF2-40B4-BE49-F238E27FC236}">
                  <a16:creationId xmlns:a16="http://schemas.microsoft.com/office/drawing/2014/main" id="{00000000-0008-0000-7400-00001F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5618720" name="Button 32" hidden="1">
              <a:extLst>
                <a:ext uri="{63B3BB69-23CF-44E3-9099-C40C66FF867C}">
                  <a14:compatExt spid="_x0000_s5618720"/>
                </a:ext>
                <a:ext uri="{FF2B5EF4-FFF2-40B4-BE49-F238E27FC236}">
                  <a16:creationId xmlns:a16="http://schemas.microsoft.com/office/drawing/2014/main" id="{00000000-0008-0000-7400-000020BC5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5618721" name="Check Box 33" hidden="1">
              <a:extLst>
                <a:ext uri="{63B3BB69-23CF-44E3-9099-C40C66FF867C}">
                  <a14:compatExt spid="_x0000_s5618721"/>
                </a:ext>
                <a:ext uri="{FF2B5EF4-FFF2-40B4-BE49-F238E27FC236}">
                  <a16:creationId xmlns:a16="http://schemas.microsoft.com/office/drawing/2014/main" id="{00000000-0008-0000-7400-000021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31</xdr:row>
          <xdr:rowOff>180975</xdr:rowOff>
        </xdr:from>
        <xdr:to>
          <xdr:col>6</xdr:col>
          <xdr:colOff>581025</xdr:colOff>
          <xdr:row>33</xdr:row>
          <xdr:rowOff>19050</xdr:rowOff>
        </xdr:to>
        <xdr:sp macro="" textlink="">
          <xdr:nvSpPr>
            <xdr:cNvPr id="5618722" name="Check Box 34" hidden="1">
              <a:extLst>
                <a:ext uri="{63B3BB69-23CF-44E3-9099-C40C66FF867C}">
                  <a14:compatExt spid="_x0000_s5618722"/>
                </a:ext>
                <a:ext uri="{FF2B5EF4-FFF2-40B4-BE49-F238E27FC236}">
                  <a16:creationId xmlns:a16="http://schemas.microsoft.com/office/drawing/2014/main" id="{00000000-0008-0000-7400-000022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5618723" name="Check Box 35" hidden="1">
              <a:extLst>
                <a:ext uri="{63B3BB69-23CF-44E3-9099-C40C66FF867C}">
                  <a14:compatExt spid="_x0000_s5618723"/>
                </a:ext>
                <a:ext uri="{FF2B5EF4-FFF2-40B4-BE49-F238E27FC236}">
                  <a16:creationId xmlns:a16="http://schemas.microsoft.com/office/drawing/2014/main" id="{00000000-0008-0000-7400-000023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33</xdr:row>
          <xdr:rowOff>180975</xdr:rowOff>
        </xdr:from>
        <xdr:to>
          <xdr:col>6</xdr:col>
          <xdr:colOff>581025</xdr:colOff>
          <xdr:row>35</xdr:row>
          <xdr:rowOff>19050</xdr:rowOff>
        </xdr:to>
        <xdr:sp macro="" textlink="">
          <xdr:nvSpPr>
            <xdr:cNvPr id="5618724" name="Check Box 36" hidden="1">
              <a:extLst>
                <a:ext uri="{63B3BB69-23CF-44E3-9099-C40C66FF867C}">
                  <a14:compatExt spid="_x0000_s5618724"/>
                </a:ext>
                <a:ext uri="{FF2B5EF4-FFF2-40B4-BE49-F238E27FC236}">
                  <a16:creationId xmlns:a16="http://schemas.microsoft.com/office/drawing/2014/main" id="{00000000-0008-0000-7400-000024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34</xdr:row>
          <xdr:rowOff>180975</xdr:rowOff>
        </xdr:from>
        <xdr:to>
          <xdr:col>6</xdr:col>
          <xdr:colOff>581025</xdr:colOff>
          <xdr:row>36</xdr:row>
          <xdr:rowOff>19050</xdr:rowOff>
        </xdr:to>
        <xdr:sp macro="" textlink="">
          <xdr:nvSpPr>
            <xdr:cNvPr id="5618725" name="Check Box 37" hidden="1">
              <a:extLst>
                <a:ext uri="{63B3BB69-23CF-44E3-9099-C40C66FF867C}">
                  <a14:compatExt spid="_x0000_s5618725"/>
                </a:ext>
                <a:ext uri="{FF2B5EF4-FFF2-40B4-BE49-F238E27FC236}">
                  <a16:creationId xmlns:a16="http://schemas.microsoft.com/office/drawing/2014/main" id="{00000000-0008-0000-7400-000025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33</xdr:row>
          <xdr:rowOff>0</xdr:rowOff>
        </xdr:from>
        <xdr:to>
          <xdr:col>3</xdr:col>
          <xdr:colOff>409575</xdr:colOff>
          <xdr:row>34</xdr:row>
          <xdr:rowOff>28575</xdr:rowOff>
        </xdr:to>
        <xdr:sp macro="" textlink="">
          <xdr:nvSpPr>
            <xdr:cNvPr id="5618726" name="Check Box 38" hidden="1">
              <a:extLst>
                <a:ext uri="{63B3BB69-23CF-44E3-9099-C40C66FF867C}">
                  <a14:compatExt spid="_x0000_s5618726"/>
                </a:ext>
                <a:ext uri="{FF2B5EF4-FFF2-40B4-BE49-F238E27FC236}">
                  <a16:creationId xmlns:a16="http://schemas.microsoft.com/office/drawing/2014/main" id="{00000000-0008-0000-7400-000026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34</xdr:row>
          <xdr:rowOff>0</xdr:rowOff>
        </xdr:from>
        <xdr:to>
          <xdr:col>3</xdr:col>
          <xdr:colOff>409575</xdr:colOff>
          <xdr:row>35</xdr:row>
          <xdr:rowOff>28575</xdr:rowOff>
        </xdr:to>
        <xdr:sp macro="" textlink="">
          <xdr:nvSpPr>
            <xdr:cNvPr id="5618727" name="Check Box 39" hidden="1">
              <a:extLst>
                <a:ext uri="{63B3BB69-23CF-44E3-9099-C40C66FF867C}">
                  <a14:compatExt spid="_x0000_s5618727"/>
                </a:ext>
                <a:ext uri="{FF2B5EF4-FFF2-40B4-BE49-F238E27FC236}">
                  <a16:creationId xmlns:a16="http://schemas.microsoft.com/office/drawing/2014/main" id="{00000000-0008-0000-7400-000027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32</xdr:row>
          <xdr:rowOff>180975</xdr:rowOff>
        </xdr:from>
        <xdr:to>
          <xdr:col>6</xdr:col>
          <xdr:colOff>581025</xdr:colOff>
          <xdr:row>34</xdr:row>
          <xdr:rowOff>19050</xdr:rowOff>
        </xdr:to>
        <xdr:sp macro="" textlink="">
          <xdr:nvSpPr>
            <xdr:cNvPr id="5618728" name="Check Box 40" hidden="1">
              <a:extLst>
                <a:ext uri="{63B3BB69-23CF-44E3-9099-C40C66FF867C}">
                  <a14:compatExt spid="_x0000_s5618728"/>
                </a:ext>
                <a:ext uri="{FF2B5EF4-FFF2-40B4-BE49-F238E27FC236}">
                  <a16:creationId xmlns:a16="http://schemas.microsoft.com/office/drawing/2014/main" id="{00000000-0008-0000-7400-000028BC5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6.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49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12.01.2024 Emailed ABC RE: Pool Fee</a:t>
          </a:r>
          <a:r>
            <a:rPr lang="en-AU" sz="800" b="0" i="0" u="none" strike="noStrike" baseline="0">
              <a:solidFill>
                <a:schemeClr val="dk1"/>
              </a:solidFill>
              <a:latin typeface="+mn-lt"/>
              <a:ea typeface="+mn-ea"/>
              <a:cs typeface="+mn-cs"/>
            </a:rPr>
            <a:t> </a:t>
          </a:r>
        </a:p>
        <a:p>
          <a:r>
            <a:rPr lang="en-AU" sz="800" b="0" i="0" u="none" strike="noStrike" baseline="0">
              <a:solidFill>
                <a:srgbClr val="00B050"/>
              </a:solidFill>
              <a:latin typeface="+mn-lt"/>
              <a:ea typeface="+mn-ea"/>
              <a:cs typeface="+mn-cs"/>
            </a:rPr>
            <a:t>1. Locality and Neighbourhood description plan showing the following information: a. Setback to creeklines/waterways at 45 Gerard Creek Road Sugarloaf Creek and 1051 Sugarloaf Creek Road Sugarloaf Creek. </a:t>
          </a:r>
        </a:p>
        <a:p>
          <a:r>
            <a:rPr lang="en-AU" sz="800" b="0" i="0" u="none" strike="noStrike" baseline="0">
              <a:solidFill>
                <a:srgbClr val="00B050"/>
              </a:solidFill>
              <a:latin typeface="+mn-lt"/>
              <a:ea typeface="+mn-ea"/>
              <a:cs typeface="+mn-cs"/>
            </a:rPr>
            <a:t>2. Written statement providing details of: a. The purpose of the shed and what goods it is proposed to store and if it is in association with the existing dwelling or an agricultural use. </a:t>
          </a:r>
        </a:p>
        <a:p>
          <a:r>
            <a:rPr lang="en-AU" sz="800" b="0" i="0" u="none" strike="noStrike" baseline="0">
              <a:solidFill>
                <a:srgbClr val="00B050"/>
              </a:solidFill>
              <a:latin typeface="+mn-lt"/>
              <a:ea typeface="+mn-ea"/>
              <a:cs typeface="+mn-cs"/>
            </a:rPr>
            <a:t>3. Revised Proposed Site Plans, generally in accordance with information submitted but modified to show: a. Total area in square metres (m2) of the proposed shed </a:t>
          </a:r>
        </a:p>
        <a:p>
          <a:r>
            <a:rPr lang="en-AU" sz="800" b="0" i="0" u="none" strike="noStrike" baseline="0">
              <a:solidFill>
                <a:schemeClr val="dk1"/>
              </a:solidFill>
              <a:latin typeface="+mn-lt"/>
              <a:ea typeface="+mn-ea"/>
              <a:cs typeface="+mn-cs"/>
            </a:rPr>
            <a:t>4. Elevation Plans, modified to show, as appropriate: a. Colours and external materials of the proposed shed and carport. </a:t>
          </a:r>
        </a:p>
        <a:p>
          <a:endParaRPr lang="en-AU" sz="800" b="0" i="0" u="none" strike="noStrike" baseline="0">
            <a:solidFill>
              <a:schemeClr val="dk1"/>
            </a:solidFill>
            <a:latin typeface="+mn-lt"/>
            <a:ea typeface="+mn-ea"/>
            <a:cs typeface="+mn-cs"/>
          </a:endParaRPr>
        </a:p>
        <a:p>
          <a:endParaRPr lang="en-AU" sz="800" baseline="0"/>
        </a:p>
        <a:p>
          <a:endParaRPr lang="en-AU" sz="8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49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3093505" name="Check Box 1" hidden="1">
              <a:extLst>
                <a:ext uri="{63B3BB69-23CF-44E3-9099-C40C66FF867C}">
                  <a14:compatExt spid="_x0000_s3093505"/>
                </a:ext>
                <a:ext uri="{FF2B5EF4-FFF2-40B4-BE49-F238E27FC236}">
                  <a16:creationId xmlns:a16="http://schemas.microsoft.com/office/drawing/2014/main" id="{00000000-0008-0000-7500-000001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3093506" name="Check Box 2" hidden="1">
              <a:extLst>
                <a:ext uri="{63B3BB69-23CF-44E3-9099-C40C66FF867C}">
                  <a14:compatExt spid="_x0000_s3093506"/>
                </a:ext>
                <a:ext uri="{FF2B5EF4-FFF2-40B4-BE49-F238E27FC236}">
                  <a16:creationId xmlns:a16="http://schemas.microsoft.com/office/drawing/2014/main" id="{00000000-0008-0000-7500-000002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3093507" name="Check Box 3" hidden="1">
              <a:extLst>
                <a:ext uri="{63B3BB69-23CF-44E3-9099-C40C66FF867C}">
                  <a14:compatExt spid="_x0000_s3093507"/>
                </a:ext>
                <a:ext uri="{FF2B5EF4-FFF2-40B4-BE49-F238E27FC236}">
                  <a16:creationId xmlns:a16="http://schemas.microsoft.com/office/drawing/2014/main" id="{00000000-0008-0000-7500-000003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3093508" name="Check Box 4" hidden="1">
              <a:extLst>
                <a:ext uri="{63B3BB69-23CF-44E3-9099-C40C66FF867C}">
                  <a14:compatExt spid="_x0000_s3093508"/>
                </a:ext>
                <a:ext uri="{FF2B5EF4-FFF2-40B4-BE49-F238E27FC236}">
                  <a16:creationId xmlns:a16="http://schemas.microsoft.com/office/drawing/2014/main" id="{00000000-0008-0000-7500-000004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3093509" name="Check Box 5" hidden="1">
              <a:extLst>
                <a:ext uri="{63B3BB69-23CF-44E3-9099-C40C66FF867C}">
                  <a14:compatExt spid="_x0000_s3093509"/>
                </a:ext>
                <a:ext uri="{FF2B5EF4-FFF2-40B4-BE49-F238E27FC236}">
                  <a16:creationId xmlns:a16="http://schemas.microsoft.com/office/drawing/2014/main" id="{00000000-0008-0000-7500-000005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3093510" name="Check Box 6" hidden="1">
              <a:extLst>
                <a:ext uri="{63B3BB69-23CF-44E3-9099-C40C66FF867C}">
                  <a14:compatExt spid="_x0000_s3093510"/>
                </a:ext>
                <a:ext uri="{FF2B5EF4-FFF2-40B4-BE49-F238E27FC236}">
                  <a16:creationId xmlns:a16="http://schemas.microsoft.com/office/drawing/2014/main" id="{00000000-0008-0000-7500-000006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3093511" name="Check Box 7" hidden="1">
              <a:extLst>
                <a:ext uri="{63B3BB69-23CF-44E3-9099-C40C66FF867C}">
                  <a14:compatExt spid="_x0000_s3093511"/>
                </a:ext>
                <a:ext uri="{FF2B5EF4-FFF2-40B4-BE49-F238E27FC236}">
                  <a16:creationId xmlns:a16="http://schemas.microsoft.com/office/drawing/2014/main" id="{00000000-0008-0000-7500-000007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3093512" name="Check Box 8" hidden="1">
              <a:extLst>
                <a:ext uri="{63B3BB69-23CF-44E3-9099-C40C66FF867C}">
                  <a14:compatExt spid="_x0000_s3093512"/>
                </a:ext>
                <a:ext uri="{FF2B5EF4-FFF2-40B4-BE49-F238E27FC236}">
                  <a16:creationId xmlns:a16="http://schemas.microsoft.com/office/drawing/2014/main" id="{00000000-0008-0000-7500-000008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3093513" name="Check Box 9" hidden="1">
              <a:extLst>
                <a:ext uri="{63B3BB69-23CF-44E3-9099-C40C66FF867C}">
                  <a14:compatExt spid="_x0000_s3093513"/>
                </a:ext>
                <a:ext uri="{FF2B5EF4-FFF2-40B4-BE49-F238E27FC236}">
                  <a16:creationId xmlns:a16="http://schemas.microsoft.com/office/drawing/2014/main" id="{00000000-0008-0000-7500-000009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3093514" name="Check Box 10" hidden="1">
              <a:extLst>
                <a:ext uri="{63B3BB69-23CF-44E3-9099-C40C66FF867C}">
                  <a14:compatExt spid="_x0000_s3093514"/>
                </a:ext>
                <a:ext uri="{FF2B5EF4-FFF2-40B4-BE49-F238E27FC236}">
                  <a16:creationId xmlns:a16="http://schemas.microsoft.com/office/drawing/2014/main" id="{00000000-0008-0000-7500-00000A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3093515" name="Check Box 11" hidden="1">
              <a:extLst>
                <a:ext uri="{63B3BB69-23CF-44E3-9099-C40C66FF867C}">
                  <a14:compatExt spid="_x0000_s3093515"/>
                </a:ext>
                <a:ext uri="{FF2B5EF4-FFF2-40B4-BE49-F238E27FC236}">
                  <a16:creationId xmlns:a16="http://schemas.microsoft.com/office/drawing/2014/main" id="{00000000-0008-0000-7500-00000B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3093516" name="Check Box 12" hidden="1">
              <a:extLst>
                <a:ext uri="{63B3BB69-23CF-44E3-9099-C40C66FF867C}">
                  <a14:compatExt spid="_x0000_s3093516"/>
                </a:ext>
                <a:ext uri="{FF2B5EF4-FFF2-40B4-BE49-F238E27FC236}">
                  <a16:creationId xmlns:a16="http://schemas.microsoft.com/office/drawing/2014/main" id="{00000000-0008-0000-7500-00000C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3093517" name="Check Box 13" hidden="1">
              <a:extLst>
                <a:ext uri="{63B3BB69-23CF-44E3-9099-C40C66FF867C}">
                  <a14:compatExt spid="_x0000_s3093517"/>
                </a:ext>
                <a:ext uri="{FF2B5EF4-FFF2-40B4-BE49-F238E27FC236}">
                  <a16:creationId xmlns:a16="http://schemas.microsoft.com/office/drawing/2014/main" id="{00000000-0008-0000-7500-00000D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3093518" name="Check Box 14" hidden="1">
              <a:extLst>
                <a:ext uri="{63B3BB69-23CF-44E3-9099-C40C66FF867C}">
                  <a14:compatExt spid="_x0000_s3093518"/>
                </a:ext>
                <a:ext uri="{FF2B5EF4-FFF2-40B4-BE49-F238E27FC236}">
                  <a16:creationId xmlns:a16="http://schemas.microsoft.com/office/drawing/2014/main" id="{00000000-0008-0000-7500-00000E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3093519" name="Check Box 15" hidden="1">
              <a:extLst>
                <a:ext uri="{63B3BB69-23CF-44E3-9099-C40C66FF867C}">
                  <a14:compatExt spid="_x0000_s3093519"/>
                </a:ext>
                <a:ext uri="{FF2B5EF4-FFF2-40B4-BE49-F238E27FC236}">
                  <a16:creationId xmlns:a16="http://schemas.microsoft.com/office/drawing/2014/main" id="{00000000-0008-0000-7500-00000F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3093520" name="Check Box 16" hidden="1">
              <a:extLst>
                <a:ext uri="{63B3BB69-23CF-44E3-9099-C40C66FF867C}">
                  <a14:compatExt spid="_x0000_s3093520"/>
                </a:ext>
                <a:ext uri="{FF2B5EF4-FFF2-40B4-BE49-F238E27FC236}">
                  <a16:creationId xmlns:a16="http://schemas.microsoft.com/office/drawing/2014/main" id="{00000000-0008-0000-7500-000010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3093521" name="Check Box 17" hidden="1">
              <a:extLst>
                <a:ext uri="{63B3BB69-23CF-44E3-9099-C40C66FF867C}">
                  <a14:compatExt spid="_x0000_s3093521"/>
                </a:ext>
                <a:ext uri="{FF2B5EF4-FFF2-40B4-BE49-F238E27FC236}">
                  <a16:creationId xmlns:a16="http://schemas.microsoft.com/office/drawing/2014/main" id="{00000000-0008-0000-7500-000011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3093522" name="Check Box 18" hidden="1">
              <a:extLst>
                <a:ext uri="{63B3BB69-23CF-44E3-9099-C40C66FF867C}">
                  <a14:compatExt spid="_x0000_s3093522"/>
                </a:ext>
                <a:ext uri="{FF2B5EF4-FFF2-40B4-BE49-F238E27FC236}">
                  <a16:creationId xmlns:a16="http://schemas.microsoft.com/office/drawing/2014/main" id="{00000000-0008-0000-7500-000012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3093523" name="Check Box 19" hidden="1">
              <a:extLst>
                <a:ext uri="{63B3BB69-23CF-44E3-9099-C40C66FF867C}">
                  <a14:compatExt spid="_x0000_s3093523"/>
                </a:ext>
                <a:ext uri="{FF2B5EF4-FFF2-40B4-BE49-F238E27FC236}">
                  <a16:creationId xmlns:a16="http://schemas.microsoft.com/office/drawing/2014/main" id="{00000000-0008-0000-7500-000013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3093524" name="Check Box 20" hidden="1">
              <a:extLst>
                <a:ext uri="{63B3BB69-23CF-44E3-9099-C40C66FF867C}">
                  <a14:compatExt spid="_x0000_s3093524"/>
                </a:ext>
                <a:ext uri="{FF2B5EF4-FFF2-40B4-BE49-F238E27FC236}">
                  <a16:creationId xmlns:a16="http://schemas.microsoft.com/office/drawing/2014/main" id="{00000000-0008-0000-7500-000014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3093525" name="Check Box 21" hidden="1">
              <a:extLst>
                <a:ext uri="{63B3BB69-23CF-44E3-9099-C40C66FF867C}">
                  <a14:compatExt spid="_x0000_s3093525"/>
                </a:ext>
                <a:ext uri="{FF2B5EF4-FFF2-40B4-BE49-F238E27FC236}">
                  <a16:creationId xmlns:a16="http://schemas.microsoft.com/office/drawing/2014/main" id="{00000000-0008-0000-7500-000015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3093526" name="Check Box 22" hidden="1">
              <a:extLst>
                <a:ext uri="{63B3BB69-23CF-44E3-9099-C40C66FF867C}">
                  <a14:compatExt spid="_x0000_s3093526"/>
                </a:ext>
                <a:ext uri="{FF2B5EF4-FFF2-40B4-BE49-F238E27FC236}">
                  <a16:creationId xmlns:a16="http://schemas.microsoft.com/office/drawing/2014/main" id="{00000000-0008-0000-7500-000016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3093527" name="Check Box 23" hidden="1">
              <a:extLst>
                <a:ext uri="{63B3BB69-23CF-44E3-9099-C40C66FF867C}">
                  <a14:compatExt spid="_x0000_s3093527"/>
                </a:ext>
                <a:ext uri="{FF2B5EF4-FFF2-40B4-BE49-F238E27FC236}">
                  <a16:creationId xmlns:a16="http://schemas.microsoft.com/office/drawing/2014/main" id="{00000000-0008-0000-7500-000017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3093528" name="Button 24" hidden="1">
              <a:extLst>
                <a:ext uri="{63B3BB69-23CF-44E3-9099-C40C66FF867C}">
                  <a14:compatExt spid="_x0000_s3093528"/>
                </a:ext>
                <a:ext uri="{FF2B5EF4-FFF2-40B4-BE49-F238E27FC236}">
                  <a16:creationId xmlns:a16="http://schemas.microsoft.com/office/drawing/2014/main" id="{00000000-0008-0000-7500-000018342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3093529" name="Button 25" hidden="1">
              <a:extLst>
                <a:ext uri="{63B3BB69-23CF-44E3-9099-C40C66FF867C}">
                  <a14:compatExt spid="_x0000_s3093529"/>
                </a:ext>
                <a:ext uri="{FF2B5EF4-FFF2-40B4-BE49-F238E27FC236}">
                  <a16:creationId xmlns:a16="http://schemas.microsoft.com/office/drawing/2014/main" id="{00000000-0008-0000-7500-000019342F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3093530" name="Check Box 26" hidden="1">
              <a:extLst>
                <a:ext uri="{63B3BB69-23CF-44E3-9099-C40C66FF867C}">
                  <a14:compatExt spid="_x0000_s3093530"/>
                </a:ext>
                <a:ext uri="{FF2B5EF4-FFF2-40B4-BE49-F238E27FC236}">
                  <a16:creationId xmlns:a16="http://schemas.microsoft.com/office/drawing/2014/main" id="{00000000-0008-0000-7500-00001A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3093531" name="Button 27" hidden="1">
              <a:extLst>
                <a:ext uri="{63B3BB69-23CF-44E3-9099-C40C66FF867C}">
                  <a14:compatExt spid="_x0000_s3093531"/>
                </a:ext>
                <a:ext uri="{FF2B5EF4-FFF2-40B4-BE49-F238E27FC236}">
                  <a16:creationId xmlns:a16="http://schemas.microsoft.com/office/drawing/2014/main" id="{00000000-0008-0000-7500-00001B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3093532" name="Button 28" hidden="1">
              <a:extLst>
                <a:ext uri="{63B3BB69-23CF-44E3-9099-C40C66FF867C}">
                  <a14:compatExt spid="_x0000_s3093532"/>
                </a:ext>
                <a:ext uri="{FF2B5EF4-FFF2-40B4-BE49-F238E27FC236}">
                  <a16:creationId xmlns:a16="http://schemas.microsoft.com/office/drawing/2014/main" id="{00000000-0008-0000-7500-00001C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3093533" name="Button 29" hidden="1">
              <a:extLst>
                <a:ext uri="{63B3BB69-23CF-44E3-9099-C40C66FF867C}">
                  <a14:compatExt spid="_x0000_s3093533"/>
                </a:ext>
                <a:ext uri="{FF2B5EF4-FFF2-40B4-BE49-F238E27FC236}">
                  <a16:creationId xmlns:a16="http://schemas.microsoft.com/office/drawing/2014/main" id="{00000000-0008-0000-7500-00001D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3093534" name="Button 30" hidden="1">
              <a:extLst>
                <a:ext uri="{63B3BB69-23CF-44E3-9099-C40C66FF867C}">
                  <a14:compatExt spid="_x0000_s3093534"/>
                </a:ext>
                <a:ext uri="{FF2B5EF4-FFF2-40B4-BE49-F238E27FC236}">
                  <a16:creationId xmlns:a16="http://schemas.microsoft.com/office/drawing/2014/main" id="{00000000-0008-0000-7500-00001E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3093535" name="Button 31" hidden="1">
              <a:extLst>
                <a:ext uri="{63B3BB69-23CF-44E3-9099-C40C66FF867C}">
                  <a14:compatExt spid="_x0000_s3093535"/>
                </a:ext>
                <a:ext uri="{FF2B5EF4-FFF2-40B4-BE49-F238E27FC236}">
                  <a16:creationId xmlns:a16="http://schemas.microsoft.com/office/drawing/2014/main" id="{00000000-0008-0000-7500-00001F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3093536" name="Button 32" hidden="1">
              <a:extLst>
                <a:ext uri="{63B3BB69-23CF-44E3-9099-C40C66FF867C}">
                  <a14:compatExt spid="_x0000_s3093536"/>
                </a:ext>
                <a:ext uri="{FF2B5EF4-FFF2-40B4-BE49-F238E27FC236}">
                  <a16:creationId xmlns:a16="http://schemas.microsoft.com/office/drawing/2014/main" id="{00000000-0008-0000-7500-00002034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3093537" name="Check Box 33" hidden="1">
              <a:extLst>
                <a:ext uri="{63B3BB69-23CF-44E3-9099-C40C66FF867C}">
                  <a14:compatExt spid="_x0000_s3093537"/>
                </a:ext>
                <a:ext uri="{FF2B5EF4-FFF2-40B4-BE49-F238E27FC236}">
                  <a16:creationId xmlns:a16="http://schemas.microsoft.com/office/drawing/2014/main" id="{00000000-0008-0000-7500-000021342F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7.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4D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24/01/2024 REQUESTED COMPS TO KNOW WHICH ELEVATIONS TO SEND TO KNUT</a:t>
          </a:r>
        </a:p>
        <a:p>
          <a:r>
            <a:rPr lang="en-AU" sz="800" baseline="0"/>
            <a:t>21.05.2024 Emailed invoice for flooding to customer.</a:t>
          </a:r>
        </a:p>
        <a:p>
          <a:r>
            <a:rPr lang="en-AU" sz="800" baseline="0"/>
            <a:t>24.05.2024 Engaged land surveyor.</a:t>
          </a:r>
        </a:p>
        <a:p>
          <a:r>
            <a:rPr lang="en-AU" sz="800" baseline="0"/>
            <a:t>09.07.2024 submitted building permit</a:t>
          </a:r>
        </a:p>
        <a:p>
          <a:r>
            <a:rPr lang="en-AU" sz="1100" b="0" i="0" u="none" strike="noStrike" baseline="0">
              <a:solidFill>
                <a:srgbClr val="FF0000"/>
              </a:solidFill>
              <a:latin typeface="+mn-lt"/>
              <a:ea typeface="+mn-ea"/>
              <a:cs typeface="+mn-cs"/>
            </a:rPr>
            <a:t>1. Provide owner builder certificate as issued by the VBA.</a:t>
          </a:r>
        </a:p>
        <a:p>
          <a:r>
            <a:rPr lang="en-AU" sz="1100" b="0" i="0" u="none" strike="noStrike" baseline="0">
              <a:solidFill>
                <a:srgbClr val="FF0000"/>
              </a:solidFill>
              <a:latin typeface="+mn-lt"/>
              <a:ea typeface="+mn-ea"/>
              <a:cs typeface="+mn-cs"/>
            </a:rPr>
            <a:t>2. Provide engineers certificate of compliance reg 126</a:t>
          </a:r>
          <a:endParaRPr lang="en-AU" sz="800" baseline="0">
            <a:solidFill>
              <a:srgbClr val="FF0000"/>
            </a:solidFill>
          </a:endParaRP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4D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472961" name="Check Box 1" hidden="1">
              <a:extLst>
                <a:ext uri="{63B3BB69-23CF-44E3-9099-C40C66FF867C}">
                  <a14:compatExt spid="_x0000_s2472961"/>
                </a:ext>
                <a:ext uri="{FF2B5EF4-FFF2-40B4-BE49-F238E27FC236}">
                  <a16:creationId xmlns:a16="http://schemas.microsoft.com/office/drawing/2014/main" id="{00000000-0008-0000-7600-000001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472962" name="Check Box 2" hidden="1">
              <a:extLst>
                <a:ext uri="{63B3BB69-23CF-44E3-9099-C40C66FF867C}">
                  <a14:compatExt spid="_x0000_s2472962"/>
                </a:ext>
                <a:ext uri="{FF2B5EF4-FFF2-40B4-BE49-F238E27FC236}">
                  <a16:creationId xmlns:a16="http://schemas.microsoft.com/office/drawing/2014/main" id="{00000000-0008-0000-7600-000002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472963" name="Check Box 3" hidden="1">
              <a:extLst>
                <a:ext uri="{63B3BB69-23CF-44E3-9099-C40C66FF867C}">
                  <a14:compatExt spid="_x0000_s2472963"/>
                </a:ext>
                <a:ext uri="{FF2B5EF4-FFF2-40B4-BE49-F238E27FC236}">
                  <a16:creationId xmlns:a16="http://schemas.microsoft.com/office/drawing/2014/main" id="{00000000-0008-0000-7600-000003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472964" name="Check Box 4" hidden="1">
              <a:extLst>
                <a:ext uri="{63B3BB69-23CF-44E3-9099-C40C66FF867C}">
                  <a14:compatExt spid="_x0000_s2472964"/>
                </a:ext>
                <a:ext uri="{FF2B5EF4-FFF2-40B4-BE49-F238E27FC236}">
                  <a16:creationId xmlns:a16="http://schemas.microsoft.com/office/drawing/2014/main" id="{00000000-0008-0000-7600-000004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472965" name="Check Box 5" hidden="1">
              <a:extLst>
                <a:ext uri="{63B3BB69-23CF-44E3-9099-C40C66FF867C}">
                  <a14:compatExt spid="_x0000_s2472965"/>
                </a:ext>
                <a:ext uri="{FF2B5EF4-FFF2-40B4-BE49-F238E27FC236}">
                  <a16:creationId xmlns:a16="http://schemas.microsoft.com/office/drawing/2014/main" id="{00000000-0008-0000-7600-000005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472966" name="Check Box 6" hidden="1">
              <a:extLst>
                <a:ext uri="{63B3BB69-23CF-44E3-9099-C40C66FF867C}">
                  <a14:compatExt spid="_x0000_s2472966"/>
                </a:ext>
                <a:ext uri="{FF2B5EF4-FFF2-40B4-BE49-F238E27FC236}">
                  <a16:creationId xmlns:a16="http://schemas.microsoft.com/office/drawing/2014/main" id="{00000000-0008-0000-7600-000006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472967" name="Check Box 7" hidden="1">
              <a:extLst>
                <a:ext uri="{63B3BB69-23CF-44E3-9099-C40C66FF867C}">
                  <a14:compatExt spid="_x0000_s2472967"/>
                </a:ext>
                <a:ext uri="{FF2B5EF4-FFF2-40B4-BE49-F238E27FC236}">
                  <a16:creationId xmlns:a16="http://schemas.microsoft.com/office/drawing/2014/main" id="{00000000-0008-0000-7600-000007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472968" name="Check Box 8" hidden="1">
              <a:extLst>
                <a:ext uri="{63B3BB69-23CF-44E3-9099-C40C66FF867C}">
                  <a14:compatExt spid="_x0000_s2472968"/>
                </a:ext>
                <a:ext uri="{FF2B5EF4-FFF2-40B4-BE49-F238E27FC236}">
                  <a16:creationId xmlns:a16="http://schemas.microsoft.com/office/drawing/2014/main" id="{00000000-0008-0000-7600-000008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472969" name="Check Box 9" hidden="1">
              <a:extLst>
                <a:ext uri="{63B3BB69-23CF-44E3-9099-C40C66FF867C}">
                  <a14:compatExt spid="_x0000_s2472969"/>
                </a:ext>
                <a:ext uri="{FF2B5EF4-FFF2-40B4-BE49-F238E27FC236}">
                  <a16:creationId xmlns:a16="http://schemas.microsoft.com/office/drawing/2014/main" id="{00000000-0008-0000-7600-000009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472970" name="Check Box 10" hidden="1">
              <a:extLst>
                <a:ext uri="{63B3BB69-23CF-44E3-9099-C40C66FF867C}">
                  <a14:compatExt spid="_x0000_s2472970"/>
                </a:ext>
                <a:ext uri="{FF2B5EF4-FFF2-40B4-BE49-F238E27FC236}">
                  <a16:creationId xmlns:a16="http://schemas.microsoft.com/office/drawing/2014/main" id="{00000000-0008-0000-7600-00000A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472971" name="Check Box 11" hidden="1">
              <a:extLst>
                <a:ext uri="{63B3BB69-23CF-44E3-9099-C40C66FF867C}">
                  <a14:compatExt spid="_x0000_s2472971"/>
                </a:ext>
                <a:ext uri="{FF2B5EF4-FFF2-40B4-BE49-F238E27FC236}">
                  <a16:creationId xmlns:a16="http://schemas.microsoft.com/office/drawing/2014/main" id="{00000000-0008-0000-7600-00000B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472972" name="Check Box 12" hidden="1">
              <a:extLst>
                <a:ext uri="{63B3BB69-23CF-44E3-9099-C40C66FF867C}">
                  <a14:compatExt spid="_x0000_s2472972"/>
                </a:ext>
                <a:ext uri="{FF2B5EF4-FFF2-40B4-BE49-F238E27FC236}">
                  <a16:creationId xmlns:a16="http://schemas.microsoft.com/office/drawing/2014/main" id="{00000000-0008-0000-7600-00000C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2472973" name="Check Box 13" hidden="1">
              <a:extLst>
                <a:ext uri="{63B3BB69-23CF-44E3-9099-C40C66FF867C}">
                  <a14:compatExt spid="_x0000_s2472973"/>
                </a:ext>
                <a:ext uri="{FF2B5EF4-FFF2-40B4-BE49-F238E27FC236}">
                  <a16:creationId xmlns:a16="http://schemas.microsoft.com/office/drawing/2014/main" id="{00000000-0008-0000-7600-00000D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472974" name="Check Box 14" hidden="1">
              <a:extLst>
                <a:ext uri="{63B3BB69-23CF-44E3-9099-C40C66FF867C}">
                  <a14:compatExt spid="_x0000_s2472974"/>
                </a:ext>
                <a:ext uri="{FF2B5EF4-FFF2-40B4-BE49-F238E27FC236}">
                  <a16:creationId xmlns:a16="http://schemas.microsoft.com/office/drawing/2014/main" id="{00000000-0008-0000-7600-00000E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472975" name="Check Box 15" hidden="1">
              <a:extLst>
                <a:ext uri="{63B3BB69-23CF-44E3-9099-C40C66FF867C}">
                  <a14:compatExt spid="_x0000_s2472975"/>
                </a:ext>
                <a:ext uri="{FF2B5EF4-FFF2-40B4-BE49-F238E27FC236}">
                  <a16:creationId xmlns:a16="http://schemas.microsoft.com/office/drawing/2014/main" id="{00000000-0008-0000-7600-00000F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472976" name="Check Box 16" hidden="1">
              <a:extLst>
                <a:ext uri="{63B3BB69-23CF-44E3-9099-C40C66FF867C}">
                  <a14:compatExt spid="_x0000_s2472976"/>
                </a:ext>
                <a:ext uri="{FF2B5EF4-FFF2-40B4-BE49-F238E27FC236}">
                  <a16:creationId xmlns:a16="http://schemas.microsoft.com/office/drawing/2014/main" id="{00000000-0008-0000-7600-000010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472977" name="Check Box 17" hidden="1">
              <a:extLst>
                <a:ext uri="{63B3BB69-23CF-44E3-9099-C40C66FF867C}">
                  <a14:compatExt spid="_x0000_s2472977"/>
                </a:ext>
                <a:ext uri="{FF2B5EF4-FFF2-40B4-BE49-F238E27FC236}">
                  <a16:creationId xmlns:a16="http://schemas.microsoft.com/office/drawing/2014/main" id="{00000000-0008-0000-7600-000011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472978" name="Check Box 18" hidden="1">
              <a:extLst>
                <a:ext uri="{63B3BB69-23CF-44E3-9099-C40C66FF867C}">
                  <a14:compatExt spid="_x0000_s2472978"/>
                </a:ext>
                <a:ext uri="{FF2B5EF4-FFF2-40B4-BE49-F238E27FC236}">
                  <a16:creationId xmlns:a16="http://schemas.microsoft.com/office/drawing/2014/main" id="{00000000-0008-0000-7600-000012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472979" name="Check Box 19" hidden="1">
              <a:extLst>
                <a:ext uri="{63B3BB69-23CF-44E3-9099-C40C66FF867C}">
                  <a14:compatExt spid="_x0000_s2472979"/>
                </a:ext>
                <a:ext uri="{FF2B5EF4-FFF2-40B4-BE49-F238E27FC236}">
                  <a16:creationId xmlns:a16="http://schemas.microsoft.com/office/drawing/2014/main" id="{00000000-0008-0000-7600-000013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472980" name="Check Box 20" hidden="1">
              <a:extLst>
                <a:ext uri="{63B3BB69-23CF-44E3-9099-C40C66FF867C}">
                  <a14:compatExt spid="_x0000_s2472980"/>
                </a:ext>
                <a:ext uri="{FF2B5EF4-FFF2-40B4-BE49-F238E27FC236}">
                  <a16:creationId xmlns:a16="http://schemas.microsoft.com/office/drawing/2014/main" id="{00000000-0008-0000-7600-000014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472981" name="Check Box 21" hidden="1">
              <a:extLst>
                <a:ext uri="{63B3BB69-23CF-44E3-9099-C40C66FF867C}">
                  <a14:compatExt spid="_x0000_s2472981"/>
                </a:ext>
                <a:ext uri="{FF2B5EF4-FFF2-40B4-BE49-F238E27FC236}">
                  <a16:creationId xmlns:a16="http://schemas.microsoft.com/office/drawing/2014/main" id="{00000000-0008-0000-7600-000015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472982" name="Check Box 22" hidden="1">
              <a:extLst>
                <a:ext uri="{63B3BB69-23CF-44E3-9099-C40C66FF867C}">
                  <a14:compatExt spid="_x0000_s2472982"/>
                </a:ext>
                <a:ext uri="{FF2B5EF4-FFF2-40B4-BE49-F238E27FC236}">
                  <a16:creationId xmlns:a16="http://schemas.microsoft.com/office/drawing/2014/main" id="{00000000-0008-0000-7600-000016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472983" name="Check Box 23" hidden="1">
              <a:extLst>
                <a:ext uri="{63B3BB69-23CF-44E3-9099-C40C66FF867C}">
                  <a14:compatExt spid="_x0000_s2472983"/>
                </a:ext>
                <a:ext uri="{FF2B5EF4-FFF2-40B4-BE49-F238E27FC236}">
                  <a16:creationId xmlns:a16="http://schemas.microsoft.com/office/drawing/2014/main" id="{00000000-0008-0000-7600-000017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2472984" name="Button 24" hidden="1">
              <a:extLst>
                <a:ext uri="{63B3BB69-23CF-44E3-9099-C40C66FF867C}">
                  <a14:compatExt spid="_x0000_s2472984"/>
                </a:ext>
                <a:ext uri="{FF2B5EF4-FFF2-40B4-BE49-F238E27FC236}">
                  <a16:creationId xmlns:a16="http://schemas.microsoft.com/office/drawing/2014/main" id="{00000000-0008-0000-7600-000018BC2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472985" name="Button 25" hidden="1">
              <a:extLst>
                <a:ext uri="{63B3BB69-23CF-44E3-9099-C40C66FF867C}">
                  <a14:compatExt spid="_x0000_s2472985"/>
                </a:ext>
                <a:ext uri="{FF2B5EF4-FFF2-40B4-BE49-F238E27FC236}">
                  <a16:creationId xmlns:a16="http://schemas.microsoft.com/office/drawing/2014/main" id="{00000000-0008-0000-7600-000019BC2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472986" name="Check Box 26" hidden="1">
              <a:extLst>
                <a:ext uri="{63B3BB69-23CF-44E3-9099-C40C66FF867C}">
                  <a14:compatExt spid="_x0000_s2472986"/>
                </a:ext>
                <a:ext uri="{FF2B5EF4-FFF2-40B4-BE49-F238E27FC236}">
                  <a16:creationId xmlns:a16="http://schemas.microsoft.com/office/drawing/2014/main" id="{00000000-0008-0000-7600-00001A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472987" name="Button 27" hidden="1">
              <a:extLst>
                <a:ext uri="{63B3BB69-23CF-44E3-9099-C40C66FF867C}">
                  <a14:compatExt spid="_x0000_s2472987"/>
                </a:ext>
                <a:ext uri="{FF2B5EF4-FFF2-40B4-BE49-F238E27FC236}">
                  <a16:creationId xmlns:a16="http://schemas.microsoft.com/office/drawing/2014/main" id="{00000000-0008-0000-7600-00001B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472988" name="Button 28" hidden="1">
              <a:extLst>
                <a:ext uri="{63B3BB69-23CF-44E3-9099-C40C66FF867C}">
                  <a14:compatExt spid="_x0000_s2472988"/>
                </a:ext>
                <a:ext uri="{FF2B5EF4-FFF2-40B4-BE49-F238E27FC236}">
                  <a16:creationId xmlns:a16="http://schemas.microsoft.com/office/drawing/2014/main" id="{00000000-0008-0000-7600-00001C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472989" name="Button 29" hidden="1">
              <a:extLst>
                <a:ext uri="{63B3BB69-23CF-44E3-9099-C40C66FF867C}">
                  <a14:compatExt spid="_x0000_s2472989"/>
                </a:ext>
                <a:ext uri="{FF2B5EF4-FFF2-40B4-BE49-F238E27FC236}">
                  <a16:creationId xmlns:a16="http://schemas.microsoft.com/office/drawing/2014/main" id="{00000000-0008-0000-7600-00001D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472990" name="Button 30" hidden="1">
              <a:extLst>
                <a:ext uri="{63B3BB69-23CF-44E3-9099-C40C66FF867C}">
                  <a14:compatExt spid="_x0000_s2472990"/>
                </a:ext>
                <a:ext uri="{FF2B5EF4-FFF2-40B4-BE49-F238E27FC236}">
                  <a16:creationId xmlns:a16="http://schemas.microsoft.com/office/drawing/2014/main" id="{00000000-0008-0000-7600-00001E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472991" name="Button 31" hidden="1">
              <a:extLst>
                <a:ext uri="{63B3BB69-23CF-44E3-9099-C40C66FF867C}">
                  <a14:compatExt spid="_x0000_s2472991"/>
                </a:ext>
                <a:ext uri="{FF2B5EF4-FFF2-40B4-BE49-F238E27FC236}">
                  <a16:creationId xmlns:a16="http://schemas.microsoft.com/office/drawing/2014/main" id="{00000000-0008-0000-7600-00001F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472992" name="Button 32" hidden="1">
              <a:extLst>
                <a:ext uri="{63B3BB69-23CF-44E3-9099-C40C66FF867C}">
                  <a14:compatExt spid="_x0000_s2472992"/>
                </a:ext>
                <a:ext uri="{FF2B5EF4-FFF2-40B4-BE49-F238E27FC236}">
                  <a16:creationId xmlns:a16="http://schemas.microsoft.com/office/drawing/2014/main" id="{00000000-0008-0000-7600-000020BC2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472993" name="Check Box 33" hidden="1">
              <a:extLst>
                <a:ext uri="{63B3BB69-23CF-44E3-9099-C40C66FF867C}">
                  <a14:compatExt spid="_x0000_s2472993"/>
                </a:ext>
                <a:ext uri="{FF2B5EF4-FFF2-40B4-BE49-F238E27FC236}">
                  <a16:creationId xmlns:a16="http://schemas.microsoft.com/office/drawing/2014/main" id="{00000000-0008-0000-7600-000021BC2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8.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50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endParaRPr lang="en-AU" sz="1100" b="0" i="0" u="none" strike="noStrike" baseline="0">
            <a:solidFill>
              <a:schemeClr val="dk1"/>
            </a:solidFill>
            <a:effectLst/>
            <a:latin typeface="+mn-lt"/>
            <a:ea typeface="+mn-ea"/>
            <a:cs typeface="+mn-cs"/>
          </a:endParaRPr>
        </a:p>
        <a:p>
          <a:r>
            <a:rPr lang="en-AU" sz="1100" b="0" i="0" u="none" strike="noStrike" baseline="0">
              <a:solidFill>
                <a:schemeClr val="dk1"/>
              </a:solidFill>
              <a:effectLst/>
              <a:latin typeface="+mn-lt"/>
              <a:ea typeface="+mn-ea"/>
              <a:cs typeface="+mn-cs"/>
            </a:rPr>
            <a:t>PLANNING SUBMITTED 01/02/2024</a:t>
          </a:r>
          <a:endParaRPr lang="en-AU" sz="800" baseline="0"/>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50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82145" name="Check Box 1" hidden="1">
              <a:extLst>
                <a:ext uri="{63B3BB69-23CF-44E3-9099-C40C66FF867C}">
                  <a14:compatExt spid="_x0000_s2182145"/>
                </a:ext>
                <a:ext uri="{FF2B5EF4-FFF2-40B4-BE49-F238E27FC236}">
                  <a16:creationId xmlns:a16="http://schemas.microsoft.com/office/drawing/2014/main" id="{00000000-0008-0000-7700-000001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82146" name="Check Box 2" hidden="1">
              <a:extLst>
                <a:ext uri="{63B3BB69-23CF-44E3-9099-C40C66FF867C}">
                  <a14:compatExt spid="_x0000_s2182146"/>
                </a:ext>
                <a:ext uri="{FF2B5EF4-FFF2-40B4-BE49-F238E27FC236}">
                  <a16:creationId xmlns:a16="http://schemas.microsoft.com/office/drawing/2014/main" id="{00000000-0008-0000-7700-000002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82147" name="Check Box 3" hidden="1">
              <a:extLst>
                <a:ext uri="{63B3BB69-23CF-44E3-9099-C40C66FF867C}">
                  <a14:compatExt spid="_x0000_s2182147"/>
                </a:ext>
                <a:ext uri="{FF2B5EF4-FFF2-40B4-BE49-F238E27FC236}">
                  <a16:creationId xmlns:a16="http://schemas.microsoft.com/office/drawing/2014/main" id="{00000000-0008-0000-7700-000003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82148" name="Check Box 4" hidden="1">
              <a:extLst>
                <a:ext uri="{63B3BB69-23CF-44E3-9099-C40C66FF867C}">
                  <a14:compatExt spid="_x0000_s2182148"/>
                </a:ext>
                <a:ext uri="{FF2B5EF4-FFF2-40B4-BE49-F238E27FC236}">
                  <a16:creationId xmlns:a16="http://schemas.microsoft.com/office/drawing/2014/main" id="{00000000-0008-0000-7700-000004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82149" name="Check Box 5" hidden="1">
              <a:extLst>
                <a:ext uri="{63B3BB69-23CF-44E3-9099-C40C66FF867C}">
                  <a14:compatExt spid="_x0000_s2182149"/>
                </a:ext>
                <a:ext uri="{FF2B5EF4-FFF2-40B4-BE49-F238E27FC236}">
                  <a16:creationId xmlns:a16="http://schemas.microsoft.com/office/drawing/2014/main" id="{00000000-0008-0000-7700-000005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82150" name="Check Box 6" hidden="1">
              <a:extLst>
                <a:ext uri="{63B3BB69-23CF-44E3-9099-C40C66FF867C}">
                  <a14:compatExt spid="_x0000_s2182150"/>
                </a:ext>
                <a:ext uri="{FF2B5EF4-FFF2-40B4-BE49-F238E27FC236}">
                  <a16:creationId xmlns:a16="http://schemas.microsoft.com/office/drawing/2014/main" id="{00000000-0008-0000-7700-000006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82151" name="Check Box 7" hidden="1">
              <a:extLst>
                <a:ext uri="{63B3BB69-23CF-44E3-9099-C40C66FF867C}">
                  <a14:compatExt spid="_x0000_s2182151"/>
                </a:ext>
                <a:ext uri="{FF2B5EF4-FFF2-40B4-BE49-F238E27FC236}">
                  <a16:creationId xmlns:a16="http://schemas.microsoft.com/office/drawing/2014/main" id="{00000000-0008-0000-7700-000007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82152" name="Check Box 8" hidden="1">
              <a:extLst>
                <a:ext uri="{63B3BB69-23CF-44E3-9099-C40C66FF867C}">
                  <a14:compatExt spid="_x0000_s2182152"/>
                </a:ext>
                <a:ext uri="{FF2B5EF4-FFF2-40B4-BE49-F238E27FC236}">
                  <a16:creationId xmlns:a16="http://schemas.microsoft.com/office/drawing/2014/main" id="{00000000-0008-0000-7700-000008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82153" name="Check Box 9" hidden="1">
              <a:extLst>
                <a:ext uri="{63B3BB69-23CF-44E3-9099-C40C66FF867C}">
                  <a14:compatExt spid="_x0000_s2182153"/>
                </a:ext>
                <a:ext uri="{FF2B5EF4-FFF2-40B4-BE49-F238E27FC236}">
                  <a16:creationId xmlns:a16="http://schemas.microsoft.com/office/drawing/2014/main" id="{00000000-0008-0000-7700-000009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82154" name="Check Box 10" hidden="1">
              <a:extLst>
                <a:ext uri="{63B3BB69-23CF-44E3-9099-C40C66FF867C}">
                  <a14:compatExt spid="_x0000_s2182154"/>
                </a:ext>
                <a:ext uri="{FF2B5EF4-FFF2-40B4-BE49-F238E27FC236}">
                  <a16:creationId xmlns:a16="http://schemas.microsoft.com/office/drawing/2014/main" id="{00000000-0008-0000-7700-00000A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82155" name="Check Box 11" hidden="1">
              <a:extLst>
                <a:ext uri="{63B3BB69-23CF-44E3-9099-C40C66FF867C}">
                  <a14:compatExt spid="_x0000_s2182155"/>
                </a:ext>
                <a:ext uri="{FF2B5EF4-FFF2-40B4-BE49-F238E27FC236}">
                  <a16:creationId xmlns:a16="http://schemas.microsoft.com/office/drawing/2014/main" id="{00000000-0008-0000-7700-00000B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82156" name="Check Box 12" hidden="1">
              <a:extLst>
                <a:ext uri="{63B3BB69-23CF-44E3-9099-C40C66FF867C}">
                  <a14:compatExt spid="_x0000_s2182156"/>
                </a:ext>
                <a:ext uri="{FF2B5EF4-FFF2-40B4-BE49-F238E27FC236}">
                  <a16:creationId xmlns:a16="http://schemas.microsoft.com/office/drawing/2014/main" id="{00000000-0008-0000-7700-00000C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2182157" name="Check Box 13" hidden="1">
              <a:extLst>
                <a:ext uri="{63B3BB69-23CF-44E3-9099-C40C66FF867C}">
                  <a14:compatExt spid="_x0000_s2182157"/>
                </a:ext>
                <a:ext uri="{FF2B5EF4-FFF2-40B4-BE49-F238E27FC236}">
                  <a16:creationId xmlns:a16="http://schemas.microsoft.com/office/drawing/2014/main" id="{00000000-0008-0000-7700-00000D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182158" name="Check Box 14" hidden="1">
              <a:extLst>
                <a:ext uri="{63B3BB69-23CF-44E3-9099-C40C66FF867C}">
                  <a14:compatExt spid="_x0000_s2182158"/>
                </a:ext>
                <a:ext uri="{FF2B5EF4-FFF2-40B4-BE49-F238E27FC236}">
                  <a16:creationId xmlns:a16="http://schemas.microsoft.com/office/drawing/2014/main" id="{00000000-0008-0000-7700-00000E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182159" name="Check Box 15" hidden="1">
              <a:extLst>
                <a:ext uri="{63B3BB69-23CF-44E3-9099-C40C66FF867C}">
                  <a14:compatExt spid="_x0000_s2182159"/>
                </a:ext>
                <a:ext uri="{FF2B5EF4-FFF2-40B4-BE49-F238E27FC236}">
                  <a16:creationId xmlns:a16="http://schemas.microsoft.com/office/drawing/2014/main" id="{00000000-0008-0000-7700-00000F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182160" name="Check Box 16" hidden="1">
              <a:extLst>
                <a:ext uri="{63B3BB69-23CF-44E3-9099-C40C66FF867C}">
                  <a14:compatExt spid="_x0000_s2182160"/>
                </a:ext>
                <a:ext uri="{FF2B5EF4-FFF2-40B4-BE49-F238E27FC236}">
                  <a16:creationId xmlns:a16="http://schemas.microsoft.com/office/drawing/2014/main" id="{00000000-0008-0000-7700-000010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82161" name="Check Box 17" hidden="1">
              <a:extLst>
                <a:ext uri="{63B3BB69-23CF-44E3-9099-C40C66FF867C}">
                  <a14:compatExt spid="_x0000_s2182161"/>
                </a:ext>
                <a:ext uri="{FF2B5EF4-FFF2-40B4-BE49-F238E27FC236}">
                  <a16:creationId xmlns:a16="http://schemas.microsoft.com/office/drawing/2014/main" id="{00000000-0008-0000-7700-000011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82162" name="Check Box 18" hidden="1">
              <a:extLst>
                <a:ext uri="{63B3BB69-23CF-44E3-9099-C40C66FF867C}">
                  <a14:compatExt spid="_x0000_s2182162"/>
                </a:ext>
                <a:ext uri="{FF2B5EF4-FFF2-40B4-BE49-F238E27FC236}">
                  <a16:creationId xmlns:a16="http://schemas.microsoft.com/office/drawing/2014/main" id="{00000000-0008-0000-7700-000012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82163" name="Check Box 19" hidden="1">
              <a:extLst>
                <a:ext uri="{63B3BB69-23CF-44E3-9099-C40C66FF867C}">
                  <a14:compatExt spid="_x0000_s2182163"/>
                </a:ext>
                <a:ext uri="{FF2B5EF4-FFF2-40B4-BE49-F238E27FC236}">
                  <a16:creationId xmlns:a16="http://schemas.microsoft.com/office/drawing/2014/main" id="{00000000-0008-0000-7700-000013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82164" name="Check Box 20" hidden="1">
              <a:extLst>
                <a:ext uri="{63B3BB69-23CF-44E3-9099-C40C66FF867C}">
                  <a14:compatExt spid="_x0000_s2182164"/>
                </a:ext>
                <a:ext uri="{FF2B5EF4-FFF2-40B4-BE49-F238E27FC236}">
                  <a16:creationId xmlns:a16="http://schemas.microsoft.com/office/drawing/2014/main" id="{00000000-0008-0000-7700-000014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82165" name="Check Box 21" hidden="1">
              <a:extLst>
                <a:ext uri="{63B3BB69-23CF-44E3-9099-C40C66FF867C}">
                  <a14:compatExt spid="_x0000_s2182165"/>
                </a:ext>
                <a:ext uri="{FF2B5EF4-FFF2-40B4-BE49-F238E27FC236}">
                  <a16:creationId xmlns:a16="http://schemas.microsoft.com/office/drawing/2014/main" id="{00000000-0008-0000-7700-000015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82166" name="Check Box 22" hidden="1">
              <a:extLst>
                <a:ext uri="{63B3BB69-23CF-44E3-9099-C40C66FF867C}">
                  <a14:compatExt spid="_x0000_s2182166"/>
                </a:ext>
                <a:ext uri="{FF2B5EF4-FFF2-40B4-BE49-F238E27FC236}">
                  <a16:creationId xmlns:a16="http://schemas.microsoft.com/office/drawing/2014/main" id="{00000000-0008-0000-7700-000016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82167" name="Check Box 23" hidden="1">
              <a:extLst>
                <a:ext uri="{63B3BB69-23CF-44E3-9099-C40C66FF867C}">
                  <a14:compatExt spid="_x0000_s2182167"/>
                </a:ext>
                <a:ext uri="{FF2B5EF4-FFF2-40B4-BE49-F238E27FC236}">
                  <a16:creationId xmlns:a16="http://schemas.microsoft.com/office/drawing/2014/main" id="{00000000-0008-0000-7700-000017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2182168" name="Button 24" hidden="1">
              <a:extLst>
                <a:ext uri="{63B3BB69-23CF-44E3-9099-C40C66FF867C}">
                  <a14:compatExt spid="_x0000_s2182168"/>
                </a:ext>
                <a:ext uri="{FF2B5EF4-FFF2-40B4-BE49-F238E27FC236}">
                  <a16:creationId xmlns:a16="http://schemas.microsoft.com/office/drawing/2014/main" id="{00000000-0008-0000-7700-0000184C2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82169" name="Button 25" hidden="1">
              <a:extLst>
                <a:ext uri="{63B3BB69-23CF-44E3-9099-C40C66FF867C}">
                  <a14:compatExt spid="_x0000_s2182169"/>
                </a:ext>
                <a:ext uri="{FF2B5EF4-FFF2-40B4-BE49-F238E27FC236}">
                  <a16:creationId xmlns:a16="http://schemas.microsoft.com/office/drawing/2014/main" id="{00000000-0008-0000-7700-0000194C2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82170" name="Check Box 26" hidden="1">
              <a:extLst>
                <a:ext uri="{63B3BB69-23CF-44E3-9099-C40C66FF867C}">
                  <a14:compatExt spid="_x0000_s2182170"/>
                </a:ext>
                <a:ext uri="{FF2B5EF4-FFF2-40B4-BE49-F238E27FC236}">
                  <a16:creationId xmlns:a16="http://schemas.microsoft.com/office/drawing/2014/main" id="{00000000-0008-0000-7700-00001A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82171" name="Button 27" hidden="1">
              <a:extLst>
                <a:ext uri="{63B3BB69-23CF-44E3-9099-C40C66FF867C}">
                  <a14:compatExt spid="_x0000_s2182171"/>
                </a:ext>
                <a:ext uri="{FF2B5EF4-FFF2-40B4-BE49-F238E27FC236}">
                  <a16:creationId xmlns:a16="http://schemas.microsoft.com/office/drawing/2014/main" id="{00000000-0008-0000-7700-00001B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82172" name="Button 28" hidden="1">
              <a:extLst>
                <a:ext uri="{63B3BB69-23CF-44E3-9099-C40C66FF867C}">
                  <a14:compatExt spid="_x0000_s2182172"/>
                </a:ext>
                <a:ext uri="{FF2B5EF4-FFF2-40B4-BE49-F238E27FC236}">
                  <a16:creationId xmlns:a16="http://schemas.microsoft.com/office/drawing/2014/main" id="{00000000-0008-0000-7700-00001C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82173" name="Button 29" hidden="1">
              <a:extLst>
                <a:ext uri="{63B3BB69-23CF-44E3-9099-C40C66FF867C}">
                  <a14:compatExt spid="_x0000_s2182173"/>
                </a:ext>
                <a:ext uri="{FF2B5EF4-FFF2-40B4-BE49-F238E27FC236}">
                  <a16:creationId xmlns:a16="http://schemas.microsoft.com/office/drawing/2014/main" id="{00000000-0008-0000-7700-00001D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82174" name="Button 30" hidden="1">
              <a:extLst>
                <a:ext uri="{63B3BB69-23CF-44E3-9099-C40C66FF867C}">
                  <a14:compatExt spid="_x0000_s2182174"/>
                </a:ext>
                <a:ext uri="{FF2B5EF4-FFF2-40B4-BE49-F238E27FC236}">
                  <a16:creationId xmlns:a16="http://schemas.microsoft.com/office/drawing/2014/main" id="{00000000-0008-0000-7700-00001E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82175" name="Button 31" hidden="1">
              <a:extLst>
                <a:ext uri="{63B3BB69-23CF-44E3-9099-C40C66FF867C}">
                  <a14:compatExt spid="_x0000_s2182175"/>
                </a:ext>
                <a:ext uri="{FF2B5EF4-FFF2-40B4-BE49-F238E27FC236}">
                  <a16:creationId xmlns:a16="http://schemas.microsoft.com/office/drawing/2014/main" id="{00000000-0008-0000-7700-00001F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82176" name="Button 32" hidden="1">
              <a:extLst>
                <a:ext uri="{63B3BB69-23CF-44E3-9099-C40C66FF867C}">
                  <a14:compatExt spid="_x0000_s2182176"/>
                </a:ext>
                <a:ext uri="{FF2B5EF4-FFF2-40B4-BE49-F238E27FC236}">
                  <a16:creationId xmlns:a16="http://schemas.microsoft.com/office/drawing/2014/main" id="{00000000-0008-0000-7700-0000204C2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82177" name="Check Box 33" hidden="1">
              <a:extLst>
                <a:ext uri="{63B3BB69-23CF-44E3-9099-C40C66FF867C}">
                  <a14:compatExt spid="_x0000_s2182177"/>
                </a:ext>
                <a:ext uri="{FF2B5EF4-FFF2-40B4-BE49-F238E27FC236}">
                  <a16:creationId xmlns:a16="http://schemas.microsoft.com/office/drawing/2014/main" id="{00000000-0008-0000-7700-0000214C2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19.xml><?xml version="1.0" encoding="utf-8"?>
<xdr:wsDr xmlns:xdr="http://schemas.openxmlformats.org/drawingml/2006/spreadsheetDrawing" xmlns:a="http://schemas.openxmlformats.org/drawingml/2006/main">
  <xdr:twoCellAnchor>
    <xdr:from>
      <xdr:col>0</xdr:col>
      <xdr:colOff>28574</xdr:colOff>
      <xdr:row>10</xdr:row>
      <xdr:rowOff>57150</xdr:rowOff>
    </xdr:from>
    <xdr:to>
      <xdr:col>8</xdr:col>
      <xdr:colOff>866775</xdr:colOff>
      <xdr:row>18</xdr:row>
      <xdr:rowOff>133350</xdr:rowOff>
    </xdr:to>
    <xdr:sp macro="" textlink="">
      <xdr:nvSpPr>
        <xdr:cNvPr id="2" name="TextBox 1">
          <a:extLst>
            <a:ext uri="{FF2B5EF4-FFF2-40B4-BE49-F238E27FC236}">
              <a16:creationId xmlns:a16="http://schemas.microsoft.com/office/drawing/2014/main" id="{00000000-0008-0000-5100-000002000000}"/>
            </a:ext>
          </a:extLst>
        </xdr:cNvPr>
        <xdr:cNvSpPr txBox="1"/>
      </xdr:nvSpPr>
      <xdr:spPr>
        <a:xfrm>
          <a:off x="28574" y="20002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20/02/2024 Planning submitted (application was late due to issues with hume portal)</a:t>
          </a:r>
        </a:p>
        <a:p>
          <a:endParaRPr lang="en-AU" sz="1100"/>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51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2112513" name="Check Box 1" hidden="1">
              <a:extLst>
                <a:ext uri="{63B3BB69-23CF-44E3-9099-C40C66FF867C}">
                  <a14:compatExt spid="_x0000_s2112513"/>
                </a:ext>
                <a:ext uri="{FF2B5EF4-FFF2-40B4-BE49-F238E27FC236}">
                  <a16:creationId xmlns:a16="http://schemas.microsoft.com/office/drawing/2014/main" id="{00000000-0008-0000-7800-000001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112514" name="Check Box 2" hidden="1">
              <a:extLst>
                <a:ext uri="{63B3BB69-23CF-44E3-9099-C40C66FF867C}">
                  <a14:compatExt spid="_x0000_s2112514"/>
                </a:ext>
                <a:ext uri="{FF2B5EF4-FFF2-40B4-BE49-F238E27FC236}">
                  <a16:creationId xmlns:a16="http://schemas.microsoft.com/office/drawing/2014/main" id="{00000000-0008-0000-7800-000002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112515" name="Check Box 3" hidden="1">
              <a:extLst>
                <a:ext uri="{63B3BB69-23CF-44E3-9099-C40C66FF867C}">
                  <a14:compatExt spid="_x0000_s2112515"/>
                </a:ext>
                <a:ext uri="{FF2B5EF4-FFF2-40B4-BE49-F238E27FC236}">
                  <a16:creationId xmlns:a16="http://schemas.microsoft.com/office/drawing/2014/main" id="{00000000-0008-0000-7800-000003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112516" name="Check Box 4" hidden="1">
              <a:extLst>
                <a:ext uri="{63B3BB69-23CF-44E3-9099-C40C66FF867C}">
                  <a14:compatExt spid="_x0000_s2112516"/>
                </a:ext>
                <a:ext uri="{FF2B5EF4-FFF2-40B4-BE49-F238E27FC236}">
                  <a16:creationId xmlns:a16="http://schemas.microsoft.com/office/drawing/2014/main" id="{00000000-0008-0000-7800-000004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2112517" name="Check Box 5" hidden="1">
              <a:extLst>
                <a:ext uri="{63B3BB69-23CF-44E3-9099-C40C66FF867C}">
                  <a14:compatExt spid="_x0000_s2112517"/>
                </a:ext>
                <a:ext uri="{FF2B5EF4-FFF2-40B4-BE49-F238E27FC236}">
                  <a16:creationId xmlns:a16="http://schemas.microsoft.com/office/drawing/2014/main" id="{00000000-0008-0000-7800-000005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112518" name="Check Box 6" hidden="1">
              <a:extLst>
                <a:ext uri="{63B3BB69-23CF-44E3-9099-C40C66FF867C}">
                  <a14:compatExt spid="_x0000_s2112518"/>
                </a:ext>
                <a:ext uri="{FF2B5EF4-FFF2-40B4-BE49-F238E27FC236}">
                  <a16:creationId xmlns:a16="http://schemas.microsoft.com/office/drawing/2014/main" id="{00000000-0008-0000-7800-000006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112519" name="Check Box 7" hidden="1">
              <a:extLst>
                <a:ext uri="{63B3BB69-23CF-44E3-9099-C40C66FF867C}">
                  <a14:compatExt spid="_x0000_s2112519"/>
                </a:ext>
                <a:ext uri="{FF2B5EF4-FFF2-40B4-BE49-F238E27FC236}">
                  <a16:creationId xmlns:a16="http://schemas.microsoft.com/office/drawing/2014/main" id="{00000000-0008-0000-7800-000007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2112520" name="Check Box 8" hidden="1">
              <a:extLst>
                <a:ext uri="{63B3BB69-23CF-44E3-9099-C40C66FF867C}">
                  <a14:compatExt spid="_x0000_s2112520"/>
                </a:ext>
                <a:ext uri="{FF2B5EF4-FFF2-40B4-BE49-F238E27FC236}">
                  <a16:creationId xmlns:a16="http://schemas.microsoft.com/office/drawing/2014/main" id="{00000000-0008-0000-7800-000008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112521" name="Check Box 9" hidden="1">
              <a:extLst>
                <a:ext uri="{63B3BB69-23CF-44E3-9099-C40C66FF867C}">
                  <a14:compatExt spid="_x0000_s2112521"/>
                </a:ext>
                <a:ext uri="{FF2B5EF4-FFF2-40B4-BE49-F238E27FC236}">
                  <a16:creationId xmlns:a16="http://schemas.microsoft.com/office/drawing/2014/main" id="{00000000-0008-0000-7800-000009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112522" name="Check Box 10" hidden="1">
              <a:extLst>
                <a:ext uri="{63B3BB69-23CF-44E3-9099-C40C66FF867C}">
                  <a14:compatExt spid="_x0000_s2112522"/>
                </a:ext>
                <a:ext uri="{FF2B5EF4-FFF2-40B4-BE49-F238E27FC236}">
                  <a16:creationId xmlns:a16="http://schemas.microsoft.com/office/drawing/2014/main" id="{00000000-0008-0000-7800-00000A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112523" name="Check Box 11" hidden="1">
              <a:extLst>
                <a:ext uri="{63B3BB69-23CF-44E3-9099-C40C66FF867C}">
                  <a14:compatExt spid="_x0000_s2112523"/>
                </a:ext>
                <a:ext uri="{FF2B5EF4-FFF2-40B4-BE49-F238E27FC236}">
                  <a16:creationId xmlns:a16="http://schemas.microsoft.com/office/drawing/2014/main" id="{00000000-0008-0000-7800-00000B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2112524" name="Check Box 12" hidden="1">
              <a:extLst>
                <a:ext uri="{63B3BB69-23CF-44E3-9099-C40C66FF867C}">
                  <a14:compatExt spid="_x0000_s2112524"/>
                </a:ext>
                <a:ext uri="{FF2B5EF4-FFF2-40B4-BE49-F238E27FC236}">
                  <a16:creationId xmlns:a16="http://schemas.microsoft.com/office/drawing/2014/main" id="{00000000-0008-0000-7800-00000C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2112525" name="Check Box 13" hidden="1">
              <a:extLst>
                <a:ext uri="{63B3BB69-23CF-44E3-9099-C40C66FF867C}">
                  <a14:compatExt spid="_x0000_s2112525"/>
                </a:ext>
                <a:ext uri="{FF2B5EF4-FFF2-40B4-BE49-F238E27FC236}">
                  <a16:creationId xmlns:a16="http://schemas.microsoft.com/office/drawing/2014/main" id="{00000000-0008-0000-7800-00000D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112526" name="Check Box 14" hidden="1">
              <a:extLst>
                <a:ext uri="{63B3BB69-23CF-44E3-9099-C40C66FF867C}">
                  <a14:compatExt spid="_x0000_s2112526"/>
                </a:ext>
                <a:ext uri="{FF2B5EF4-FFF2-40B4-BE49-F238E27FC236}">
                  <a16:creationId xmlns:a16="http://schemas.microsoft.com/office/drawing/2014/main" id="{00000000-0008-0000-7800-00000E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112527" name="Check Box 15" hidden="1">
              <a:extLst>
                <a:ext uri="{63B3BB69-23CF-44E3-9099-C40C66FF867C}">
                  <a14:compatExt spid="_x0000_s2112527"/>
                </a:ext>
                <a:ext uri="{FF2B5EF4-FFF2-40B4-BE49-F238E27FC236}">
                  <a16:creationId xmlns:a16="http://schemas.microsoft.com/office/drawing/2014/main" id="{00000000-0008-0000-7800-00000F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112528" name="Check Box 16" hidden="1">
              <a:extLst>
                <a:ext uri="{63B3BB69-23CF-44E3-9099-C40C66FF867C}">
                  <a14:compatExt spid="_x0000_s2112528"/>
                </a:ext>
                <a:ext uri="{FF2B5EF4-FFF2-40B4-BE49-F238E27FC236}">
                  <a16:creationId xmlns:a16="http://schemas.microsoft.com/office/drawing/2014/main" id="{00000000-0008-0000-7800-000010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2112529" name="Check Box 17" hidden="1">
              <a:extLst>
                <a:ext uri="{63B3BB69-23CF-44E3-9099-C40C66FF867C}">
                  <a14:compatExt spid="_x0000_s2112529"/>
                </a:ext>
                <a:ext uri="{FF2B5EF4-FFF2-40B4-BE49-F238E27FC236}">
                  <a16:creationId xmlns:a16="http://schemas.microsoft.com/office/drawing/2014/main" id="{00000000-0008-0000-7800-000011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2112530" name="Check Box 18" hidden="1">
              <a:extLst>
                <a:ext uri="{63B3BB69-23CF-44E3-9099-C40C66FF867C}">
                  <a14:compatExt spid="_x0000_s2112530"/>
                </a:ext>
                <a:ext uri="{FF2B5EF4-FFF2-40B4-BE49-F238E27FC236}">
                  <a16:creationId xmlns:a16="http://schemas.microsoft.com/office/drawing/2014/main" id="{00000000-0008-0000-7800-000012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112531" name="Check Box 19" hidden="1">
              <a:extLst>
                <a:ext uri="{63B3BB69-23CF-44E3-9099-C40C66FF867C}">
                  <a14:compatExt spid="_x0000_s2112531"/>
                </a:ext>
                <a:ext uri="{FF2B5EF4-FFF2-40B4-BE49-F238E27FC236}">
                  <a16:creationId xmlns:a16="http://schemas.microsoft.com/office/drawing/2014/main" id="{00000000-0008-0000-7800-000013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112532" name="Check Box 20" hidden="1">
              <a:extLst>
                <a:ext uri="{63B3BB69-23CF-44E3-9099-C40C66FF867C}">
                  <a14:compatExt spid="_x0000_s2112532"/>
                </a:ext>
                <a:ext uri="{FF2B5EF4-FFF2-40B4-BE49-F238E27FC236}">
                  <a16:creationId xmlns:a16="http://schemas.microsoft.com/office/drawing/2014/main" id="{00000000-0008-0000-7800-000014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112533" name="Check Box 21" hidden="1">
              <a:extLst>
                <a:ext uri="{63B3BB69-23CF-44E3-9099-C40C66FF867C}">
                  <a14:compatExt spid="_x0000_s2112533"/>
                </a:ext>
                <a:ext uri="{FF2B5EF4-FFF2-40B4-BE49-F238E27FC236}">
                  <a16:creationId xmlns:a16="http://schemas.microsoft.com/office/drawing/2014/main" id="{00000000-0008-0000-7800-000015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112534" name="Check Box 22" hidden="1">
              <a:extLst>
                <a:ext uri="{63B3BB69-23CF-44E3-9099-C40C66FF867C}">
                  <a14:compatExt spid="_x0000_s2112534"/>
                </a:ext>
                <a:ext uri="{FF2B5EF4-FFF2-40B4-BE49-F238E27FC236}">
                  <a16:creationId xmlns:a16="http://schemas.microsoft.com/office/drawing/2014/main" id="{00000000-0008-0000-7800-000016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112535" name="Check Box 23" hidden="1">
              <a:extLst>
                <a:ext uri="{63B3BB69-23CF-44E3-9099-C40C66FF867C}">
                  <a14:compatExt spid="_x0000_s2112535"/>
                </a:ext>
                <a:ext uri="{FF2B5EF4-FFF2-40B4-BE49-F238E27FC236}">
                  <a16:creationId xmlns:a16="http://schemas.microsoft.com/office/drawing/2014/main" id="{00000000-0008-0000-7800-000017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2112536" name="Button 24" hidden="1">
              <a:extLst>
                <a:ext uri="{63B3BB69-23CF-44E3-9099-C40C66FF867C}">
                  <a14:compatExt spid="_x0000_s2112536"/>
                </a:ext>
                <a:ext uri="{FF2B5EF4-FFF2-40B4-BE49-F238E27FC236}">
                  <a16:creationId xmlns:a16="http://schemas.microsoft.com/office/drawing/2014/main" id="{00000000-0008-0000-7800-0000183C2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2112537" name="Button 25" hidden="1">
              <a:extLst>
                <a:ext uri="{63B3BB69-23CF-44E3-9099-C40C66FF867C}">
                  <a14:compatExt spid="_x0000_s2112537"/>
                </a:ext>
                <a:ext uri="{FF2B5EF4-FFF2-40B4-BE49-F238E27FC236}">
                  <a16:creationId xmlns:a16="http://schemas.microsoft.com/office/drawing/2014/main" id="{00000000-0008-0000-7800-0000193C2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2112538" name="Check Box 26" hidden="1">
              <a:extLst>
                <a:ext uri="{63B3BB69-23CF-44E3-9099-C40C66FF867C}">
                  <a14:compatExt spid="_x0000_s2112538"/>
                </a:ext>
                <a:ext uri="{FF2B5EF4-FFF2-40B4-BE49-F238E27FC236}">
                  <a16:creationId xmlns:a16="http://schemas.microsoft.com/office/drawing/2014/main" id="{00000000-0008-0000-7800-00001A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2112539" name="Button 27" hidden="1">
              <a:extLst>
                <a:ext uri="{63B3BB69-23CF-44E3-9099-C40C66FF867C}">
                  <a14:compatExt spid="_x0000_s2112539"/>
                </a:ext>
                <a:ext uri="{FF2B5EF4-FFF2-40B4-BE49-F238E27FC236}">
                  <a16:creationId xmlns:a16="http://schemas.microsoft.com/office/drawing/2014/main" id="{00000000-0008-0000-7800-00001B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2112540" name="Button 28" hidden="1">
              <a:extLst>
                <a:ext uri="{63B3BB69-23CF-44E3-9099-C40C66FF867C}">
                  <a14:compatExt spid="_x0000_s2112540"/>
                </a:ext>
                <a:ext uri="{FF2B5EF4-FFF2-40B4-BE49-F238E27FC236}">
                  <a16:creationId xmlns:a16="http://schemas.microsoft.com/office/drawing/2014/main" id="{00000000-0008-0000-7800-00001C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2112541" name="Button 29" hidden="1">
              <a:extLst>
                <a:ext uri="{63B3BB69-23CF-44E3-9099-C40C66FF867C}">
                  <a14:compatExt spid="_x0000_s2112541"/>
                </a:ext>
                <a:ext uri="{FF2B5EF4-FFF2-40B4-BE49-F238E27FC236}">
                  <a16:creationId xmlns:a16="http://schemas.microsoft.com/office/drawing/2014/main" id="{00000000-0008-0000-7800-00001D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2112542" name="Button 30" hidden="1">
              <a:extLst>
                <a:ext uri="{63B3BB69-23CF-44E3-9099-C40C66FF867C}">
                  <a14:compatExt spid="_x0000_s2112542"/>
                </a:ext>
                <a:ext uri="{FF2B5EF4-FFF2-40B4-BE49-F238E27FC236}">
                  <a16:creationId xmlns:a16="http://schemas.microsoft.com/office/drawing/2014/main" id="{00000000-0008-0000-7800-00001E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2112543" name="Button 31" hidden="1">
              <a:extLst>
                <a:ext uri="{63B3BB69-23CF-44E3-9099-C40C66FF867C}">
                  <a14:compatExt spid="_x0000_s2112543"/>
                </a:ext>
                <a:ext uri="{FF2B5EF4-FFF2-40B4-BE49-F238E27FC236}">
                  <a16:creationId xmlns:a16="http://schemas.microsoft.com/office/drawing/2014/main" id="{00000000-0008-0000-7800-00001F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112544" name="Button 32" hidden="1">
              <a:extLst>
                <a:ext uri="{63B3BB69-23CF-44E3-9099-C40C66FF867C}">
                  <a14:compatExt spid="_x0000_s2112544"/>
                </a:ext>
                <a:ext uri="{FF2B5EF4-FFF2-40B4-BE49-F238E27FC236}">
                  <a16:creationId xmlns:a16="http://schemas.microsoft.com/office/drawing/2014/main" id="{00000000-0008-0000-7800-0000203C2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2112545" name="Check Box 33" hidden="1">
              <a:extLst>
                <a:ext uri="{63B3BB69-23CF-44E3-9099-C40C66FF867C}">
                  <a14:compatExt spid="_x0000_s2112545"/>
                </a:ext>
                <a:ext uri="{FF2B5EF4-FFF2-40B4-BE49-F238E27FC236}">
                  <a16:creationId xmlns:a16="http://schemas.microsoft.com/office/drawing/2014/main" id="{00000000-0008-0000-7800-0000213C2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xdr:from>
      <xdr:col>9</xdr:col>
      <xdr:colOff>76199</xdr:colOff>
      <xdr:row>3</xdr:row>
      <xdr:rowOff>104774</xdr:rowOff>
    </xdr:from>
    <xdr:to>
      <xdr:col>16</xdr:col>
      <xdr:colOff>171450</xdr:colOff>
      <xdr:row>110</xdr:row>
      <xdr:rowOff>142875</xdr:rowOff>
    </xdr:to>
    <xdr:sp macro="" textlink="">
      <xdr:nvSpPr>
        <xdr:cNvPr id="4" name="TextBox 3">
          <a:extLst>
            <a:ext uri="{FF2B5EF4-FFF2-40B4-BE49-F238E27FC236}">
              <a16:creationId xmlns:a16="http://schemas.microsoft.com/office/drawing/2014/main" id="{D1EA462B-7532-44F6-A44D-B349C18A2761}"/>
            </a:ext>
          </a:extLst>
        </xdr:cNvPr>
        <xdr:cNvSpPr txBox="1"/>
      </xdr:nvSpPr>
      <xdr:spPr>
        <a:xfrm>
          <a:off x="5895974" y="704849"/>
          <a:ext cx="4362451" cy="20450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 </a:t>
          </a:r>
        </a:p>
        <a:p>
          <a:r>
            <a:rPr lang="en-AU" sz="1100" b="0" i="0" u="none" strike="noStrike" baseline="0">
              <a:solidFill>
                <a:schemeClr val="dk1"/>
              </a:solidFill>
              <a:latin typeface="+mn-lt"/>
              <a:ea typeface="+mn-ea"/>
              <a:cs typeface="+mn-cs"/>
            </a:rPr>
            <a:t>1. </a:t>
          </a:r>
          <a:r>
            <a:rPr lang="en-AU" sz="1100" b="1" i="0" u="none" strike="noStrike" baseline="0">
              <a:solidFill>
                <a:schemeClr val="dk1"/>
              </a:solidFill>
              <a:latin typeface="+mn-lt"/>
              <a:ea typeface="+mn-ea"/>
              <a:cs typeface="+mn-cs"/>
            </a:rPr>
            <a:t>Application Fee</a:t>
          </a:r>
          <a:r>
            <a:rPr lang="en-AU" sz="1100" b="0" i="0" u="none" strike="noStrike" baseline="0">
              <a:solidFill>
                <a:schemeClr val="dk1"/>
              </a:solidFill>
              <a:latin typeface="+mn-lt"/>
              <a:ea typeface="+mn-ea"/>
              <a:cs typeface="+mn-cs"/>
            </a:rPr>
            <a:t>: Note the initial application fee was charged for a Class 10a Storage Shed. However, the application is actually for a Golf Simulator Building, which is classified as a Class 9b (assembly building). The application fee for a Class 9 structure is $3450. To date, Council has received only $900. Please arrange for the payment of the remaining balance of $2550 to complete the application process.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2. </a:t>
          </a:r>
          <a:r>
            <a:rPr lang="en-AU" sz="1100" b="1" i="0" u="none" strike="noStrike" baseline="0">
              <a:solidFill>
                <a:schemeClr val="dk1"/>
              </a:solidFill>
              <a:latin typeface="+mn-lt"/>
              <a:ea typeface="+mn-ea"/>
              <a:cs typeface="+mn-cs"/>
            </a:rPr>
            <a:t>Planning Permit</a:t>
          </a:r>
          <a:r>
            <a:rPr lang="en-AU" sz="1100" b="0" i="0" u="none" strike="noStrike" baseline="0">
              <a:solidFill>
                <a:schemeClr val="dk1"/>
              </a:solidFill>
              <a:latin typeface="+mn-lt"/>
              <a:ea typeface="+mn-ea"/>
              <a:cs typeface="+mn-cs"/>
            </a:rPr>
            <a:t>: Note the submitted Town Planning Permit has approved a Storage Shed structure (Class 10a), but your building permit application is for a Golf Simulator Building, which falls under a Class 9b (assembly building). Please submit an amended Town Planning Permit allowing the change from a Storage Shed (Class 10a) Non habitable use to a Golf Simulator Building (Class 9b) habitable assembly building use.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3. </a:t>
          </a:r>
          <a:r>
            <a:rPr lang="en-AU" sz="1100" b="1" i="0" u="none" strike="noStrike" baseline="0">
              <a:solidFill>
                <a:schemeClr val="dk1"/>
              </a:solidFill>
              <a:latin typeface="+mn-lt"/>
              <a:ea typeface="+mn-ea"/>
              <a:cs typeface="+mn-cs"/>
            </a:rPr>
            <a:t>Property Information: </a:t>
          </a:r>
          <a:r>
            <a:rPr lang="en-AU" sz="1100" b="0" i="0" u="none" strike="noStrike" baseline="0">
              <a:solidFill>
                <a:schemeClr val="dk1"/>
              </a:solidFill>
              <a:latin typeface="+mn-lt"/>
              <a:ea typeface="+mn-ea"/>
              <a:cs typeface="+mn-cs"/>
            </a:rPr>
            <a:t>Property information report was not provided. Please submit Property information report obtainable through Council’s Building Department. Note that this report is different from the ‘Landata - Property Report’. Consent from the relevant authorities will be required if the site is located within a special area. E.g. septic tank systems area, flood area, overland drainage area, termite risk area, bushfire prone area, alpine area, etc.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4. </a:t>
          </a:r>
          <a:r>
            <a:rPr lang="en-AU" sz="1100" b="1" i="0" u="none" strike="noStrike" baseline="0">
              <a:solidFill>
                <a:schemeClr val="dk1"/>
              </a:solidFill>
              <a:latin typeface="+mn-lt"/>
              <a:ea typeface="+mn-ea"/>
              <a:cs typeface="+mn-cs"/>
            </a:rPr>
            <a:t>Architectural Plans</a:t>
          </a:r>
          <a:r>
            <a:rPr lang="en-AU" sz="1100" b="0" i="0" u="none" strike="noStrike" baseline="0">
              <a:solidFill>
                <a:schemeClr val="dk1"/>
              </a:solidFill>
              <a:latin typeface="+mn-lt"/>
              <a:ea typeface="+mn-ea"/>
              <a:cs typeface="+mn-cs"/>
            </a:rPr>
            <a:t>: The submitted architectural plans lack details and/or information to justify compliance with Building Regulations and BCA compliance requirements. Please submit full set of architectural plans justifying/clarifying the following: </a:t>
          </a:r>
        </a:p>
        <a:p>
          <a:r>
            <a:rPr lang="en-AU" sz="1100" b="0" i="0" u="none" strike="noStrike" baseline="0">
              <a:solidFill>
                <a:schemeClr val="dk1"/>
              </a:solidFill>
              <a:latin typeface="+mn-lt"/>
              <a:ea typeface="+mn-ea"/>
              <a:cs typeface="+mn-cs"/>
            </a:rPr>
            <a:t>• Clarify whether the building will be used as a storage shed or an assembly building. o If to be used as an assembly building, please confirm/justify/provide;  Type ‘C’ construction details as required by NCC 2022 Volume 1. </a:t>
          </a:r>
        </a:p>
        <a:p>
          <a:r>
            <a:rPr lang="en-AU" sz="1100" b="0" i="0" u="none" strike="noStrike" baseline="0">
              <a:solidFill>
                <a:schemeClr val="dk1"/>
              </a:solidFill>
              <a:latin typeface="+mn-lt"/>
              <a:ea typeface="+mn-ea"/>
              <a:cs typeface="+mn-cs"/>
            </a:rPr>
            <a:t> Please specify the number of patrons who will use the building and provide a table showing the number of sanitary facilities, ensuring they meet BCA requirements. If existing facilities are being used, please indicate their distance from the building as well.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a. Provide access &amp; egress details (Exits &amp; paths of travel, door hardware </a:t>
          </a:r>
        </a:p>
        <a:p>
          <a:r>
            <a:rPr lang="en-AU" sz="1100" b="0" i="0" u="none" strike="noStrike" baseline="0">
              <a:solidFill>
                <a:schemeClr val="dk1"/>
              </a:solidFill>
              <a:latin typeface="+mn-lt"/>
              <a:ea typeface="+mn-ea"/>
              <a:cs typeface="+mn-cs"/>
            </a:rPr>
            <a:t>compliance, etc) – refer to item 10 below. </a:t>
          </a:r>
        </a:p>
        <a:p>
          <a:r>
            <a:rPr lang="en-AU" sz="1100" b="0" i="0" u="none" strike="noStrike" baseline="0">
              <a:solidFill>
                <a:schemeClr val="dk1"/>
              </a:solidFill>
              <a:latin typeface="+mn-lt"/>
              <a:ea typeface="+mn-ea"/>
              <a:cs typeface="+mn-cs"/>
            </a:rPr>
            <a:t>b. Provide a detailed window and door schedule showing sizes and locations, etc. </a:t>
          </a:r>
        </a:p>
        <a:p>
          <a:r>
            <a:rPr lang="en-AU" sz="1100" b="0" i="0" u="none" strike="noStrike" baseline="0">
              <a:solidFill>
                <a:schemeClr val="dk1"/>
              </a:solidFill>
              <a:latin typeface="+mn-lt"/>
              <a:ea typeface="+mn-ea"/>
              <a:cs typeface="+mn-cs"/>
            </a:rPr>
            <a:t>c. Provide damp &amp; weatherproofing details </a:t>
          </a:r>
        </a:p>
        <a:p>
          <a:r>
            <a:rPr lang="en-AU" sz="1100" b="0" i="0" u="none" strike="noStrike" baseline="0">
              <a:solidFill>
                <a:schemeClr val="dk1"/>
              </a:solidFill>
              <a:latin typeface="+mn-lt"/>
              <a:ea typeface="+mn-ea"/>
              <a:cs typeface="+mn-cs"/>
            </a:rPr>
            <a:t>d. Sanitary &amp; Other Facilities for a Class 9b building – numbers of male and female toilets, etc and where are they are to be located. </a:t>
          </a:r>
        </a:p>
        <a:p>
          <a:r>
            <a:rPr lang="en-AU" sz="1100" b="0" i="0" u="none" strike="noStrike" baseline="0">
              <a:solidFill>
                <a:schemeClr val="dk1"/>
              </a:solidFill>
              <a:latin typeface="+mn-lt"/>
              <a:ea typeface="+mn-ea"/>
              <a:cs typeface="+mn-cs"/>
            </a:rPr>
            <a:t>e. Note any wet areas are to be waterproofed in accordance with BCA requirements. Please provide sufficient details justifying how compliance with current BCA and AS 3740 will be achieved. </a:t>
          </a:r>
        </a:p>
        <a:p>
          <a:r>
            <a:rPr lang="en-AU" sz="1100" b="0" i="0" u="none" strike="noStrike" baseline="0">
              <a:solidFill>
                <a:schemeClr val="dk1"/>
              </a:solidFill>
              <a:latin typeface="+mn-lt"/>
              <a:ea typeface="+mn-ea"/>
              <a:cs typeface="+mn-cs"/>
            </a:rPr>
            <a:t>f. Access for People with Disabilities – refer to item 10 below. </a:t>
          </a:r>
        </a:p>
        <a:p>
          <a:r>
            <a:rPr lang="en-AU" sz="1100" b="0" i="0" u="none" strike="noStrike" baseline="0">
              <a:solidFill>
                <a:schemeClr val="dk1"/>
              </a:solidFill>
              <a:latin typeface="+mn-lt"/>
              <a:ea typeface="+mn-ea"/>
              <a:cs typeface="+mn-cs"/>
            </a:rPr>
            <a:t>g. Justify light &amp; ventilation – refer to Item 12 below. </a:t>
          </a:r>
        </a:p>
        <a:p>
          <a:r>
            <a:rPr lang="en-AU" sz="1100" b="0" i="0" u="none" strike="noStrike" baseline="0">
              <a:solidFill>
                <a:schemeClr val="dk1"/>
              </a:solidFill>
              <a:latin typeface="+mn-lt"/>
              <a:ea typeface="+mn-ea"/>
              <a:cs typeface="+mn-cs"/>
            </a:rPr>
            <a:t>h. Glazing details were not included. All glazed assemblies must comply with AS 1288 &amp; AS 2047. Please submit a window schedule with all glazing details and notes clearly shown on the drawings. </a:t>
          </a: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5. </a:t>
          </a:r>
          <a:r>
            <a:rPr lang="en-AU" sz="1100" b="1" i="0" u="none" strike="noStrike" baseline="0">
              <a:solidFill>
                <a:schemeClr val="dk1"/>
              </a:solidFill>
              <a:latin typeface="+mn-lt"/>
              <a:ea typeface="+mn-ea"/>
              <a:cs typeface="+mn-cs"/>
            </a:rPr>
            <a:t>Structural Details</a:t>
          </a:r>
          <a:r>
            <a:rPr lang="en-AU" sz="1100" b="0" i="0" u="none" strike="noStrike" baseline="0">
              <a:solidFill>
                <a:schemeClr val="dk1"/>
              </a:solidFill>
              <a:latin typeface="+mn-lt"/>
              <a:ea typeface="+mn-ea"/>
              <a:cs typeface="+mn-cs"/>
            </a:rPr>
            <a:t>: A copy of engineer’s structural drawings, computation and Regulation 126 Certificate were not provided with the application. Please provide a copy of structural drawings together with engineer’s computations and Regulation 126 - Design Certification.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6. </a:t>
          </a:r>
          <a:r>
            <a:rPr lang="en-AU" sz="1100" b="1" i="0" u="none" strike="noStrike" baseline="0">
              <a:solidFill>
                <a:schemeClr val="dk1"/>
              </a:solidFill>
              <a:latin typeface="+mn-lt"/>
              <a:ea typeface="+mn-ea"/>
              <a:cs typeface="+mn-cs"/>
            </a:rPr>
            <a:t>Soil Report</a:t>
          </a:r>
          <a:r>
            <a:rPr lang="en-AU" sz="1100" b="0" i="0" u="none" strike="noStrike" baseline="0">
              <a:solidFill>
                <a:schemeClr val="dk1"/>
              </a:solidFill>
              <a:latin typeface="+mn-lt"/>
              <a:ea typeface="+mn-ea"/>
              <a:cs typeface="+mn-cs"/>
            </a:rPr>
            <a:t>: A copy of soil report was not provided with the application. Once obtained, please submit a copy of soil report.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7. </a:t>
          </a:r>
          <a:r>
            <a:rPr lang="en-AU" sz="1100" b="1" i="0" u="none" strike="noStrike" baseline="0">
              <a:solidFill>
                <a:schemeClr val="dk1"/>
              </a:solidFill>
              <a:latin typeface="+mn-lt"/>
              <a:ea typeface="+mn-ea"/>
              <a:cs typeface="+mn-cs"/>
            </a:rPr>
            <a:t>Energy Efficiency</a:t>
          </a:r>
          <a:r>
            <a:rPr lang="en-AU" sz="1100" b="0" i="0" u="none" strike="noStrike" baseline="0">
              <a:solidFill>
                <a:schemeClr val="dk1"/>
              </a:solidFill>
              <a:latin typeface="+mn-lt"/>
              <a:ea typeface="+mn-ea"/>
              <a:cs typeface="+mn-cs"/>
            </a:rPr>
            <a:t>: A copy of energy rating report was not provided with the application. Once obtained, please submit a copy of Section J Energy rating report together with endorsed drawings justifying how compliance will be achieved with relevant BCA energy efficiency requirements.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8. </a:t>
          </a:r>
          <a:r>
            <a:rPr lang="en-AU" sz="1100" b="1" i="0" u="none" strike="noStrike" baseline="0">
              <a:solidFill>
                <a:schemeClr val="dk1"/>
              </a:solidFill>
              <a:latin typeface="+mn-lt"/>
              <a:ea typeface="+mn-ea"/>
              <a:cs typeface="+mn-cs"/>
            </a:rPr>
            <a:t>Storm Water Design</a:t>
          </a:r>
          <a:r>
            <a:rPr lang="en-AU" sz="1100" b="0" i="0" u="none" strike="noStrike" baseline="0">
              <a:solidFill>
                <a:schemeClr val="dk1"/>
              </a:solidFill>
              <a:latin typeface="+mn-lt"/>
              <a:ea typeface="+mn-ea"/>
              <a:cs typeface="+mn-cs"/>
            </a:rPr>
            <a:t>: Stormwater design and drainage details were not included in the design documents. Stormwater drainage must be installed to comply with AS/NZS 3500.3. Please illustrate and submit stormwater design details issued by a suitably qualified civil engineer together with his/her computations and design certification confirming compliance with AS/NZS 3500.3.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9. </a:t>
          </a:r>
          <a:r>
            <a:rPr lang="en-AU" sz="1100" b="1" i="0" u="none" strike="noStrike" baseline="0">
              <a:solidFill>
                <a:schemeClr val="dk1"/>
              </a:solidFill>
              <a:latin typeface="+mn-lt"/>
              <a:ea typeface="+mn-ea"/>
              <a:cs typeface="+mn-cs"/>
            </a:rPr>
            <a:t>Fire Services</a:t>
          </a:r>
          <a:r>
            <a:rPr lang="en-AU" sz="1100" b="0" i="0" u="none" strike="noStrike" baseline="0">
              <a:solidFill>
                <a:schemeClr val="dk1"/>
              </a:solidFill>
              <a:latin typeface="+mn-lt"/>
              <a:ea typeface="+mn-ea"/>
              <a:cs typeface="+mn-cs"/>
            </a:rPr>
            <a:t>: your application did not include a copy of the Fire Services drawings, computations, and the Regulation 126 Certificate. Please provide existing Fire Hydrant layout demonstrating its capacity to cover the proposed new building. Note consent from the FRV will be required to allow any hydrant shortfalls.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10. </a:t>
          </a:r>
          <a:r>
            <a:rPr lang="en-AU" sz="1100" b="1" i="0" u="none" strike="noStrike" baseline="0">
              <a:solidFill>
                <a:schemeClr val="dk1"/>
              </a:solidFill>
              <a:latin typeface="+mn-lt"/>
              <a:ea typeface="+mn-ea"/>
              <a:cs typeface="+mn-cs"/>
            </a:rPr>
            <a:t>Access and Egress</a:t>
          </a:r>
          <a:r>
            <a:rPr lang="en-AU" sz="1100" b="0" i="0" u="none" strike="noStrike" baseline="0">
              <a:solidFill>
                <a:schemeClr val="dk1"/>
              </a:solidFill>
              <a:latin typeface="+mn-lt"/>
              <a:ea typeface="+mn-ea"/>
              <a:cs typeface="+mn-cs"/>
            </a:rPr>
            <a:t>: Please demonstrate compliance with the requirements for paths of travel, distance to exits, and details of exit doors. Specifically, show how exit doors will be modified to swing out in the direction of egress and be fitted with compliant hardware. Additionally, justify how disabled access compliance with Part D4 of BCA 2022 Volume 1 is being achieved. Note that disabled access must be provided to the main entrance of the building and within the rest of the building in accordance with AS 1428. Please illustrate and submit details of any ramps or steps, showing locations of kick rails, handrails, tactile ground surface indicators (TGIs), door latch clearances, landing sizes, and clearances. It is recommended that a suitably qualified Disabled Access Consultant be engaged to assess and provide the necessary justification and/or performance solutions. </a:t>
          </a: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11. </a:t>
          </a:r>
          <a:r>
            <a:rPr lang="en-AU" sz="1100" b="1" i="0" u="none" strike="noStrike" baseline="0">
              <a:solidFill>
                <a:schemeClr val="dk1"/>
              </a:solidFill>
              <a:latin typeface="+mn-lt"/>
              <a:ea typeface="+mn-ea"/>
              <a:cs typeface="+mn-cs"/>
            </a:rPr>
            <a:t>Fire Fighting Equipment</a:t>
          </a:r>
          <a:r>
            <a:rPr lang="en-AU" sz="1100" b="0" i="0" u="none" strike="noStrike" baseline="0">
              <a:solidFill>
                <a:schemeClr val="dk1"/>
              </a:solidFill>
              <a:latin typeface="+mn-lt"/>
              <a:ea typeface="+mn-ea"/>
              <a:cs typeface="+mn-cs"/>
            </a:rPr>
            <a:t>: The submitted drawings do not include details of any Portable Fire Extinguishers (PFE). PFEs must be selected, located, and distributed in accordance with Sections 1, 2, 3, and 4 of AS 2444. Please provide details of the firefighting equipment, including the types and locations of extinguishers, smoke alarms, emergency lights, exit signs, and warning systems. </a:t>
          </a: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r>
            <a:rPr lang="en-AU" sz="1100" b="0" i="0" u="none" strike="noStrike" baseline="0">
              <a:solidFill>
                <a:schemeClr val="dk1"/>
              </a:solidFill>
              <a:latin typeface="+mn-lt"/>
              <a:ea typeface="+mn-ea"/>
              <a:cs typeface="+mn-cs"/>
            </a:rPr>
            <a:t>12. </a:t>
          </a:r>
          <a:r>
            <a:rPr lang="en-AU" sz="1100" b="1" i="0" u="none" strike="noStrike" baseline="0">
              <a:solidFill>
                <a:schemeClr val="dk1"/>
              </a:solidFill>
              <a:latin typeface="+mn-lt"/>
              <a:ea typeface="+mn-ea"/>
              <a:cs typeface="+mn-cs"/>
            </a:rPr>
            <a:t>Light and Ventilation</a:t>
          </a:r>
          <a:r>
            <a:rPr lang="en-AU" sz="1100" b="0" i="0" u="none" strike="noStrike" baseline="0">
              <a:solidFill>
                <a:schemeClr val="dk1"/>
              </a:solidFill>
              <a:latin typeface="+mn-lt"/>
              <a:ea typeface="+mn-ea"/>
              <a:cs typeface="+mn-cs"/>
            </a:rPr>
            <a:t>: Natural light and ventilation calculations were not provided/shown on the drawings. Please provide details justifying how compliance is being achieved for both. </a:t>
          </a:r>
        </a:p>
        <a:p>
          <a:r>
            <a:rPr lang="en-AU" sz="1100" b="0" i="0" u="none" strike="noStrike" baseline="0">
              <a:solidFill>
                <a:schemeClr val="dk1"/>
              </a:solidFill>
              <a:latin typeface="+mn-lt"/>
              <a:ea typeface="+mn-ea"/>
              <a:cs typeface="+mn-cs"/>
            </a:rPr>
            <a:t>Note any proposed mechanical ventilation systems must comply with AS 1668.2 and AS/NZS 3666.1. Please submit mechanical ventilation drawings together with engineer’s computations and Regulation 126 Certification where mechanical ventilation is to be installed. </a:t>
          </a:r>
        </a:p>
        <a:p>
          <a:endParaRPr lang="en-AU" sz="1100" b="0" i="0" u="none" strike="noStrike" baseline="0">
            <a:solidFill>
              <a:schemeClr val="dk1"/>
            </a:solidFill>
            <a:latin typeface="+mn-lt"/>
            <a:ea typeface="+mn-ea"/>
            <a:cs typeface="+mn-cs"/>
          </a:endParaRPr>
        </a:p>
        <a:p>
          <a:endParaRPr lang="en-AU" sz="1100" b="0" i="0" u="none" strike="noStrike" baseline="0">
            <a:solidFill>
              <a:schemeClr val="dk1"/>
            </a:solidFill>
            <a:latin typeface="+mn-lt"/>
            <a:ea typeface="+mn-ea"/>
            <a:cs typeface="+mn-cs"/>
          </a:endParaRPr>
        </a:p>
        <a:p>
          <a:endParaRPr lang="en-AU" sz="1100"/>
        </a:p>
      </xdr:txBody>
    </xdr:sp>
    <xdr:clientData/>
  </xdr:twoCellAnchor>
</xdr:wsDr>
</file>

<file path=xl/drawings/drawing120.xml><?xml version="1.0" encoding="utf-8"?>
<xdr:wsDr xmlns:xdr="http://schemas.openxmlformats.org/drawingml/2006/spreadsheetDrawing" xmlns:a="http://schemas.openxmlformats.org/drawingml/2006/main">
  <xdr:twoCellAnchor>
    <xdr:from>
      <xdr:col>0</xdr:col>
      <xdr:colOff>28574</xdr:colOff>
      <xdr:row>8</xdr:row>
      <xdr:rowOff>190499</xdr:rowOff>
    </xdr:from>
    <xdr:to>
      <xdr:col>8</xdr:col>
      <xdr:colOff>866775</xdr:colOff>
      <xdr:row>19</xdr:row>
      <xdr:rowOff>180974</xdr:rowOff>
    </xdr:to>
    <xdr:sp macro="" textlink="">
      <xdr:nvSpPr>
        <xdr:cNvPr id="2" name="TextBox 1">
          <a:extLst>
            <a:ext uri="{FF2B5EF4-FFF2-40B4-BE49-F238E27FC236}">
              <a16:creationId xmlns:a16="http://schemas.microsoft.com/office/drawing/2014/main" id="{00000000-0008-0000-5200-000002000000}"/>
            </a:ext>
          </a:extLst>
        </xdr:cNvPr>
        <xdr:cNvSpPr txBox="1"/>
      </xdr:nvSpPr>
      <xdr:spPr>
        <a:xfrm>
          <a:off x="28574" y="1752599"/>
          <a:ext cx="5715001" cy="2085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t>19/01/2024 Planning permit submitted</a:t>
          </a:r>
        </a:p>
      </xdr:txBody>
    </xdr:sp>
    <xdr:clientData/>
  </xdr:twoCellAnchor>
  <xdr:twoCellAnchor editAs="oneCell">
    <xdr:from>
      <xdr:col>7</xdr:col>
      <xdr:colOff>180975</xdr:colOff>
      <xdr:row>0</xdr:row>
      <xdr:rowOff>156659</xdr:rowOff>
    </xdr:from>
    <xdr:to>
      <xdr:col>8</xdr:col>
      <xdr:colOff>752081</xdr:colOff>
      <xdr:row>4</xdr:row>
      <xdr:rowOff>37873</xdr:rowOff>
    </xdr:to>
    <xdr:pic>
      <xdr:nvPicPr>
        <xdr:cNvPr id="3" name="Picture 2">
          <a:extLst>
            <a:ext uri="{FF2B5EF4-FFF2-40B4-BE49-F238E27FC236}">
              <a16:creationId xmlns:a16="http://schemas.microsoft.com/office/drawing/2014/main" id="{00000000-0008-0000-5200-000003000000}"/>
            </a:ext>
          </a:extLst>
        </xdr:cNvPr>
        <xdr:cNvPicPr>
          <a:picLocks noChangeAspect="1"/>
        </xdr:cNvPicPr>
      </xdr:nvPicPr>
      <xdr:blipFill>
        <a:blip xmlns:r="http://schemas.openxmlformats.org/officeDocument/2006/relationships" r:embed="rId1"/>
        <a:stretch>
          <a:fillRect/>
        </a:stretch>
      </xdr:blipFill>
      <xdr:spPr>
        <a:xfrm>
          <a:off x="4448175" y="156659"/>
          <a:ext cx="1180706" cy="681314"/>
        </a:xfrm>
        <a:prstGeom prst="rect">
          <a:avLst/>
        </a:prstGeom>
      </xdr:spPr>
    </xdr:pic>
    <xdr:clientData/>
  </xdr:twoCellAnchor>
  <xdr:twoCellAnchor>
    <xdr:from>
      <xdr:col>9</xdr:col>
      <xdr:colOff>66674</xdr:colOff>
      <xdr:row>3</xdr:row>
      <xdr:rowOff>66674</xdr:rowOff>
    </xdr:from>
    <xdr:to>
      <xdr:col>14</xdr:col>
      <xdr:colOff>352425</xdr:colOff>
      <xdr:row>44</xdr:row>
      <xdr:rowOff>28575</xdr:rowOff>
    </xdr:to>
    <xdr:sp macro="" textlink="">
      <xdr:nvSpPr>
        <xdr:cNvPr id="4" name="TextBox 3">
          <a:extLst>
            <a:ext uri="{FF2B5EF4-FFF2-40B4-BE49-F238E27FC236}">
              <a16:creationId xmlns:a16="http://schemas.microsoft.com/office/drawing/2014/main" id="{00000000-0008-0000-5200-000004000000}"/>
            </a:ext>
          </a:extLst>
        </xdr:cNvPr>
        <xdr:cNvSpPr txBox="1"/>
      </xdr:nvSpPr>
      <xdr:spPr>
        <a:xfrm>
          <a:off x="5886449" y="666749"/>
          <a:ext cx="3333751" cy="7800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b="1" i="0" u="none" strike="noStrike" baseline="0">
              <a:solidFill>
                <a:schemeClr val="dk1"/>
              </a:solidFill>
              <a:latin typeface="+mn-lt"/>
              <a:ea typeface="+mn-ea"/>
              <a:cs typeface="+mn-cs"/>
            </a:rPr>
            <a:t>PLANNING RFI</a:t>
          </a:r>
        </a:p>
        <a:p>
          <a:r>
            <a:rPr lang="en-AU" sz="800" b="0" i="0" u="none" strike="noStrike" baseline="0">
              <a:solidFill>
                <a:srgbClr val="00B050"/>
              </a:solidFill>
              <a:latin typeface="+mn-lt"/>
              <a:ea typeface="+mn-ea"/>
              <a:cs typeface="+mn-cs"/>
            </a:rPr>
            <a:t>1. Restrictive covenant (COVENANT AH388481F 27/07/2010 Expiry Date 01/07/2029) stated on the Register Search Statement.</a:t>
          </a:r>
        </a:p>
        <a:p>
          <a:r>
            <a:rPr lang="en-AU" sz="800" b="0" i="0" u="none" strike="noStrike" baseline="0">
              <a:solidFill>
                <a:srgbClr val="00B050"/>
              </a:solidFill>
              <a:latin typeface="+mn-lt"/>
              <a:ea typeface="+mn-ea"/>
              <a:cs typeface="+mn-cs"/>
            </a:rPr>
            <a:t>2. Updated site plan to show relocation of shed as per council engineer’s response, existing wastewater treatment systems, internal driveway access to proposed outbuilding, extent of site cut and fill, any trees within 10m of the proposed building and works (even if they are on neighbouring property)</a:t>
          </a:r>
        </a:p>
        <a:p>
          <a:r>
            <a:rPr lang="en-AU" sz="800" b="0" i="0" u="none" strike="noStrike" baseline="0">
              <a:solidFill>
                <a:srgbClr val="00B050"/>
              </a:solidFill>
              <a:latin typeface="+mn-lt"/>
              <a:ea typeface="+mn-ea"/>
              <a:cs typeface="+mn-cs"/>
            </a:rPr>
            <a:t>a) Any relevant restrictions from the above-mentioned covenant. For example, if there any building/effluent that apply, please show them on the site plan too.</a:t>
          </a:r>
        </a:p>
        <a:p>
          <a:r>
            <a:rPr lang="en-AU" sz="800" b="0" i="0" u="none" strike="noStrike" baseline="0">
              <a:solidFill>
                <a:srgbClr val="00B050"/>
              </a:solidFill>
              <a:latin typeface="+mn-lt"/>
              <a:ea typeface="+mn-ea"/>
              <a:cs typeface="+mn-cs"/>
            </a:rPr>
            <a:t>b) Council engineers have required the shed to have minimum of 4m setback from eastern boundary.</a:t>
          </a:r>
        </a:p>
        <a:p>
          <a:r>
            <a:rPr lang="en-AU" sz="800" b="0" i="0" u="none" strike="noStrike" baseline="0">
              <a:solidFill>
                <a:srgbClr val="00B050"/>
              </a:solidFill>
              <a:latin typeface="+mn-lt"/>
              <a:ea typeface="+mn-ea"/>
              <a:cs typeface="+mn-cs"/>
            </a:rPr>
            <a:t>3. Elevations: all elevations with orientations (N, S, E and W), maximum building height (in AHD if relevant), Finished floor level (in AHD if relevant, life for LSIO, FO), material and colour schedule, site cut and fill, etc. Please note that a highly reflective cladding like zinc is prohibited. Council prefers the cladding to be of muted-earthy tones.</a:t>
          </a:r>
        </a:p>
        <a:p>
          <a:r>
            <a:rPr lang="en-AU" sz="800" b="0" i="0" u="none" strike="noStrike" baseline="0">
              <a:solidFill>
                <a:srgbClr val="00B050"/>
              </a:solidFill>
              <a:latin typeface="+mn-lt"/>
              <a:ea typeface="+mn-ea"/>
              <a:cs typeface="+mn-cs"/>
            </a:rPr>
            <a:t>4. Plumber’s report including scaled site plan with location, size and type of waste system.</a:t>
          </a:r>
        </a:p>
        <a:p>
          <a:r>
            <a:rPr lang="en-AU" sz="800" b="0" i="0" u="none" strike="noStrike" baseline="0">
              <a:solidFill>
                <a:srgbClr val="00B050"/>
              </a:solidFill>
              <a:latin typeface="+mn-lt"/>
              <a:ea typeface="+mn-ea"/>
              <a:cs typeface="+mn-cs"/>
            </a:rPr>
            <a:t>5. Please note that clause 62.02-1 of Mitchell Planning Scheme, provides that no planning permit is required for buildings and works associated with a dam if a licence is required to construct the dam or to take and use water from the dam under the Water Act 1989. Private dam licenses are issued by your local rural water corporation, which is, Goulburn Murray Water (GMW). Only in cases where private dam license is not issued by GMW, will council address permits for dam. Could you please contact GMW and confirm whether you would need a license from them? Following this,</a:t>
          </a:r>
        </a:p>
        <a:p>
          <a:r>
            <a:rPr lang="en-AU" sz="800" b="0" i="0" u="none" strike="noStrike" baseline="0">
              <a:solidFill>
                <a:srgbClr val="00B050"/>
              </a:solidFill>
              <a:latin typeface="+mn-lt"/>
              <a:ea typeface="+mn-ea"/>
              <a:cs typeface="+mn-cs"/>
            </a:rPr>
            <a:t>please advise council of the outcome in writing. - </a:t>
          </a:r>
          <a:r>
            <a:rPr lang="en-AU" sz="800" b="0" i="0" u="none" strike="noStrike" baseline="0">
              <a:solidFill>
                <a:sysClr val="windowText" lastClr="000000"/>
              </a:solidFill>
              <a:latin typeface="+mn-lt"/>
              <a:ea typeface="+mn-ea"/>
              <a:cs typeface="+mn-cs"/>
            </a:rPr>
            <a:t>NOT REQUIRED.</a:t>
          </a:r>
        </a:p>
        <a:p>
          <a:endParaRPr lang="en-AU" sz="800" b="0" i="0" u="none" strike="noStrike" baseline="0">
            <a:solidFill>
              <a:sysClr val="windowText" lastClr="000000"/>
            </a:solidFill>
            <a:latin typeface="+mn-lt"/>
            <a:ea typeface="+mn-ea"/>
            <a:cs typeface="+mn-cs"/>
          </a:endParaRPr>
        </a:p>
        <a:p>
          <a:pPr lvl="0"/>
          <a:r>
            <a:rPr lang="en-AU" sz="1100">
              <a:solidFill>
                <a:schemeClr val="dk1"/>
              </a:solidFill>
              <a:effectLst/>
              <a:latin typeface="+mn-lt"/>
              <a:ea typeface="+mn-ea"/>
              <a:cs typeface="+mn-cs"/>
            </a:rPr>
            <a:t>Requirements by Engineering team:</a:t>
          </a:r>
        </a:p>
        <a:p>
          <a:pPr lvl="1"/>
          <a:r>
            <a:rPr lang="en-AU" sz="1100">
              <a:solidFill>
                <a:schemeClr val="accent4"/>
              </a:solidFill>
              <a:effectLst/>
              <a:latin typeface="+mn-lt"/>
              <a:ea typeface="+mn-ea"/>
              <a:cs typeface="+mn-cs"/>
            </a:rPr>
            <a:t>Provide details for the dam over flow structure </a:t>
          </a:r>
        </a:p>
        <a:p>
          <a:pPr lvl="1"/>
          <a:r>
            <a:rPr lang="en-AU" sz="1100">
              <a:solidFill>
                <a:schemeClr val="accent4"/>
              </a:solidFill>
              <a:effectLst/>
              <a:latin typeface="+mn-lt"/>
              <a:ea typeface="+mn-ea"/>
              <a:cs typeface="+mn-cs"/>
            </a:rPr>
            <a:t>Provide details for the dam over flow path and demonstrate how overflow concentrations will be managed </a:t>
          </a:r>
        </a:p>
        <a:p>
          <a:pPr lvl="1"/>
          <a:r>
            <a:rPr lang="en-AU" sz="1100">
              <a:solidFill>
                <a:schemeClr val="accent4"/>
              </a:solidFill>
              <a:effectLst/>
              <a:latin typeface="+mn-lt"/>
              <a:ea typeface="+mn-ea"/>
              <a:cs typeface="+mn-cs"/>
            </a:rPr>
            <a:t>Provide details of the dam’s volume </a:t>
          </a:r>
        </a:p>
        <a:p>
          <a:pPr lvl="1"/>
          <a:r>
            <a:rPr lang="en-AU" sz="1100">
              <a:solidFill>
                <a:schemeClr val="accent4"/>
              </a:solidFill>
              <a:effectLst/>
              <a:latin typeface="+mn-lt"/>
              <a:ea typeface="+mn-ea"/>
              <a:cs typeface="+mn-cs"/>
            </a:rPr>
            <a:t>Provide details of the dam’s lining </a:t>
          </a:r>
        </a:p>
        <a:p>
          <a:pPr lvl="1"/>
          <a:r>
            <a:rPr lang="en-AU" sz="1100">
              <a:solidFill>
                <a:schemeClr val="accent4"/>
              </a:solidFill>
              <a:effectLst/>
              <a:latin typeface="+mn-lt"/>
              <a:ea typeface="+mn-ea"/>
              <a:cs typeface="+mn-cs"/>
            </a:rPr>
            <a:t>Details of soil compaction standards to be applied and Emerson test of the soils to determine suitability as a water storage embankment material.</a:t>
          </a:r>
        </a:p>
        <a:p>
          <a:pPr lvl="1"/>
          <a:r>
            <a:rPr lang="en-AU" sz="1100">
              <a:solidFill>
                <a:schemeClr val="accent4"/>
              </a:solidFill>
              <a:effectLst/>
              <a:latin typeface="+mn-lt"/>
              <a:ea typeface="+mn-ea"/>
              <a:cs typeface="+mn-cs"/>
            </a:rPr>
            <a:t>Provision of erosion control and revetment of the dam embankment by the establishment of sustainable grass cover.</a:t>
          </a:r>
        </a:p>
        <a:p>
          <a:r>
            <a:rPr lang="en-AU" sz="1100">
              <a:solidFill>
                <a:schemeClr val="dk1"/>
              </a:solidFill>
              <a:effectLst/>
              <a:latin typeface="+mn-lt"/>
              <a:ea typeface="+mn-ea"/>
              <a:cs typeface="+mn-cs"/>
            </a:rPr>
            <a:t> </a:t>
          </a:r>
        </a:p>
        <a:p>
          <a:pPr lvl="0"/>
          <a:r>
            <a:rPr lang="en-AU" sz="1100">
              <a:solidFill>
                <a:schemeClr val="dk1"/>
              </a:solidFill>
              <a:effectLst/>
              <a:latin typeface="+mn-lt"/>
              <a:ea typeface="+mn-ea"/>
              <a:cs typeface="+mn-cs"/>
            </a:rPr>
            <a:t>Could you also please forward me the floor plan (drawn to scale and appropriately labelled) of the shed, it appears to be missing from the file? Or the other option is to include this requirement as condition 1 on the permit.</a:t>
          </a:r>
        </a:p>
        <a:p>
          <a:endParaRPr lang="en-AU" sz="8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295275</xdr:colOff>
          <xdr:row>28</xdr:row>
          <xdr:rowOff>28575</xdr:rowOff>
        </xdr:to>
        <xdr:sp macro="" textlink="">
          <xdr:nvSpPr>
            <xdr:cNvPr id="1912833" name="Check Box 1" hidden="1">
              <a:extLst>
                <a:ext uri="{63B3BB69-23CF-44E3-9099-C40C66FF867C}">
                  <a14:compatExt spid="_x0000_s1912833"/>
                </a:ext>
                <a:ext uri="{FF2B5EF4-FFF2-40B4-BE49-F238E27FC236}">
                  <a16:creationId xmlns:a16="http://schemas.microsoft.com/office/drawing/2014/main" id="{00000000-0008-0000-7900-000001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912834" name="Check Box 2" hidden="1">
              <a:extLst>
                <a:ext uri="{63B3BB69-23CF-44E3-9099-C40C66FF867C}">
                  <a14:compatExt spid="_x0000_s1912834"/>
                </a:ext>
                <a:ext uri="{FF2B5EF4-FFF2-40B4-BE49-F238E27FC236}">
                  <a16:creationId xmlns:a16="http://schemas.microsoft.com/office/drawing/2014/main" id="{00000000-0008-0000-7900-000002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912835" name="Check Box 3" hidden="1">
              <a:extLst>
                <a:ext uri="{63B3BB69-23CF-44E3-9099-C40C66FF867C}">
                  <a14:compatExt spid="_x0000_s1912835"/>
                </a:ext>
                <a:ext uri="{FF2B5EF4-FFF2-40B4-BE49-F238E27FC236}">
                  <a16:creationId xmlns:a16="http://schemas.microsoft.com/office/drawing/2014/main" id="{00000000-0008-0000-7900-000003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912836" name="Check Box 4" hidden="1">
              <a:extLst>
                <a:ext uri="{63B3BB69-23CF-44E3-9099-C40C66FF867C}">
                  <a14:compatExt spid="_x0000_s1912836"/>
                </a:ext>
                <a:ext uri="{FF2B5EF4-FFF2-40B4-BE49-F238E27FC236}">
                  <a16:creationId xmlns:a16="http://schemas.microsoft.com/office/drawing/2014/main" id="{00000000-0008-0000-7900-000004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26</xdr:row>
          <xdr:rowOff>171450</xdr:rowOff>
        </xdr:from>
        <xdr:to>
          <xdr:col>4</xdr:col>
          <xdr:colOff>285750</xdr:colOff>
          <xdr:row>28</xdr:row>
          <xdr:rowOff>9525</xdr:rowOff>
        </xdr:to>
        <xdr:sp macro="" textlink="">
          <xdr:nvSpPr>
            <xdr:cNvPr id="1912837" name="Check Box 5" hidden="1">
              <a:extLst>
                <a:ext uri="{63B3BB69-23CF-44E3-9099-C40C66FF867C}">
                  <a14:compatExt spid="_x0000_s1912837"/>
                </a:ext>
                <a:ext uri="{FF2B5EF4-FFF2-40B4-BE49-F238E27FC236}">
                  <a16:creationId xmlns:a16="http://schemas.microsoft.com/office/drawing/2014/main" id="{00000000-0008-0000-7900-000005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912838" name="Check Box 6" hidden="1">
              <a:extLst>
                <a:ext uri="{63B3BB69-23CF-44E3-9099-C40C66FF867C}">
                  <a14:compatExt spid="_x0000_s1912838"/>
                </a:ext>
                <a:ext uri="{FF2B5EF4-FFF2-40B4-BE49-F238E27FC236}">
                  <a16:creationId xmlns:a16="http://schemas.microsoft.com/office/drawing/2014/main" id="{00000000-0008-0000-7900-000006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912839" name="Check Box 7" hidden="1">
              <a:extLst>
                <a:ext uri="{63B3BB69-23CF-44E3-9099-C40C66FF867C}">
                  <a14:compatExt spid="_x0000_s1912839"/>
                </a:ext>
                <a:ext uri="{FF2B5EF4-FFF2-40B4-BE49-F238E27FC236}">
                  <a16:creationId xmlns:a16="http://schemas.microsoft.com/office/drawing/2014/main" id="{00000000-0008-0000-7900-000007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295275</xdr:colOff>
          <xdr:row>33</xdr:row>
          <xdr:rowOff>28575</xdr:rowOff>
        </xdr:to>
        <xdr:sp macro="" textlink="">
          <xdr:nvSpPr>
            <xdr:cNvPr id="1912840" name="Check Box 8" hidden="1">
              <a:extLst>
                <a:ext uri="{63B3BB69-23CF-44E3-9099-C40C66FF867C}">
                  <a14:compatExt spid="_x0000_s1912840"/>
                </a:ext>
                <a:ext uri="{FF2B5EF4-FFF2-40B4-BE49-F238E27FC236}">
                  <a16:creationId xmlns:a16="http://schemas.microsoft.com/office/drawing/2014/main" id="{00000000-0008-0000-7900-000008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912841" name="Check Box 9" hidden="1">
              <a:extLst>
                <a:ext uri="{63B3BB69-23CF-44E3-9099-C40C66FF867C}">
                  <a14:compatExt spid="_x0000_s1912841"/>
                </a:ext>
                <a:ext uri="{FF2B5EF4-FFF2-40B4-BE49-F238E27FC236}">
                  <a16:creationId xmlns:a16="http://schemas.microsoft.com/office/drawing/2014/main" id="{00000000-0008-0000-7900-000009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912842" name="Check Box 10" hidden="1">
              <a:extLst>
                <a:ext uri="{63B3BB69-23CF-44E3-9099-C40C66FF867C}">
                  <a14:compatExt spid="_x0000_s1912842"/>
                </a:ext>
                <a:ext uri="{FF2B5EF4-FFF2-40B4-BE49-F238E27FC236}">
                  <a16:creationId xmlns:a16="http://schemas.microsoft.com/office/drawing/2014/main" id="{00000000-0008-0000-7900-00000A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912843" name="Check Box 11" hidden="1">
              <a:extLst>
                <a:ext uri="{63B3BB69-23CF-44E3-9099-C40C66FF867C}">
                  <a14:compatExt spid="_x0000_s1912843"/>
                </a:ext>
                <a:ext uri="{FF2B5EF4-FFF2-40B4-BE49-F238E27FC236}">
                  <a16:creationId xmlns:a16="http://schemas.microsoft.com/office/drawing/2014/main" id="{00000000-0008-0000-7900-00000B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912844" name="Check Box 12" hidden="1">
              <a:extLst>
                <a:ext uri="{63B3BB69-23CF-44E3-9099-C40C66FF867C}">
                  <a14:compatExt spid="_x0000_s1912844"/>
                </a:ext>
                <a:ext uri="{FF2B5EF4-FFF2-40B4-BE49-F238E27FC236}">
                  <a16:creationId xmlns:a16="http://schemas.microsoft.com/office/drawing/2014/main" id="{00000000-0008-0000-7900-00000C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295275</xdr:colOff>
          <xdr:row>33</xdr:row>
          <xdr:rowOff>28575</xdr:rowOff>
        </xdr:to>
        <xdr:sp macro="" textlink="">
          <xdr:nvSpPr>
            <xdr:cNvPr id="1912845" name="Check Box 13" hidden="1">
              <a:extLst>
                <a:ext uri="{63B3BB69-23CF-44E3-9099-C40C66FF867C}">
                  <a14:compatExt spid="_x0000_s1912845"/>
                </a:ext>
                <a:ext uri="{FF2B5EF4-FFF2-40B4-BE49-F238E27FC236}">
                  <a16:creationId xmlns:a16="http://schemas.microsoft.com/office/drawing/2014/main" id="{00000000-0008-0000-7900-00000D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1912846" name="Check Box 14" hidden="1">
              <a:extLst>
                <a:ext uri="{63B3BB69-23CF-44E3-9099-C40C66FF867C}">
                  <a14:compatExt spid="_x0000_s1912846"/>
                </a:ext>
                <a:ext uri="{FF2B5EF4-FFF2-40B4-BE49-F238E27FC236}">
                  <a16:creationId xmlns:a16="http://schemas.microsoft.com/office/drawing/2014/main" id="{00000000-0008-0000-7900-00000E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1912847" name="Check Box 15" hidden="1">
              <a:extLst>
                <a:ext uri="{63B3BB69-23CF-44E3-9099-C40C66FF867C}">
                  <a14:compatExt spid="_x0000_s1912847"/>
                </a:ext>
                <a:ext uri="{FF2B5EF4-FFF2-40B4-BE49-F238E27FC236}">
                  <a16:creationId xmlns:a16="http://schemas.microsoft.com/office/drawing/2014/main" id="{00000000-0008-0000-7900-00000F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1912848" name="Check Box 16" hidden="1">
              <a:extLst>
                <a:ext uri="{63B3BB69-23CF-44E3-9099-C40C66FF867C}">
                  <a14:compatExt spid="_x0000_s1912848"/>
                </a:ext>
                <a:ext uri="{FF2B5EF4-FFF2-40B4-BE49-F238E27FC236}">
                  <a16:creationId xmlns:a16="http://schemas.microsoft.com/office/drawing/2014/main" id="{00000000-0008-0000-7900-000010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38100</xdr:rowOff>
        </xdr:to>
        <xdr:sp macro="" textlink="">
          <xdr:nvSpPr>
            <xdr:cNvPr id="1912849" name="Check Box 17" hidden="1">
              <a:extLst>
                <a:ext uri="{63B3BB69-23CF-44E3-9099-C40C66FF867C}">
                  <a14:compatExt spid="_x0000_s1912849"/>
                </a:ext>
                <a:ext uri="{FF2B5EF4-FFF2-40B4-BE49-F238E27FC236}">
                  <a16:creationId xmlns:a16="http://schemas.microsoft.com/office/drawing/2014/main" id="{00000000-0008-0000-7900-000011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28575</xdr:rowOff>
        </xdr:to>
        <xdr:sp macro="" textlink="">
          <xdr:nvSpPr>
            <xdr:cNvPr id="1912850" name="Check Box 18" hidden="1">
              <a:extLst>
                <a:ext uri="{63B3BB69-23CF-44E3-9099-C40C66FF867C}">
                  <a14:compatExt spid="_x0000_s1912850"/>
                </a:ext>
                <a:ext uri="{FF2B5EF4-FFF2-40B4-BE49-F238E27FC236}">
                  <a16:creationId xmlns:a16="http://schemas.microsoft.com/office/drawing/2014/main" id="{00000000-0008-0000-7900-000012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912851" name="Check Box 19" hidden="1">
              <a:extLst>
                <a:ext uri="{63B3BB69-23CF-44E3-9099-C40C66FF867C}">
                  <a14:compatExt spid="_x0000_s1912851"/>
                </a:ext>
                <a:ext uri="{FF2B5EF4-FFF2-40B4-BE49-F238E27FC236}">
                  <a16:creationId xmlns:a16="http://schemas.microsoft.com/office/drawing/2014/main" id="{00000000-0008-0000-7900-000013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912852" name="Check Box 20" hidden="1">
              <a:extLst>
                <a:ext uri="{63B3BB69-23CF-44E3-9099-C40C66FF867C}">
                  <a14:compatExt spid="_x0000_s1912852"/>
                </a:ext>
                <a:ext uri="{FF2B5EF4-FFF2-40B4-BE49-F238E27FC236}">
                  <a16:creationId xmlns:a16="http://schemas.microsoft.com/office/drawing/2014/main" id="{00000000-0008-0000-7900-000014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912853" name="Check Box 21" hidden="1">
              <a:extLst>
                <a:ext uri="{63B3BB69-23CF-44E3-9099-C40C66FF867C}">
                  <a14:compatExt spid="_x0000_s1912853"/>
                </a:ext>
                <a:ext uri="{FF2B5EF4-FFF2-40B4-BE49-F238E27FC236}">
                  <a16:creationId xmlns:a16="http://schemas.microsoft.com/office/drawing/2014/main" id="{00000000-0008-0000-7900-000015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912854" name="Check Box 22" hidden="1">
              <a:extLst>
                <a:ext uri="{63B3BB69-23CF-44E3-9099-C40C66FF867C}">
                  <a14:compatExt spid="_x0000_s1912854"/>
                </a:ext>
                <a:ext uri="{FF2B5EF4-FFF2-40B4-BE49-F238E27FC236}">
                  <a16:creationId xmlns:a16="http://schemas.microsoft.com/office/drawing/2014/main" id="{00000000-0008-0000-7900-000016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912855" name="Check Box 23" hidden="1">
              <a:extLst>
                <a:ext uri="{63B3BB69-23CF-44E3-9099-C40C66FF867C}">
                  <a14:compatExt spid="_x0000_s1912855"/>
                </a:ext>
                <a:ext uri="{FF2B5EF4-FFF2-40B4-BE49-F238E27FC236}">
                  <a16:creationId xmlns:a16="http://schemas.microsoft.com/office/drawing/2014/main" id="{00000000-0008-0000-7900-000017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20</xdr:row>
          <xdr:rowOff>57150</xdr:rowOff>
        </xdr:from>
        <xdr:to>
          <xdr:col>8</xdr:col>
          <xdr:colOff>533400</xdr:colOff>
          <xdr:row>21</xdr:row>
          <xdr:rowOff>161925</xdr:rowOff>
        </xdr:to>
        <xdr:sp macro="" textlink="">
          <xdr:nvSpPr>
            <xdr:cNvPr id="1912856" name="Button 24" hidden="1">
              <a:extLst>
                <a:ext uri="{63B3BB69-23CF-44E3-9099-C40C66FF867C}">
                  <a14:compatExt spid="_x0000_s1912856"/>
                </a:ext>
                <a:ext uri="{FF2B5EF4-FFF2-40B4-BE49-F238E27FC236}">
                  <a16:creationId xmlns:a16="http://schemas.microsoft.com/office/drawing/2014/main" id="{00000000-0008-0000-7900-000018301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0</xdr:rowOff>
        </xdr:to>
        <xdr:sp macro="" textlink="">
          <xdr:nvSpPr>
            <xdr:cNvPr id="1912857" name="Button 25" hidden="1">
              <a:extLst>
                <a:ext uri="{63B3BB69-23CF-44E3-9099-C40C66FF867C}">
                  <a14:compatExt spid="_x0000_s1912857"/>
                </a:ext>
                <a:ext uri="{FF2B5EF4-FFF2-40B4-BE49-F238E27FC236}">
                  <a16:creationId xmlns:a16="http://schemas.microsoft.com/office/drawing/2014/main" id="{00000000-0008-0000-7900-000019301D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180975</xdr:rowOff>
        </xdr:from>
        <xdr:to>
          <xdr:col>0</xdr:col>
          <xdr:colOff>295275</xdr:colOff>
          <xdr:row>40</xdr:row>
          <xdr:rowOff>19050</xdr:rowOff>
        </xdr:to>
        <xdr:sp macro="" textlink="">
          <xdr:nvSpPr>
            <xdr:cNvPr id="1912858" name="Check Box 26" hidden="1">
              <a:extLst>
                <a:ext uri="{63B3BB69-23CF-44E3-9099-C40C66FF867C}">
                  <a14:compatExt spid="_x0000_s1912858"/>
                </a:ext>
                <a:ext uri="{FF2B5EF4-FFF2-40B4-BE49-F238E27FC236}">
                  <a16:creationId xmlns:a16="http://schemas.microsoft.com/office/drawing/2014/main" id="{00000000-0008-0000-7900-00001A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37</xdr:row>
          <xdr:rowOff>28575</xdr:rowOff>
        </xdr:from>
        <xdr:to>
          <xdr:col>0</xdr:col>
          <xdr:colOff>581025</xdr:colOff>
          <xdr:row>37</xdr:row>
          <xdr:rowOff>180975</xdr:rowOff>
        </xdr:to>
        <xdr:sp macro="" textlink="">
          <xdr:nvSpPr>
            <xdr:cNvPr id="1912859" name="Button 27" hidden="1">
              <a:extLst>
                <a:ext uri="{63B3BB69-23CF-44E3-9099-C40C66FF867C}">
                  <a14:compatExt spid="_x0000_s1912859"/>
                </a:ext>
                <a:ext uri="{FF2B5EF4-FFF2-40B4-BE49-F238E27FC236}">
                  <a16:creationId xmlns:a16="http://schemas.microsoft.com/office/drawing/2014/main" id="{00000000-0008-0000-7900-00001B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19050</xdr:rowOff>
        </xdr:from>
        <xdr:to>
          <xdr:col>0</xdr:col>
          <xdr:colOff>581025</xdr:colOff>
          <xdr:row>38</xdr:row>
          <xdr:rowOff>171450</xdr:rowOff>
        </xdr:to>
        <xdr:sp macro="" textlink="">
          <xdr:nvSpPr>
            <xdr:cNvPr id="1912860" name="Button 28" hidden="1">
              <a:extLst>
                <a:ext uri="{63B3BB69-23CF-44E3-9099-C40C66FF867C}">
                  <a14:compatExt spid="_x0000_s1912860"/>
                </a:ext>
                <a:ext uri="{FF2B5EF4-FFF2-40B4-BE49-F238E27FC236}">
                  <a16:creationId xmlns:a16="http://schemas.microsoft.com/office/drawing/2014/main" id="{00000000-0008-0000-7900-00001C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40</xdr:row>
          <xdr:rowOff>19050</xdr:rowOff>
        </xdr:from>
        <xdr:to>
          <xdr:col>0</xdr:col>
          <xdr:colOff>581025</xdr:colOff>
          <xdr:row>40</xdr:row>
          <xdr:rowOff>171450</xdr:rowOff>
        </xdr:to>
        <xdr:sp macro="" textlink="">
          <xdr:nvSpPr>
            <xdr:cNvPr id="1912861" name="Button 29" hidden="1">
              <a:extLst>
                <a:ext uri="{63B3BB69-23CF-44E3-9099-C40C66FF867C}">
                  <a14:compatExt spid="_x0000_s1912861"/>
                </a:ext>
                <a:ext uri="{FF2B5EF4-FFF2-40B4-BE49-F238E27FC236}">
                  <a16:creationId xmlns:a16="http://schemas.microsoft.com/office/drawing/2014/main" id="{00000000-0008-0000-7900-00001D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36</xdr:row>
          <xdr:rowOff>19050</xdr:rowOff>
        </xdr:from>
        <xdr:to>
          <xdr:col>4</xdr:col>
          <xdr:colOff>581025</xdr:colOff>
          <xdr:row>36</xdr:row>
          <xdr:rowOff>171450</xdr:rowOff>
        </xdr:to>
        <xdr:sp macro="" textlink="">
          <xdr:nvSpPr>
            <xdr:cNvPr id="1912862" name="Button 30" hidden="1">
              <a:extLst>
                <a:ext uri="{63B3BB69-23CF-44E3-9099-C40C66FF867C}">
                  <a14:compatExt spid="_x0000_s1912862"/>
                </a:ext>
                <a:ext uri="{FF2B5EF4-FFF2-40B4-BE49-F238E27FC236}">
                  <a16:creationId xmlns:a16="http://schemas.microsoft.com/office/drawing/2014/main" id="{00000000-0008-0000-7900-00001E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30</xdr:row>
          <xdr:rowOff>28575</xdr:rowOff>
        </xdr:from>
        <xdr:to>
          <xdr:col>4</xdr:col>
          <xdr:colOff>581025</xdr:colOff>
          <xdr:row>30</xdr:row>
          <xdr:rowOff>180975</xdr:rowOff>
        </xdr:to>
        <xdr:sp macro="" textlink="">
          <xdr:nvSpPr>
            <xdr:cNvPr id="1912863" name="Button 31" hidden="1">
              <a:extLst>
                <a:ext uri="{63B3BB69-23CF-44E3-9099-C40C66FF867C}">
                  <a14:compatExt spid="_x0000_s1912863"/>
                </a:ext>
                <a:ext uri="{FF2B5EF4-FFF2-40B4-BE49-F238E27FC236}">
                  <a16:creationId xmlns:a16="http://schemas.microsoft.com/office/drawing/2014/main" id="{00000000-0008-0000-7900-00001F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912864" name="Button 32" hidden="1">
              <a:extLst>
                <a:ext uri="{63B3BB69-23CF-44E3-9099-C40C66FF867C}">
                  <a14:compatExt spid="_x0000_s1912864"/>
                </a:ext>
                <a:ext uri="{FF2B5EF4-FFF2-40B4-BE49-F238E27FC236}">
                  <a16:creationId xmlns:a16="http://schemas.microsoft.com/office/drawing/2014/main" id="{00000000-0008-0000-7900-000020301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161925</xdr:rowOff>
        </xdr:from>
        <xdr:to>
          <xdr:col>0</xdr:col>
          <xdr:colOff>295275</xdr:colOff>
          <xdr:row>50</xdr:row>
          <xdr:rowOff>0</xdr:rowOff>
        </xdr:to>
        <xdr:sp macro="" textlink="">
          <xdr:nvSpPr>
            <xdr:cNvPr id="1912865" name="Check Box 33" hidden="1">
              <a:extLst>
                <a:ext uri="{63B3BB69-23CF-44E3-9099-C40C66FF867C}">
                  <a14:compatExt spid="_x0000_s1912865"/>
                </a:ext>
                <a:ext uri="{FF2B5EF4-FFF2-40B4-BE49-F238E27FC236}">
                  <a16:creationId xmlns:a16="http://schemas.microsoft.com/office/drawing/2014/main" id="{00000000-0008-0000-7900-000021301D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21.xml><?xml version="1.0" encoding="utf-8"?>
<xdr:wsDr xmlns:xdr="http://schemas.openxmlformats.org/drawingml/2006/spreadsheetDrawing" xmlns:a="http://schemas.openxmlformats.org/drawingml/2006/main">
  <xdr:twoCellAnchor>
    <xdr:from>
      <xdr:col>0</xdr:col>
      <xdr:colOff>28574</xdr:colOff>
      <xdr:row>11</xdr:row>
      <xdr:rowOff>57150</xdr:rowOff>
    </xdr:from>
    <xdr:to>
      <xdr:col>8</xdr:col>
      <xdr:colOff>866775</xdr:colOff>
      <xdr:row>19</xdr:row>
      <xdr:rowOff>133350</xdr:rowOff>
    </xdr:to>
    <xdr:sp macro="" textlink="">
      <xdr:nvSpPr>
        <xdr:cNvPr id="2" name="TextBox 1">
          <a:extLst>
            <a:ext uri="{FF2B5EF4-FFF2-40B4-BE49-F238E27FC236}">
              <a16:creationId xmlns:a16="http://schemas.microsoft.com/office/drawing/2014/main" id="{00000000-0008-0000-5700-000002000000}"/>
            </a:ext>
          </a:extLst>
        </xdr:cNvPr>
        <xdr:cNvSpPr txBox="1"/>
      </xdr:nvSpPr>
      <xdr:spPr>
        <a:xfrm>
          <a:off x="28574" y="21907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800" baseline="0"/>
        </a:p>
        <a:p>
          <a:r>
            <a:rPr lang="en-AU" sz="800" baseline="0"/>
            <a:t>15000 instead of 17000 offset for tank.</a:t>
          </a:r>
        </a:p>
        <a:p>
          <a:endParaRPr lang="en-AU" sz="800" baseline="0"/>
        </a:p>
        <a:p>
          <a:r>
            <a:rPr lang="en-AU" sz="800" baseline="0"/>
            <a:t>Ask ABC about rainwater tank requirements. section 173 10k rainwater tank for stormwater. same or greater. </a:t>
          </a:r>
        </a:p>
        <a:p>
          <a:endParaRPr lang="en-AU" sz="11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57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233921" name="Check Box 1" hidden="1">
              <a:extLst>
                <a:ext uri="{63B3BB69-23CF-44E3-9099-C40C66FF867C}">
                  <a14:compatExt spid="_x0000_s1233921"/>
                </a:ext>
                <a:ext uri="{FF2B5EF4-FFF2-40B4-BE49-F238E27FC236}">
                  <a16:creationId xmlns:a16="http://schemas.microsoft.com/office/drawing/2014/main" id="{00000000-0008-0000-7A00-000001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233922" name="Check Box 2" hidden="1">
              <a:extLst>
                <a:ext uri="{63B3BB69-23CF-44E3-9099-C40C66FF867C}">
                  <a14:compatExt spid="_x0000_s1233922"/>
                </a:ext>
                <a:ext uri="{FF2B5EF4-FFF2-40B4-BE49-F238E27FC236}">
                  <a16:creationId xmlns:a16="http://schemas.microsoft.com/office/drawing/2014/main" id="{00000000-0008-0000-7A00-000002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233923" name="Check Box 3" hidden="1">
              <a:extLst>
                <a:ext uri="{63B3BB69-23CF-44E3-9099-C40C66FF867C}">
                  <a14:compatExt spid="_x0000_s1233923"/>
                </a:ext>
                <a:ext uri="{FF2B5EF4-FFF2-40B4-BE49-F238E27FC236}">
                  <a16:creationId xmlns:a16="http://schemas.microsoft.com/office/drawing/2014/main" id="{00000000-0008-0000-7A00-000003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1233924" name="Check Box 4" hidden="1">
              <a:extLst>
                <a:ext uri="{63B3BB69-23CF-44E3-9099-C40C66FF867C}">
                  <a14:compatExt spid="_x0000_s1233924"/>
                </a:ext>
                <a:ext uri="{FF2B5EF4-FFF2-40B4-BE49-F238E27FC236}">
                  <a16:creationId xmlns:a16="http://schemas.microsoft.com/office/drawing/2014/main" id="{00000000-0008-0000-7A00-000004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233925" name="Check Box 5" hidden="1">
              <a:extLst>
                <a:ext uri="{63B3BB69-23CF-44E3-9099-C40C66FF867C}">
                  <a14:compatExt spid="_x0000_s1233925"/>
                </a:ext>
                <a:ext uri="{FF2B5EF4-FFF2-40B4-BE49-F238E27FC236}">
                  <a16:creationId xmlns:a16="http://schemas.microsoft.com/office/drawing/2014/main" id="{00000000-0008-0000-7A00-000005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233926" name="Check Box 6" hidden="1">
              <a:extLst>
                <a:ext uri="{63B3BB69-23CF-44E3-9099-C40C66FF867C}">
                  <a14:compatExt spid="_x0000_s1233926"/>
                </a:ext>
                <a:ext uri="{FF2B5EF4-FFF2-40B4-BE49-F238E27FC236}">
                  <a16:creationId xmlns:a16="http://schemas.microsoft.com/office/drawing/2014/main" id="{00000000-0008-0000-7A00-000006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1233927" name="Check Box 7" hidden="1">
              <a:extLst>
                <a:ext uri="{63B3BB69-23CF-44E3-9099-C40C66FF867C}">
                  <a14:compatExt spid="_x0000_s1233927"/>
                </a:ext>
                <a:ext uri="{FF2B5EF4-FFF2-40B4-BE49-F238E27FC236}">
                  <a16:creationId xmlns:a16="http://schemas.microsoft.com/office/drawing/2014/main" id="{00000000-0008-0000-7A00-000007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233928" name="Check Box 8" hidden="1">
              <a:extLst>
                <a:ext uri="{63B3BB69-23CF-44E3-9099-C40C66FF867C}">
                  <a14:compatExt spid="_x0000_s1233928"/>
                </a:ext>
                <a:ext uri="{FF2B5EF4-FFF2-40B4-BE49-F238E27FC236}">
                  <a16:creationId xmlns:a16="http://schemas.microsoft.com/office/drawing/2014/main" id="{00000000-0008-0000-7A00-000008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233929" name="Check Box 9" hidden="1">
              <a:extLst>
                <a:ext uri="{63B3BB69-23CF-44E3-9099-C40C66FF867C}">
                  <a14:compatExt spid="_x0000_s1233929"/>
                </a:ext>
                <a:ext uri="{FF2B5EF4-FFF2-40B4-BE49-F238E27FC236}">
                  <a16:creationId xmlns:a16="http://schemas.microsoft.com/office/drawing/2014/main" id="{00000000-0008-0000-7A00-000009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233930" name="Check Box 10" hidden="1">
              <a:extLst>
                <a:ext uri="{63B3BB69-23CF-44E3-9099-C40C66FF867C}">
                  <a14:compatExt spid="_x0000_s1233930"/>
                </a:ext>
                <a:ext uri="{FF2B5EF4-FFF2-40B4-BE49-F238E27FC236}">
                  <a16:creationId xmlns:a16="http://schemas.microsoft.com/office/drawing/2014/main" id="{00000000-0008-0000-7A00-00000A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1233931" name="Check Box 11" hidden="1">
              <a:extLst>
                <a:ext uri="{63B3BB69-23CF-44E3-9099-C40C66FF867C}">
                  <a14:compatExt spid="_x0000_s1233931"/>
                </a:ext>
                <a:ext uri="{FF2B5EF4-FFF2-40B4-BE49-F238E27FC236}">
                  <a16:creationId xmlns:a16="http://schemas.microsoft.com/office/drawing/2014/main" id="{00000000-0008-0000-7A00-00000B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233932" name="Check Box 12" hidden="1">
              <a:extLst>
                <a:ext uri="{63B3BB69-23CF-44E3-9099-C40C66FF867C}">
                  <a14:compatExt spid="_x0000_s1233932"/>
                </a:ext>
                <a:ext uri="{FF2B5EF4-FFF2-40B4-BE49-F238E27FC236}">
                  <a16:creationId xmlns:a16="http://schemas.microsoft.com/office/drawing/2014/main" id="{00000000-0008-0000-7A00-00000C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1233933" name="Check Box 13" hidden="1">
              <a:extLst>
                <a:ext uri="{63B3BB69-23CF-44E3-9099-C40C66FF867C}">
                  <a14:compatExt spid="_x0000_s1233933"/>
                </a:ext>
                <a:ext uri="{FF2B5EF4-FFF2-40B4-BE49-F238E27FC236}">
                  <a16:creationId xmlns:a16="http://schemas.microsoft.com/office/drawing/2014/main" id="{00000000-0008-0000-7A00-00000D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1233934" name="Check Box 14" hidden="1">
              <a:extLst>
                <a:ext uri="{63B3BB69-23CF-44E3-9099-C40C66FF867C}">
                  <a14:compatExt spid="_x0000_s1233934"/>
                </a:ext>
                <a:ext uri="{FF2B5EF4-FFF2-40B4-BE49-F238E27FC236}">
                  <a16:creationId xmlns:a16="http://schemas.microsoft.com/office/drawing/2014/main" id="{00000000-0008-0000-7A00-00000E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1233935" name="Check Box 15" hidden="1">
              <a:extLst>
                <a:ext uri="{63B3BB69-23CF-44E3-9099-C40C66FF867C}">
                  <a14:compatExt spid="_x0000_s1233935"/>
                </a:ext>
                <a:ext uri="{FF2B5EF4-FFF2-40B4-BE49-F238E27FC236}">
                  <a16:creationId xmlns:a16="http://schemas.microsoft.com/office/drawing/2014/main" id="{00000000-0008-0000-7A00-00000F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1233936" name="Check Box 16" hidden="1">
              <a:extLst>
                <a:ext uri="{63B3BB69-23CF-44E3-9099-C40C66FF867C}">
                  <a14:compatExt spid="_x0000_s1233936"/>
                </a:ext>
                <a:ext uri="{FF2B5EF4-FFF2-40B4-BE49-F238E27FC236}">
                  <a16:creationId xmlns:a16="http://schemas.microsoft.com/office/drawing/2014/main" id="{00000000-0008-0000-7A00-000010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1233937" name="Check Box 17" hidden="1">
              <a:extLst>
                <a:ext uri="{63B3BB69-23CF-44E3-9099-C40C66FF867C}">
                  <a14:compatExt spid="_x0000_s1233937"/>
                </a:ext>
                <a:ext uri="{FF2B5EF4-FFF2-40B4-BE49-F238E27FC236}">
                  <a16:creationId xmlns:a16="http://schemas.microsoft.com/office/drawing/2014/main" id="{00000000-0008-0000-7A00-000011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233938" name="Check Box 18" hidden="1">
              <a:extLst>
                <a:ext uri="{63B3BB69-23CF-44E3-9099-C40C66FF867C}">
                  <a14:compatExt spid="_x0000_s1233938"/>
                </a:ext>
                <a:ext uri="{FF2B5EF4-FFF2-40B4-BE49-F238E27FC236}">
                  <a16:creationId xmlns:a16="http://schemas.microsoft.com/office/drawing/2014/main" id="{00000000-0008-0000-7A00-000012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233939" name="Check Box 19" hidden="1">
              <a:extLst>
                <a:ext uri="{63B3BB69-23CF-44E3-9099-C40C66FF867C}">
                  <a14:compatExt spid="_x0000_s1233939"/>
                </a:ext>
                <a:ext uri="{FF2B5EF4-FFF2-40B4-BE49-F238E27FC236}">
                  <a16:creationId xmlns:a16="http://schemas.microsoft.com/office/drawing/2014/main" id="{00000000-0008-0000-7A00-000013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233940" name="Check Box 20" hidden="1">
              <a:extLst>
                <a:ext uri="{63B3BB69-23CF-44E3-9099-C40C66FF867C}">
                  <a14:compatExt spid="_x0000_s1233940"/>
                </a:ext>
                <a:ext uri="{FF2B5EF4-FFF2-40B4-BE49-F238E27FC236}">
                  <a16:creationId xmlns:a16="http://schemas.microsoft.com/office/drawing/2014/main" id="{00000000-0008-0000-7A00-000014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233941" name="Check Box 21" hidden="1">
              <a:extLst>
                <a:ext uri="{63B3BB69-23CF-44E3-9099-C40C66FF867C}">
                  <a14:compatExt spid="_x0000_s1233941"/>
                </a:ext>
                <a:ext uri="{FF2B5EF4-FFF2-40B4-BE49-F238E27FC236}">
                  <a16:creationId xmlns:a16="http://schemas.microsoft.com/office/drawing/2014/main" id="{00000000-0008-0000-7A00-000015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233942" name="Check Box 22" hidden="1">
              <a:extLst>
                <a:ext uri="{63B3BB69-23CF-44E3-9099-C40C66FF867C}">
                  <a14:compatExt spid="_x0000_s1233942"/>
                </a:ext>
                <a:ext uri="{FF2B5EF4-FFF2-40B4-BE49-F238E27FC236}">
                  <a16:creationId xmlns:a16="http://schemas.microsoft.com/office/drawing/2014/main" id="{00000000-0008-0000-7A00-000016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1233943" name="Check Box 23" hidden="1">
              <a:extLst>
                <a:ext uri="{63B3BB69-23CF-44E3-9099-C40C66FF867C}">
                  <a14:compatExt spid="_x0000_s1233943"/>
                </a:ext>
                <a:ext uri="{FF2B5EF4-FFF2-40B4-BE49-F238E27FC236}">
                  <a16:creationId xmlns:a16="http://schemas.microsoft.com/office/drawing/2014/main" id="{00000000-0008-0000-7A00-000017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1233944" name="Button 24" hidden="1">
              <a:extLst>
                <a:ext uri="{63B3BB69-23CF-44E3-9099-C40C66FF867C}">
                  <a14:compatExt spid="_x0000_s1233944"/>
                </a:ext>
                <a:ext uri="{FF2B5EF4-FFF2-40B4-BE49-F238E27FC236}">
                  <a16:creationId xmlns:a16="http://schemas.microsoft.com/office/drawing/2014/main" id="{00000000-0008-0000-7A00-000018D41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1233945" name="Button 25" hidden="1">
              <a:extLst>
                <a:ext uri="{63B3BB69-23CF-44E3-9099-C40C66FF867C}">
                  <a14:compatExt spid="_x0000_s1233945"/>
                </a:ext>
                <a:ext uri="{FF2B5EF4-FFF2-40B4-BE49-F238E27FC236}">
                  <a16:creationId xmlns:a16="http://schemas.microsoft.com/office/drawing/2014/main" id="{00000000-0008-0000-7A00-000019D41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1233946" name="Check Box 26" hidden="1">
              <a:extLst>
                <a:ext uri="{63B3BB69-23CF-44E3-9099-C40C66FF867C}">
                  <a14:compatExt spid="_x0000_s1233946"/>
                </a:ext>
                <a:ext uri="{FF2B5EF4-FFF2-40B4-BE49-F238E27FC236}">
                  <a16:creationId xmlns:a16="http://schemas.microsoft.com/office/drawing/2014/main" id="{00000000-0008-0000-7A00-00001AD41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1233947" name="Button 27" hidden="1">
              <a:extLst>
                <a:ext uri="{63B3BB69-23CF-44E3-9099-C40C66FF867C}">
                  <a14:compatExt spid="_x0000_s1233947"/>
                </a:ext>
                <a:ext uri="{FF2B5EF4-FFF2-40B4-BE49-F238E27FC236}">
                  <a16:creationId xmlns:a16="http://schemas.microsoft.com/office/drawing/2014/main" id="{00000000-0008-0000-7A00-00001B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1233948" name="Button 28" hidden="1">
              <a:extLst>
                <a:ext uri="{63B3BB69-23CF-44E3-9099-C40C66FF867C}">
                  <a14:compatExt spid="_x0000_s1233948"/>
                </a:ext>
                <a:ext uri="{FF2B5EF4-FFF2-40B4-BE49-F238E27FC236}">
                  <a16:creationId xmlns:a16="http://schemas.microsoft.com/office/drawing/2014/main" id="{00000000-0008-0000-7A00-00001C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233949" name="Button 29" hidden="1">
              <a:extLst>
                <a:ext uri="{63B3BB69-23CF-44E3-9099-C40C66FF867C}">
                  <a14:compatExt spid="_x0000_s1233949"/>
                </a:ext>
                <a:ext uri="{FF2B5EF4-FFF2-40B4-BE49-F238E27FC236}">
                  <a16:creationId xmlns:a16="http://schemas.microsoft.com/office/drawing/2014/main" id="{00000000-0008-0000-7A00-00001D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1233950" name="Button 30" hidden="1">
              <a:extLst>
                <a:ext uri="{63B3BB69-23CF-44E3-9099-C40C66FF867C}">
                  <a14:compatExt spid="_x0000_s1233950"/>
                </a:ext>
                <a:ext uri="{FF2B5EF4-FFF2-40B4-BE49-F238E27FC236}">
                  <a16:creationId xmlns:a16="http://schemas.microsoft.com/office/drawing/2014/main" id="{00000000-0008-0000-7A00-00001E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1233951" name="Button 31" hidden="1">
              <a:extLst>
                <a:ext uri="{63B3BB69-23CF-44E3-9099-C40C66FF867C}">
                  <a14:compatExt spid="_x0000_s1233951"/>
                </a:ext>
                <a:ext uri="{FF2B5EF4-FFF2-40B4-BE49-F238E27FC236}">
                  <a16:creationId xmlns:a16="http://schemas.microsoft.com/office/drawing/2014/main" id="{00000000-0008-0000-7A00-00001F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1233952" name="Button 32" hidden="1">
              <a:extLst>
                <a:ext uri="{63B3BB69-23CF-44E3-9099-C40C66FF867C}">
                  <a14:compatExt spid="_x0000_s1233952"/>
                </a:ext>
                <a:ext uri="{FF2B5EF4-FFF2-40B4-BE49-F238E27FC236}">
                  <a16:creationId xmlns:a16="http://schemas.microsoft.com/office/drawing/2014/main" id="{00000000-0008-0000-7A00-000020D4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drawings/drawing122.xml><?xml version="1.0" encoding="utf-8"?>
<xdr:wsDr xmlns:xdr="http://schemas.openxmlformats.org/drawingml/2006/spreadsheetDrawing" xmlns:a="http://schemas.openxmlformats.org/drawingml/2006/main">
  <xdr:twoCellAnchor>
    <xdr:from>
      <xdr:col>0</xdr:col>
      <xdr:colOff>28574</xdr:colOff>
      <xdr:row>11</xdr:row>
      <xdr:rowOff>57150</xdr:rowOff>
    </xdr:from>
    <xdr:to>
      <xdr:col>8</xdr:col>
      <xdr:colOff>866775</xdr:colOff>
      <xdr:row>19</xdr:row>
      <xdr:rowOff>133350</xdr:rowOff>
    </xdr:to>
    <xdr:sp macro="" textlink="">
      <xdr:nvSpPr>
        <xdr:cNvPr id="2" name="TextBox 1">
          <a:extLst>
            <a:ext uri="{FF2B5EF4-FFF2-40B4-BE49-F238E27FC236}">
              <a16:creationId xmlns:a16="http://schemas.microsoft.com/office/drawing/2014/main" id="{00000000-0008-0000-5800-000002000000}"/>
            </a:ext>
          </a:extLst>
        </xdr:cNvPr>
        <xdr:cNvSpPr txBox="1"/>
      </xdr:nvSpPr>
      <xdr:spPr>
        <a:xfrm>
          <a:off x="28574" y="21907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baseline="0">
              <a:solidFill>
                <a:srgbClr val="00B050"/>
              </a:solidFill>
            </a:rPr>
            <a:t>1. title &amp; POS</a:t>
          </a:r>
        </a:p>
        <a:p>
          <a:r>
            <a:rPr lang="en-AU" sz="800" baseline="0">
              <a:solidFill>
                <a:srgbClr val="00B050"/>
              </a:solidFill>
            </a:rPr>
            <a:t>2. Additional application fee</a:t>
          </a:r>
        </a:p>
        <a:p>
          <a:r>
            <a:rPr lang="en-AU" sz="800" baseline="0">
              <a:solidFill>
                <a:srgbClr val="00B050"/>
              </a:solidFill>
            </a:rPr>
            <a:t>3. car parking plan</a:t>
          </a:r>
        </a:p>
        <a:p>
          <a:r>
            <a:rPr lang="en-AU" sz="800" baseline="0">
              <a:solidFill>
                <a:srgbClr val="00B050"/>
              </a:solidFill>
            </a:rPr>
            <a:t>4. vehicle crossovers &amp; make entrance point 6.0m wide</a:t>
          </a:r>
        </a:p>
        <a:p>
          <a:r>
            <a:rPr lang="en-AU" sz="800" i="0" baseline="0">
              <a:solidFill>
                <a:srgbClr val="00B050"/>
              </a:solidFill>
            </a:rPr>
            <a:t>5. written statement as to why proposal is appropriate for : </a:t>
          </a:r>
          <a:r>
            <a:rPr lang="en-AU" sz="800" b="0" i="0" u="none" strike="noStrike" baseline="0">
              <a:solidFill>
                <a:srgbClr val="00B050"/>
              </a:solidFill>
              <a:latin typeface="+mn-lt"/>
              <a:ea typeface="+mn-ea"/>
              <a:cs typeface="+mn-cs"/>
            </a:rPr>
            <a:t>• Clause 15.01-2L – Environmentally sustainable development – whether an SDA Assessment is required will depend on the proposed use. • Clause 33.01 - Industrial 1 Zone • Clause 43.02 Design and Development Overlay – Schedule 20 • Clause 52.06 – Car parking </a:t>
          </a:r>
        </a:p>
        <a:p>
          <a:r>
            <a:rPr lang="en-AU" sz="800" b="0" i="0" u="none" strike="noStrike" baseline="0">
              <a:solidFill>
                <a:srgbClr val="00B050"/>
              </a:solidFill>
              <a:latin typeface="+mn-lt"/>
              <a:ea typeface="+mn-ea"/>
              <a:cs typeface="+mn-cs"/>
            </a:rPr>
            <a:t>6. Maintenance certificate from qualified plumber for septic</a:t>
          </a:r>
        </a:p>
        <a:p>
          <a:r>
            <a:rPr lang="en-AU" sz="800" b="0" i="0" u="none" strike="noStrike" baseline="0">
              <a:solidFill>
                <a:srgbClr val="00B050"/>
              </a:solidFill>
              <a:latin typeface="+mn-lt"/>
              <a:ea typeface="+mn-ea"/>
              <a:cs typeface="+mn-cs"/>
            </a:rPr>
            <a:t>7. Remove proposed LPOD </a:t>
          </a:r>
          <a:endParaRPr lang="en-AU" sz="800" baseline="0">
            <a:solidFill>
              <a:srgbClr val="00B050"/>
            </a:solidFill>
          </a:endParaRPr>
        </a:p>
        <a:p>
          <a:endParaRPr lang="en-AU" sz="11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58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1125377" name="Check Box 1" hidden="1">
              <a:extLst>
                <a:ext uri="{63B3BB69-23CF-44E3-9099-C40C66FF867C}">
                  <a14:compatExt spid="_x0000_s1125377"/>
                </a:ext>
                <a:ext uri="{FF2B5EF4-FFF2-40B4-BE49-F238E27FC236}">
                  <a16:creationId xmlns:a16="http://schemas.microsoft.com/office/drawing/2014/main" id="{00000000-0008-0000-7B00-000001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1125378" name="Check Box 2" hidden="1">
              <a:extLst>
                <a:ext uri="{63B3BB69-23CF-44E3-9099-C40C66FF867C}">
                  <a14:compatExt spid="_x0000_s1125378"/>
                </a:ext>
                <a:ext uri="{FF2B5EF4-FFF2-40B4-BE49-F238E27FC236}">
                  <a16:creationId xmlns:a16="http://schemas.microsoft.com/office/drawing/2014/main" id="{00000000-0008-0000-7B00-000002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1125379" name="Check Box 3" hidden="1">
              <a:extLst>
                <a:ext uri="{63B3BB69-23CF-44E3-9099-C40C66FF867C}">
                  <a14:compatExt spid="_x0000_s1125379"/>
                </a:ext>
                <a:ext uri="{FF2B5EF4-FFF2-40B4-BE49-F238E27FC236}">
                  <a16:creationId xmlns:a16="http://schemas.microsoft.com/office/drawing/2014/main" id="{00000000-0008-0000-7B00-000003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1125380" name="Check Box 4" hidden="1">
              <a:extLst>
                <a:ext uri="{63B3BB69-23CF-44E3-9099-C40C66FF867C}">
                  <a14:compatExt spid="_x0000_s1125380"/>
                </a:ext>
                <a:ext uri="{FF2B5EF4-FFF2-40B4-BE49-F238E27FC236}">
                  <a16:creationId xmlns:a16="http://schemas.microsoft.com/office/drawing/2014/main" id="{00000000-0008-0000-7B00-000004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1125381" name="Check Box 5" hidden="1">
              <a:extLst>
                <a:ext uri="{63B3BB69-23CF-44E3-9099-C40C66FF867C}">
                  <a14:compatExt spid="_x0000_s1125381"/>
                </a:ext>
                <a:ext uri="{FF2B5EF4-FFF2-40B4-BE49-F238E27FC236}">
                  <a16:creationId xmlns:a16="http://schemas.microsoft.com/office/drawing/2014/main" id="{00000000-0008-0000-7B00-000005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1125382" name="Check Box 6" hidden="1">
              <a:extLst>
                <a:ext uri="{63B3BB69-23CF-44E3-9099-C40C66FF867C}">
                  <a14:compatExt spid="_x0000_s1125382"/>
                </a:ext>
                <a:ext uri="{FF2B5EF4-FFF2-40B4-BE49-F238E27FC236}">
                  <a16:creationId xmlns:a16="http://schemas.microsoft.com/office/drawing/2014/main" id="{00000000-0008-0000-7B00-000006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1125383" name="Check Box 7" hidden="1">
              <a:extLst>
                <a:ext uri="{63B3BB69-23CF-44E3-9099-C40C66FF867C}">
                  <a14:compatExt spid="_x0000_s1125383"/>
                </a:ext>
                <a:ext uri="{FF2B5EF4-FFF2-40B4-BE49-F238E27FC236}">
                  <a16:creationId xmlns:a16="http://schemas.microsoft.com/office/drawing/2014/main" id="{00000000-0008-0000-7B00-000007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1125384" name="Check Box 8" hidden="1">
              <a:extLst>
                <a:ext uri="{63B3BB69-23CF-44E3-9099-C40C66FF867C}">
                  <a14:compatExt spid="_x0000_s1125384"/>
                </a:ext>
                <a:ext uri="{FF2B5EF4-FFF2-40B4-BE49-F238E27FC236}">
                  <a16:creationId xmlns:a16="http://schemas.microsoft.com/office/drawing/2014/main" id="{00000000-0008-0000-7B00-000008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1125385" name="Check Box 9" hidden="1">
              <a:extLst>
                <a:ext uri="{63B3BB69-23CF-44E3-9099-C40C66FF867C}">
                  <a14:compatExt spid="_x0000_s1125385"/>
                </a:ext>
                <a:ext uri="{FF2B5EF4-FFF2-40B4-BE49-F238E27FC236}">
                  <a16:creationId xmlns:a16="http://schemas.microsoft.com/office/drawing/2014/main" id="{00000000-0008-0000-7B00-000009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1125386" name="Check Box 10" hidden="1">
              <a:extLst>
                <a:ext uri="{63B3BB69-23CF-44E3-9099-C40C66FF867C}">
                  <a14:compatExt spid="_x0000_s1125386"/>
                </a:ext>
                <a:ext uri="{FF2B5EF4-FFF2-40B4-BE49-F238E27FC236}">
                  <a16:creationId xmlns:a16="http://schemas.microsoft.com/office/drawing/2014/main" id="{00000000-0008-0000-7B00-00000A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1125387" name="Check Box 11" hidden="1">
              <a:extLst>
                <a:ext uri="{63B3BB69-23CF-44E3-9099-C40C66FF867C}">
                  <a14:compatExt spid="_x0000_s1125387"/>
                </a:ext>
                <a:ext uri="{FF2B5EF4-FFF2-40B4-BE49-F238E27FC236}">
                  <a16:creationId xmlns:a16="http://schemas.microsoft.com/office/drawing/2014/main" id="{00000000-0008-0000-7B00-00000B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125388" name="Check Box 12" hidden="1">
              <a:extLst>
                <a:ext uri="{63B3BB69-23CF-44E3-9099-C40C66FF867C}">
                  <a14:compatExt spid="_x0000_s1125388"/>
                </a:ext>
                <a:ext uri="{FF2B5EF4-FFF2-40B4-BE49-F238E27FC236}">
                  <a16:creationId xmlns:a16="http://schemas.microsoft.com/office/drawing/2014/main" id="{00000000-0008-0000-7B00-00000C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1125389" name="Check Box 13" hidden="1">
              <a:extLst>
                <a:ext uri="{63B3BB69-23CF-44E3-9099-C40C66FF867C}">
                  <a14:compatExt spid="_x0000_s1125389"/>
                </a:ext>
                <a:ext uri="{FF2B5EF4-FFF2-40B4-BE49-F238E27FC236}">
                  <a16:creationId xmlns:a16="http://schemas.microsoft.com/office/drawing/2014/main" id="{00000000-0008-0000-7B00-00000D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1125390" name="Check Box 14" hidden="1">
              <a:extLst>
                <a:ext uri="{63B3BB69-23CF-44E3-9099-C40C66FF867C}">
                  <a14:compatExt spid="_x0000_s1125390"/>
                </a:ext>
                <a:ext uri="{FF2B5EF4-FFF2-40B4-BE49-F238E27FC236}">
                  <a16:creationId xmlns:a16="http://schemas.microsoft.com/office/drawing/2014/main" id="{00000000-0008-0000-7B00-00000E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1125391" name="Check Box 15" hidden="1">
              <a:extLst>
                <a:ext uri="{63B3BB69-23CF-44E3-9099-C40C66FF867C}">
                  <a14:compatExt spid="_x0000_s1125391"/>
                </a:ext>
                <a:ext uri="{FF2B5EF4-FFF2-40B4-BE49-F238E27FC236}">
                  <a16:creationId xmlns:a16="http://schemas.microsoft.com/office/drawing/2014/main" id="{00000000-0008-0000-7B00-00000F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1125392" name="Check Box 16" hidden="1">
              <a:extLst>
                <a:ext uri="{63B3BB69-23CF-44E3-9099-C40C66FF867C}">
                  <a14:compatExt spid="_x0000_s1125392"/>
                </a:ext>
                <a:ext uri="{FF2B5EF4-FFF2-40B4-BE49-F238E27FC236}">
                  <a16:creationId xmlns:a16="http://schemas.microsoft.com/office/drawing/2014/main" id="{00000000-0008-0000-7B00-000010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1125393" name="Check Box 17" hidden="1">
              <a:extLst>
                <a:ext uri="{63B3BB69-23CF-44E3-9099-C40C66FF867C}">
                  <a14:compatExt spid="_x0000_s1125393"/>
                </a:ext>
                <a:ext uri="{FF2B5EF4-FFF2-40B4-BE49-F238E27FC236}">
                  <a16:creationId xmlns:a16="http://schemas.microsoft.com/office/drawing/2014/main" id="{00000000-0008-0000-7B00-000011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1125394" name="Check Box 18" hidden="1">
              <a:extLst>
                <a:ext uri="{63B3BB69-23CF-44E3-9099-C40C66FF867C}">
                  <a14:compatExt spid="_x0000_s1125394"/>
                </a:ext>
                <a:ext uri="{FF2B5EF4-FFF2-40B4-BE49-F238E27FC236}">
                  <a16:creationId xmlns:a16="http://schemas.microsoft.com/office/drawing/2014/main" id="{00000000-0008-0000-7B00-000012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1125395" name="Check Box 19" hidden="1">
              <a:extLst>
                <a:ext uri="{63B3BB69-23CF-44E3-9099-C40C66FF867C}">
                  <a14:compatExt spid="_x0000_s1125395"/>
                </a:ext>
                <a:ext uri="{FF2B5EF4-FFF2-40B4-BE49-F238E27FC236}">
                  <a16:creationId xmlns:a16="http://schemas.microsoft.com/office/drawing/2014/main" id="{00000000-0008-0000-7B00-000013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1125396" name="Check Box 20" hidden="1">
              <a:extLst>
                <a:ext uri="{63B3BB69-23CF-44E3-9099-C40C66FF867C}">
                  <a14:compatExt spid="_x0000_s1125396"/>
                </a:ext>
                <a:ext uri="{FF2B5EF4-FFF2-40B4-BE49-F238E27FC236}">
                  <a16:creationId xmlns:a16="http://schemas.microsoft.com/office/drawing/2014/main" id="{00000000-0008-0000-7B00-000014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1125397" name="Check Box 21" hidden="1">
              <a:extLst>
                <a:ext uri="{63B3BB69-23CF-44E3-9099-C40C66FF867C}">
                  <a14:compatExt spid="_x0000_s1125397"/>
                </a:ext>
                <a:ext uri="{FF2B5EF4-FFF2-40B4-BE49-F238E27FC236}">
                  <a16:creationId xmlns:a16="http://schemas.microsoft.com/office/drawing/2014/main" id="{00000000-0008-0000-7B00-000015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1125398" name="Check Box 22" hidden="1">
              <a:extLst>
                <a:ext uri="{63B3BB69-23CF-44E3-9099-C40C66FF867C}">
                  <a14:compatExt spid="_x0000_s1125398"/>
                </a:ext>
                <a:ext uri="{FF2B5EF4-FFF2-40B4-BE49-F238E27FC236}">
                  <a16:creationId xmlns:a16="http://schemas.microsoft.com/office/drawing/2014/main" id="{00000000-0008-0000-7B00-000016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1125399" name="Check Box 23" hidden="1">
              <a:extLst>
                <a:ext uri="{63B3BB69-23CF-44E3-9099-C40C66FF867C}">
                  <a14:compatExt spid="_x0000_s1125399"/>
                </a:ext>
                <a:ext uri="{FF2B5EF4-FFF2-40B4-BE49-F238E27FC236}">
                  <a16:creationId xmlns:a16="http://schemas.microsoft.com/office/drawing/2014/main" id="{00000000-0008-0000-7B00-000017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1125400" name="Button 24" hidden="1">
              <a:extLst>
                <a:ext uri="{63B3BB69-23CF-44E3-9099-C40C66FF867C}">
                  <a14:compatExt spid="_x0000_s1125400"/>
                </a:ext>
                <a:ext uri="{FF2B5EF4-FFF2-40B4-BE49-F238E27FC236}">
                  <a16:creationId xmlns:a16="http://schemas.microsoft.com/office/drawing/2014/main" id="{00000000-0008-0000-7B00-0000182C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1125401" name="Button 25" hidden="1">
              <a:extLst>
                <a:ext uri="{63B3BB69-23CF-44E3-9099-C40C66FF867C}">
                  <a14:compatExt spid="_x0000_s1125401"/>
                </a:ext>
                <a:ext uri="{FF2B5EF4-FFF2-40B4-BE49-F238E27FC236}">
                  <a16:creationId xmlns:a16="http://schemas.microsoft.com/office/drawing/2014/main" id="{00000000-0008-0000-7B00-0000192C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1125402" name="Check Box 26" hidden="1">
              <a:extLst>
                <a:ext uri="{63B3BB69-23CF-44E3-9099-C40C66FF867C}">
                  <a14:compatExt spid="_x0000_s1125402"/>
                </a:ext>
                <a:ext uri="{FF2B5EF4-FFF2-40B4-BE49-F238E27FC236}">
                  <a16:creationId xmlns:a16="http://schemas.microsoft.com/office/drawing/2014/main" id="{00000000-0008-0000-7B00-00001A2C1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1125403" name="Button 27" hidden="1">
              <a:extLst>
                <a:ext uri="{63B3BB69-23CF-44E3-9099-C40C66FF867C}">
                  <a14:compatExt spid="_x0000_s1125403"/>
                </a:ext>
                <a:ext uri="{FF2B5EF4-FFF2-40B4-BE49-F238E27FC236}">
                  <a16:creationId xmlns:a16="http://schemas.microsoft.com/office/drawing/2014/main" id="{00000000-0008-0000-7B00-00001B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1125404" name="Button 28" hidden="1">
              <a:extLst>
                <a:ext uri="{63B3BB69-23CF-44E3-9099-C40C66FF867C}">
                  <a14:compatExt spid="_x0000_s1125404"/>
                </a:ext>
                <a:ext uri="{FF2B5EF4-FFF2-40B4-BE49-F238E27FC236}">
                  <a16:creationId xmlns:a16="http://schemas.microsoft.com/office/drawing/2014/main" id="{00000000-0008-0000-7B00-00001C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1125405" name="Button 29" hidden="1">
              <a:extLst>
                <a:ext uri="{63B3BB69-23CF-44E3-9099-C40C66FF867C}">
                  <a14:compatExt spid="_x0000_s1125405"/>
                </a:ext>
                <a:ext uri="{FF2B5EF4-FFF2-40B4-BE49-F238E27FC236}">
                  <a16:creationId xmlns:a16="http://schemas.microsoft.com/office/drawing/2014/main" id="{00000000-0008-0000-7B00-00001D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1125406" name="Button 30" hidden="1">
              <a:extLst>
                <a:ext uri="{63B3BB69-23CF-44E3-9099-C40C66FF867C}">
                  <a14:compatExt spid="_x0000_s1125406"/>
                </a:ext>
                <a:ext uri="{FF2B5EF4-FFF2-40B4-BE49-F238E27FC236}">
                  <a16:creationId xmlns:a16="http://schemas.microsoft.com/office/drawing/2014/main" id="{00000000-0008-0000-7B00-00001E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1125407" name="Button 31" hidden="1">
              <a:extLst>
                <a:ext uri="{63B3BB69-23CF-44E3-9099-C40C66FF867C}">
                  <a14:compatExt spid="_x0000_s1125407"/>
                </a:ext>
                <a:ext uri="{FF2B5EF4-FFF2-40B4-BE49-F238E27FC236}">
                  <a16:creationId xmlns:a16="http://schemas.microsoft.com/office/drawing/2014/main" id="{00000000-0008-0000-7B00-00001F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1125408" name="Button 32" hidden="1">
              <a:extLst>
                <a:ext uri="{63B3BB69-23CF-44E3-9099-C40C66FF867C}">
                  <a14:compatExt spid="_x0000_s1125408"/>
                </a:ext>
                <a:ext uri="{FF2B5EF4-FFF2-40B4-BE49-F238E27FC236}">
                  <a16:creationId xmlns:a16="http://schemas.microsoft.com/office/drawing/2014/main" id="{00000000-0008-0000-7B00-0000202C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drawings/drawing123.xml><?xml version="1.0" encoding="utf-8"?>
<xdr:wsDr xmlns:xdr="http://schemas.openxmlformats.org/drawingml/2006/spreadsheetDrawing" xmlns:a="http://schemas.openxmlformats.org/drawingml/2006/main">
  <xdr:twoCellAnchor>
    <xdr:from>
      <xdr:col>0</xdr:col>
      <xdr:colOff>28574</xdr:colOff>
      <xdr:row>11</xdr:row>
      <xdr:rowOff>57150</xdr:rowOff>
    </xdr:from>
    <xdr:to>
      <xdr:col>8</xdr:col>
      <xdr:colOff>866775</xdr:colOff>
      <xdr:row>19</xdr:row>
      <xdr:rowOff>133350</xdr:rowOff>
    </xdr:to>
    <xdr:sp macro="" textlink="">
      <xdr:nvSpPr>
        <xdr:cNvPr id="2" name="TextBox 1">
          <a:extLst>
            <a:ext uri="{FF2B5EF4-FFF2-40B4-BE49-F238E27FC236}">
              <a16:creationId xmlns:a16="http://schemas.microsoft.com/office/drawing/2014/main" id="{00000000-0008-0000-5A00-000002000000}"/>
            </a:ext>
          </a:extLst>
        </xdr:cNvPr>
        <xdr:cNvSpPr txBox="1"/>
      </xdr:nvSpPr>
      <xdr:spPr>
        <a:xfrm>
          <a:off x="28574" y="2190750"/>
          <a:ext cx="5715001" cy="1600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endParaRPr lang="en-AU" sz="11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5A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965633" name="Check Box 1" hidden="1">
              <a:extLst>
                <a:ext uri="{63B3BB69-23CF-44E3-9099-C40C66FF867C}">
                  <a14:compatExt spid="_x0000_s965633"/>
                </a:ext>
                <a:ext uri="{FF2B5EF4-FFF2-40B4-BE49-F238E27FC236}">
                  <a16:creationId xmlns:a16="http://schemas.microsoft.com/office/drawing/2014/main" id="{00000000-0008-0000-7C00-000001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965634" name="Check Box 2" hidden="1">
              <a:extLst>
                <a:ext uri="{63B3BB69-23CF-44E3-9099-C40C66FF867C}">
                  <a14:compatExt spid="_x0000_s965634"/>
                </a:ext>
                <a:ext uri="{FF2B5EF4-FFF2-40B4-BE49-F238E27FC236}">
                  <a16:creationId xmlns:a16="http://schemas.microsoft.com/office/drawing/2014/main" id="{00000000-0008-0000-7C00-000002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965635" name="Check Box 3" hidden="1">
              <a:extLst>
                <a:ext uri="{63B3BB69-23CF-44E3-9099-C40C66FF867C}">
                  <a14:compatExt spid="_x0000_s965635"/>
                </a:ext>
                <a:ext uri="{FF2B5EF4-FFF2-40B4-BE49-F238E27FC236}">
                  <a16:creationId xmlns:a16="http://schemas.microsoft.com/office/drawing/2014/main" id="{00000000-0008-0000-7C00-000003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965636" name="Check Box 4" hidden="1">
              <a:extLst>
                <a:ext uri="{63B3BB69-23CF-44E3-9099-C40C66FF867C}">
                  <a14:compatExt spid="_x0000_s965636"/>
                </a:ext>
                <a:ext uri="{FF2B5EF4-FFF2-40B4-BE49-F238E27FC236}">
                  <a16:creationId xmlns:a16="http://schemas.microsoft.com/office/drawing/2014/main" id="{00000000-0008-0000-7C00-000004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965637" name="Check Box 5" hidden="1">
              <a:extLst>
                <a:ext uri="{63B3BB69-23CF-44E3-9099-C40C66FF867C}">
                  <a14:compatExt spid="_x0000_s965637"/>
                </a:ext>
                <a:ext uri="{FF2B5EF4-FFF2-40B4-BE49-F238E27FC236}">
                  <a16:creationId xmlns:a16="http://schemas.microsoft.com/office/drawing/2014/main" id="{00000000-0008-0000-7C00-000005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965638" name="Check Box 6" hidden="1">
              <a:extLst>
                <a:ext uri="{63B3BB69-23CF-44E3-9099-C40C66FF867C}">
                  <a14:compatExt spid="_x0000_s965638"/>
                </a:ext>
                <a:ext uri="{FF2B5EF4-FFF2-40B4-BE49-F238E27FC236}">
                  <a16:creationId xmlns:a16="http://schemas.microsoft.com/office/drawing/2014/main" id="{00000000-0008-0000-7C00-000006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965639" name="Check Box 7" hidden="1">
              <a:extLst>
                <a:ext uri="{63B3BB69-23CF-44E3-9099-C40C66FF867C}">
                  <a14:compatExt spid="_x0000_s965639"/>
                </a:ext>
                <a:ext uri="{FF2B5EF4-FFF2-40B4-BE49-F238E27FC236}">
                  <a16:creationId xmlns:a16="http://schemas.microsoft.com/office/drawing/2014/main" id="{00000000-0008-0000-7C00-000007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965640" name="Check Box 8" hidden="1">
              <a:extLst>
                <a:ext uri="{63B3BB69-23CF-44E3-9099-C40C66FF867C}">
                  <a14:compatExt spid="_x0000_s965640"/>
                </a:ext>
                <a:ext uri="{FF2B5EF4-FFF2-40B4-BE49-F238E27FC236}">
                  <a16:creationId xmlns:a16="http://schemas.microsoft.com/office/drawing/2014/main" id="{00000000-0008-0000-7C00-000008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965641" name="Check Box 9" hidden="1">
              <a:extLst>
                <a:ext uri="{63B3BB69-23CF-44E3-9099-C40C66FF867C}">
                  <a14:compatExt spid="_x0000_s965641"/>
                </a:ext>
                <a:ext uri="{FF2B5EF4-FFF2-40B4-BE49-F238E27FC236}">
                  <a16:creationId xmlns:a16="http://schemas.microsoft.com/office/drawing/2014/main" id="{00000000-0008-0000-7C00-000009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965642" name="Check Box 10" hidden="1">
              <a:extLst>
                <a:ext uri="{63B3BB69-23CF-44E3-9099-C40C66FF867C}">
                  <a14:compatExt spid="_x0000_s965642"/>
                </a:ext>
                <a:ext uri="{FF2B5EF4-FFF2-40B4-BE49-F238E27FC236}">
                  <a16:creationId xmlns:a16="http://schemas.microsoft.com/office/drawing/2014/main" id="{00000000-0008-0000-7C00-00000A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965643" name="Check Box 11" hidden="1">
              <a:extLst>
                <a:ext uri="{63B3BB69-23CF-44E3-9099-C40C66FF867C}">
                  <a14:compatExt spid="_x0000_s965643"/>
                </a:ext>
                <a:ext uri="{FF2B5EF4-FFF2-40B4-BE49-F238E27FC236}">
                  <a16:creationId xmlns:a16="http://schemas.microsoft.com/office/drawing/2014/main" id="{00000000-0008-0000-7C00-00000B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965644" name="Check Box 12" hidden="1">
              <a:extLst>
                <a:ext uri="{63B3BB69-23CF-44E3-9099-C40C66FF867C}">
                  <a14:compatExt spid="_x0000_s965644"/>
                </a:ext>
                <a:ext uri="{FF2B5EF4-FFF2-40B4-BE49-F238E27FC236}">
                  <a16:creationId xmlns:a16="http://schemas.microsoft.com/office/drawing/2014/main" id="{00000000-0008-0000-7C00-00000C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965645" name="Check Box 13" hidden="1">
              <a:extLst>
                <a:ext uri="{63B3BB69-23CF-44E3-9099-C40C66FF867C}">
                  <a14:compatExt spid="_x0000_s965645"/>
                </a:ext>
                <a:ext uri="{FF2B5EF4-FFF2-40B4-BE49-F238E27FC236}">
                  <a16:creationId xmlns:a16="http://schemas.microsoft.com/office/drawing/2014/main" id="{00000000-0008-0000-7C00-00000D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965646" name="Check Box 14" hidden="1">
              <a:extLst>
                <a:ext uri="{63B3BB69-23CF-44E3-9099-C40C66FF867C}">
                  <a14:compatExt spid="_x0000_s965646"/>
                </a:ext>
                <a:ext uri="{FF2B5EF4-FFF2-40B4-BE49-F238E27FC236}">
                  <a16:creationId xmlns:a16="http://schemas.microsoft.com/office/drawing/2014/main" id="{00000000-0008-0000-7C00-00000E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965647" name="Check Box 15" hidden="1">
              <a:extLst>
                <a:ext uri="{63B3BB69-23CF-44E3-9099-C40C66FF867C}">
                  <a14:compatExt spid="_x0000_s965647"/>
                </a:ext>
                <a:ext uri="{FF2B5EF4-FFF2-40B4-BE49-F238E27FC236}">
                  <a16:creationId xmlns:a16="http://schemas.microsoft.com/office/drawing/2014/main" id="{00000000-0008-0000-7C00-00000F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965648" name="Check Box 16" hidden="1">
              <a:extLst>
                <a:ext uri="{63B3BB69-23CF-44E3-9099-C40C66FF867C}">
                  <a14:compatExt spid="_x0000_s965648"/>
                </a:ext>
                <a:ext uri="{FF2B5EF4-FFF2-40B4-BE49-F238E27FC236}">
                  <a16:creationId xmlns:a16="http://schemas.microsoft.com/office/drawing/2014/main" id="{00000000-0008-0000-7C00-000010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965649" name="Check Box 17" hidden="1">
              <a:extLst>
                <a:ext uri="{63B3BB69-23CF-44E3-9099-C40C66FF867C}">
                  <a14:compatExt spid="_x0000_s965649"/>
                </a:ext>
                <a:ext uri="{FF2B5EF4-FFF2-40B4-BE49-F238E27FC236}">
                  <a16:creationId xmlns:a16="http://schemas.microsoft.com/office/drawing/2014/main" id="{00000000-0008-0000-7C00-000011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965650" name="Check Box 18" hidden="1">
              <a:extLst>
                <a:ext uri="{63B3BB69-23CF-44E3-9099-C40C66FF867C}">
                  <a14:compatExt spid="_x0000_s965650"/>
                </a:ext>
                <a:ext uri="{FF2B5EF4-FFF2-40B4-BE49-F238E27FC236}">
                  <a16:creationId xmlns:a16="http://schemas.microsoft.com/office/drawing/2014/main" id="{00000000-0008-0000-7C00-000012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965651" name="Check Box 19" hidden="1">
              <a:extLst>
                <a:ext uri="{63B3BB69-23CF-44E3-9099-C40C66FF867C}">
                  <a14:compatExt spid="_x0000_s965651"/>
                </a:ext>
                <a:ext uri="{FF2B5EF4-FFF2-40B4-BE49-F238E27FC236}">
                  <a16:creationId xmlns:a16="http://schemas.microsoft.com/office/drawing/2014/main" id="{00000000-0008-0000-7C00-000013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965652" name="Check Box 20" hidden="1">
              <a:extLst>
                <a:ext uri="{63B3BB69-23CF-44E3-9099-C40C66FF867C}">
                  <a14:compatExt spid="_x0000_s965652"/>
                </a:ext>
                <a:ext uri="{FF2B5EF4-FFF2-40B4-BE49-F238E27FC236}">
                  <a16:creationId xmlns:a16="http://schemas.microsoft.com/office/drawing/2014/main" id="{00000000-0008-0000-7C00-000014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965653" name="Check Box 21" hidden="1">
              <a:extLst>
                <a:ext uri="{63B3BB69-23CF-44E3-9099-C40C66FF867C}">
                  <a14:compatExt spid="_x0000_s965653"/>
                </a:ext>
                <a:ext uri="{FF2B5EF4-FFF2-40B4-BE49-F238E27FC236}">
                  <a16:creationId xmlns:a16="http://schemas.microsoft.com/office/drawing/2014/main" id="{00000000-0008-0000-7C00-000015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965654" name="Check Box 22" hidden="1">
              <a:extLst>
                <a:ext uri="{63B3BB69-23CF-44E3-9099-C40C66FF867C}">
                  <a14:compatExt spid="_x0000_s965654"/>
                </a:ext>
                <a:ext uri="{FF2B5EF4-FFF2-40B4-BE49-F238E27FC236}">
                  <a16:creationId xmlns:a16="http://schemas.microsoft.com/office/drawing/2014/main" id="{00000000-0008-0000-7C00-000016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965655" name="Check Box 23" hidden="1">
              <a:extLst>
                <a:ext uri="{63B3BB69-23CF-44E3-9099-C40C66FF867C}">
                  <a14:compatExt spid="_x0000_s965655"/>
                </a:ext>
                <a:ext uri="{FF2B5EF4-FFF2-40B4-BE49-F238E27FC236}">
                  <a16:creationId xmlns:a16="http://schemas.microsoft.com/office/drawing/2014/main" id="{00000000-0008-0000-7C00-000017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965656" name="Button 24" hidden="1">
              <a:extLst>
                <a:ext uri="{63B3BB69-23CF-44E3-9099-C40C66FF867C}">
                  <a14:compatExt spid="_x0000_s965656"/>
                </a:ext>
                <a:ext uri="{FF2B5EF4-FFF2-40B4-BE49-F238E27FC236}">
                  <a16:creationId xmlns:a16="http://schemas.microsoft.com/office/drawing/2014/main" id="{00000000-0008-0000-7C00-000018BC0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965657" name="Button 25" hidden="1">
              <a:extLst>
                <a:ext uri="{63B3BB69-23CF-44E3-9099-C40C66FF867C}">
                  <a14:compatExt spid="_x0000_s965657"/>
                </a:ext>
                <a:ext uri="{FF2B5EF4-FFF2-40B4-BE49-F238E27FC236}">
                  <a16:creationId xmlns:a16="http://schemas.microsoft.com/office/drawing/2014/main" id="{00000000-0008-0000-7C00-000019BC0E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965658" name="Check Box 26" hidden="1">
              <a:extLst>
                <a:ext uri="{63B3BB69-23CF-44E3-9099-C40C66FF867C}">
                  <a14:compatExt spid="_x0000_s965658"/>
                </a:ext>
                <a:ext uri="{FF2B5EF4-FFF2-40B4-BE49-F238E27FC236}">
                  <a16:creationId xmlns:a16="http://schemas.microsoft.com/office/drawing/2014/main" id="{00000000-0008-0000-7C00-00001ABC0E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965659" name="Button 27" hidden="1">
              <a:extLst>
                <a:ext uri="{63B3BB69-23CF-44E3-9099-C40C66FF867C}">
                  <a14:compatExt spid="_x0000_s965659"/>
                </a:ext>
                <a:ext uri="{FF2B5EF4-FFF2-40B4-BE49-F238E27FC236}">
                  <a16:creationId xmlns:a16="http://schemas.microsoft.com/office/drawing/2014/main" id="{00000000-0008-0000-7C00-00001B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965660" name="Button 28" hidden="1">
              <a:extLst>
                <a:ext uri="{63B3BB69-23CF-44E3-9099-C40C66FF867C}">
                  <a14:compatExt spid="_x0000_s965660"/>
                </a:ext>
                <a:ext uri="{FF2B5EF4-FFF2-40B4-BE49-F238E27FC236}">
                  <a16:creationId xmlns:a16="http://schemas.microsoft.com/office/drawing/2014/main" id="{00000000-0008-0000-7C00-00001C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965661" name="Button 29" hidden="1">
              <a:extLst>
                <a:ext uri="{63B3BB69-23CF-44E3-9099-C40C66FF867C}">
                  <a14:compatExt spid="_x0000_s965661"/>
                </a:ext>
                <a:ext uri="{FF2B5EF4-FFF2-40B4-BE49-F238E27FC236}">
                  <a16:creationId xmlns:a16="http://schemas.microsoft.com/office/drawing/2014/main" id="{00000000-0008-0000-7C00-00001D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965662" name="Button 30" hidden="1">
              <a:extLst>
                <a:ext uri="{63B3BB69-23CF-44E3-9099-C40C66FF867C}">
                  <a14:compatExt spid="_x0000_s965662"/>
                </a:ext>
                <a:ext uri="{FF2B5EF4-FFF2-40B4-BE49-F238E27FC236}">
                  <a16:creationId xmlns:a16="http://schemas.microsoft.com/office/drawing/2014/main" id="{00000000-0008-0000-7C00-00001E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965663" name="Button 31" hidden="1">
              <a:extLst>
                <a:ext uri="{63B3BB69-23CF-44E3-9099-C40C66FF867C}">
                  <a14:compatExt spid="_x0000_s965663"/>
                </a:ext>
                <a:ext uri="{FF2B5EF4-FFF2-40B4-BE49-F238E27FC236}">
                  <a16:creationId xmlns:a16="http://schemas.microsoft.com/office/drawing/2014/main" id="{00000000-0008-0000-7C00-00001F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965664" name="Button 32" hidden="1">
              <a:extLst>
                <a:ext uri="{63B3BB69-23CF-44E3-9099-C40C66FF867C}">
                  <a14:compatExt spid="_x0000_s965664"/>
                </a:ext>
                <a:ext uri="{FF2B5EF4-FFF2-40B4-BE49-F238E27FC236}">
                  <a16:creationId xmlns:a16="http://schemas.microsoft.com/office/drawing/2014/main" id="{00000000-0008-0000-7C00-000020B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drawings/drawing124.xml><?xml version="1.0" encoding="utf-8"?>
<xdr:wsDr xmlns:xdr="http://schemas.openxmlformats.org/drawingml/2006/spreadsheetDrawing" xmlns:a="http://schemas.openxmlformats.org/drawingml/2006/main">
  <xdr:twoCellAnchor>
    <xdr:from>
      <xdr:col>0</xdr:col>
      <xdr:colOff>28574</xdr:colOff>
      <xdr:row>11</xdr:row>
      <xdr:rowOff>57149</xdr:rowOff>
    </xdr:from>
    <xdr:to>
      <xdr:col>8</xdr:col>
      <xdr:colOff>866775</xdr:colOff>
      <xdr:row>20</xdr:row>
      <xdr:rowOff>180974</xdr:rowOff>
    </xdr:to>
    <xdr:sp macro="" textlink="">
      <xdr:nvSpPr>
        <xdr:cNvPr id="2" name="TextBox 1">
          <a:extLst>
            <a:ext uri="{FF2B5EF4-FFF2-40B4-BE49-F238E27FC236}">
              <a16:creationId xmlns:a16="http://schemas.microsoft.com/office/drawing/2014/main" id="{00000000-0008-0000-6100-000002000000}"/>
            </a:ext>
          </a:extLst>
        </xdr:cNvPr>
        <xdr:cNvSpPr txBox="1"/>
      </xdr:nvSpPr>
      <xdr:spPr>
        <a:xfrm>
          <a:off x="28574" y="2190749"/>
          <a:ext cx="5715001"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800"/>
            <a:t>Permit</a:t>
          </a:r>
          <a:r>
            <a:rPr lang="en-AU" sz="800" baseline="0"/>
            <a:t> Log</a:t>
          </a:r>
        </a:p>
        <a:p>
          <a:r>
            <a:rPr lang="en-AU" sz="800">
              <a:solidFill>
                <a:sysClr val="windowText" lastClr="000000"/>
              </a:solidFill>
              <a:effectLst/>
              <a:latin typeface="+mn-lt"/>
              <a:ea typeface="+mn-ea"/>
              <a:cs typeface="+mn-cs"/>
            </a:rPr>
            <a:t>Updated quote with soil report removed. </a:t>
          </a:r>
        </a:p>
        <a:p>
          <a:r>
            <a:rPr lang="en-AU" sz="800">
              <a:solidFill>
                <a:srgbClr val="00B050"/>
              </a:solidFill>
              <a:effectLst/>
              <a:latin typeface="+mn-lt"/>
              <a:ea typeface="+mn-ea"/>
              <a:cs typeface="+mn-cs"/>
            </a:rPr>
            <a:t>+ Retaining wall. Along right side of fence for 9.0m </a:t>
          </a:r>
        </a:p>
        <a:p>
          <a:r>
            <a:rPr lang="en-AU" sz="800">
              <a:solidFill>
                <a:srgbClr val="00B050"/>
              </a:solidFill>
              <a:effectLst/>
              <a:latin typeface="+mn-lt"/>
              <a:ea typeface="+mn-ea"/>
              <a:cs typeface="+mn-cs"/>
            </a:rPr>
            <a:t>part left rollerdoor is 300mm slab for hoist 4m drop from back of fence.</a:t>
          </a:r>
        </a:p>
        <a:p>
          <a:r>
            <a:rPr lang="en-AU" sz="800">
              <a:solidFill>
                <a:srgbClr val="00B050"/>
              </a:solidFill>
              <a:effectLst/>
              <a:latin typeface="+mn-lt"/>
              <a:ea typeface="+mn-ea"/>
              <a:cs typeface="+mn-cs"/>
            </a:rPr>
            <a:t>Engineering, cert compliance, Soil report 3.6+200mm</a:t>
          </a:r>
        </a:p>
        <a:p>
          <a:r>
            <a:rPr lang="en-AU" sz="800">
              <a:solidFill>
                <a:srgbClr val="00B050"/>
              </a:solidFill>
              <a:effectLst/>
              <a:latin typeface="+mn-lt"/>
              <a:ea typeface="+mn-ea"/>
              <a:cs typeface="+mn-cs"/>
            </a:rPr>
            <a:t>500mm off back</a:t>
          </a:r>
        </a:p>
        <a:p>
          <a:r>
            <a:rPr lang="en-AU" sz="800" b="0" i="0" u="none" strike="noStrike" baseline="0">
              <a:solidFill>
                <a:srgbClr val="00B050"/>
              </a:solidFill>
              <a:latin typeface="+mn-lt"/>
              <a:ea typeface="+mn-ea"/>
              <a:cs typeface="+mn-cs"/>
            </a:rPr>
            <a:t>1. Confirm with council if planning approval required - multiple overlays</a:t>
          </a:r>
        </a:p>
        <a:p>
          <a:r>
            <a:rPr lang="en-AU" sz="800" b="0" i="0" u="none" strike="noStrike" baseline="0">
              <a:solidFill>
                <a:srgbClr val="00B050"/>
              </a:solidFill>
              <a:latin typeface="+mn-lt"/>
              <a:ea typeface="+mn-ea"/>
              <a:cs typeface="+mn-cs"/>
            </a:rPr>
            <a:t>2. Provide all engineering / elevation docs (OWNER PROVIDING CUSTOMS)</a:t>
          </a:r>
        </a:p>
        <a:p>
          <a:r>
            <a:rPr lang="en-AU" sz="800" b="0" i="0" u="none" strike="noStrike" baseline="0">
              <a:solidFill>
                <a:srgbClr val="00B050"/>
              </a:solidFill>
              <a:latin typeface="+mn-lt"/>
              <a:ea typeface="+mn-ea"/>
              <a:cs typeface="+mn-cs"/>
            </a:rPr>
            <a:t>3. Provide buildover from council and sewer authority</a:t>
          </a:r>
        </a:p>
        <a:p>
          <a:r>
            <a:rPr lang="en-AU" sz="800" b="0" i="0" u="none" strike="noStrike" baseline="0">
              <a:solidFill>
                <a:schemeClr val="dk1"/>
              </a:solidFill>
              <a:latin typeface="+mn-lt"/>
              <a:ea typeface="+mn-ea"/>
              <a:cs typeface="+mn-cs"/>
            </a:rPr>
            <a:t>4. Provide owner builder cert from vba</a:t>
          </a:r>
        </a:p>
        <a:p>
          <a:r>
            <a:rPr lang="en-AU" sz="800" b="0" i="0" u="none" strike="noStrike" baseline="0">
              <a:solidFill>
                <a:schemeClr val="accent4"/>
              </a:solidFill>
              <a:latin typeface="+mn-lt"/>
              <a:ea typeface="+mn-ea"/>
              <a:cs typeface="+mn-cs"/>
            </a:rPr>
            <a:t>5. Provide R&amp;c reg 79 - 570mm &amp; 900mm offset</a:t>
          </a:r>
        </a:p>
        <a:p>
          <a:r>
            <a:rPr lang="en-AU" sz="800" b="0" i="0" u="none" strike="noStrike" baseline="0">
              <a:solidFill>
                <a:srgbClr val="00B050"/>
              </a:solidFill>
              <a:latin typeface="+mn-lt"/>
              <a:ea typeface="+mn-ea"/>
              <a:cs typeface="+mn-cs"/>
            </a:rPr>
            <a:t>6. The site plan details slope integrals of 100mm - is this the area adjacent to the shed site and we</a:t>
          </a:r>
        </a:p>
        <a:p>
          <a:r>
            <a:rPr lang="en-AU" sz="800" b="0" i="0" u="none" strike="noStrike" baseline="0">
              <a:solidFill>
                <a:srgbClr val="00B050"/>
              </a:solidFill>
              <a:latin typeface="+mn-lt"/>
              <a:ea typeface="+mn-ea"/>
              <a:cs typeface="+mn-cs"/>
            </a:rPr>
            <a:t>already have a flat shed site or is there a cut proposed on the shed site.</a:t>
          </a:r>
          <a:endParaRPr lang="en-AU" sz="800">
            <a:solidFill>
              <a:srgbClr val="00B050"/>
            </a:solidFill>
            <a:effectLst/>
            <a:latin typeface="+mn-lt"/>
            <a:ea typeface="+mn-ea"/>
            <a:cs typeface="+mn-cs"/>
          </a:endParaRPr>
        </a:p>
        <a:p>
          <a:endParaRPr lang="en-AU" sz="800"/>
        </a:p>
      </xdr:txBody>
    </xdr:sp>
    <xdr:clientData/>
  </xdr:twoCellAnchor>
  <xdr:twoCellAnchor editAs="oneCell">
    <xdr:from>
      <xdr:col>7</xdr:col>
      <xdr:colOff>238125</xdr:colOff>
      <xdr:row>0</xdr:row>
      <xdr:rowOff>61409</xdr:rowOff>
    </xdr:from>
    <xdr:to>
      <xdr:col>8</xdr:col>
      <xdr:colOff>809231</xdr:colOff>
      <xdr:row>3</xdr:row>
      <xdr:rowOff>142648</xdr:rowOff>
    </xdr:to>
    <xdr:pic>
      <xdr:nvPicPr>
        <xdr:cNvPr id="3" name="Picture 2">
          <a:extLst>
            <a:ext uri="{FF2B5EF4-FFF2-40B4-BE49-F238E27FC236}">
              <a16:creationId xmlns:a16="http://schemas.microsoft.com/office/drawing/2014/main" id="{00000000-0008-0000-6100-000003000000}"/>
            </a:ext>
          </a:extLst>
        </xdr:cNvPr>
        <xdr:cNvPicPr>
          <a:picLocks noChangeAspect="1"/>
        </xdr:cNvPicPr>
      </xdr:nvPicPr>
      <xdr:blipFill>
        <a:blip xmlns:r="http://schemas.openxmlformats.org/officeDocument/2006/relationships" r:embed="rId1"/>
        <a:stretch>
          <a:fillRect/>
        </a:stretch>
      </xdr:blipFill>
      <xdr:spPr>
        <a:xfrm>
          <a:off x="4505325" y="61409"/>
          <a:ext cx="1180706" cy="681314"/>
        </a:xfrm>
        <a:prstGeom prst="rect">
          <a:avLst/>
        </a:prstGeom>
      </xdr:spPr>
    </xdr:pic>
    <xdr:clientData/>
  </xdr:twoCellAnchor>
  <xdr:twoCellAnchor>
    <xdr:from>
      <xdr:col>7</xdr:col>
      <xdr:colOff>95250</xdr:colOff>
      <xdr:row>11</xdr:row>
      <xdr:rowOff>66675</xdr:rowOff>
    </xdr:from>
    <xdr:to>
      <xdr:col>13</xdr:col>
      <xdr:colOff>190501</xdr:colOff>
      <xdr:row>20</xdr:row>
      <xdr:rowOff>142874</xdr:rowOff>
    </xdr:to>
    <xdr:sp macro="" textlink="">
      <xdr:nvSpPr>
        <xdr:cNvPr id="4" name="TextBox 3">
          <a:extLst>
            <a:ext uri="{FF2B5EF4-FFF2-40B4-BE49-F238E27FC236}">
              <a16:creationId xmlns:a16="http://schemas.microsoft.com/office/drawing/2014/main" id="{00000000-0008-0000-6100-000004000000}"/>
            </a:ext>
          </a:extLst>
        </xdr:cNvPr>
        <xdr:cNvSpPr txBox="1"/>
      </xdr:nvSpPr>
      <xdr:spPr>
        <a:xfrm>
          <a:off x="4362450" y="2200275"/>
          <a:ext cx="4086226" cy="17906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0" i="0" u="none" strike="noStrike" baseline="0">
              <a:solidFill>
                <a:srgbClr val="00B050"/>
              </a:solidFill>
              <a:latin typeface="+mn-lt"/>
              <a:ea typeface="+mn-ea"/>
              <a:cs typeface="+mn-cs"/>
            </a:rPr>
            <a:t>1. Provide amended engineering - these docs show the shed over the sewer - but the shed has moved</a:t>
          </a:r>
        </a:p>
        <a:p>
          <a:r>
            <a:rPr lang="en-AU" sz="1100" b="0" i="0" u="none" strike="noStrike" baseline="0">
              <a:solidFill>
                <a:srgbClr val="00B050"/>
              </a:solidFill>
              <a:latin typeface="+mn-lt"/>
              <a:ea typeface="+mn-ea"/>
              <a:cs typeface="+mn-cs"/>
            </a:rPr>
            <a:t>out of the easement</a:t>
          </a:r>
        </a:p>
        <a:p>
          <a:r>
            <a:rPr lang="en-AU" sz="1100" b="0" i="0" u="none" strike="noStrike" baseline="0">
              <a:solidFill>
                <a:schemeClr val="dk1"/>
              </a:solidFill>
              <a:latin typeface="+mn-lt"/>
              <a:ea typeface="+mn-ea"/>
              <a:cs typeface="+mn-cs"/>
            </a:rPr>
            <a:t>2. Provide owner builder cert</a:t>
          </a:r>
        </a:p>
        <a:p>
          <a:r>
            <a:rPr lang="en-AU" sz="1100" b="0" i="0" u="none" strike="noStrike" baseline="0">
              <a:solidFill>
                <a:schemeClr val="dk1"/>
              </a:solidFill>
              <a:latin typeface="+mn-lt"/>
              <a:ea typeface="+mn-ea"/>
              <a:cs typeface="+mn-cs"/>
            </a:rPr>
            <a:t>3. Provide owner builder cert from vba</a:t>
          </a:r>
        </a:p>
        <a:p>
          <a:r>
            <a:rPr lang="en-AU" sz="1100" b="0" i="0" u="none" strike="noStrike" baseline="0">
              <a:solidFill>
                <a:schemeClr val="dk1"/>
              </a:solidFill>
              <a:latin typeface="+mn-lt"/>
              <a:ea typeface="+mn-ea"/>
              <a:cs typeface="+mn-cs"/>
            </a:rPr>
            <a:t>4. Provide R&amp;C reg 80</a:t>
          </a:r>
        </a:p>
        <a:p>
          <a:r>
            <a:rPr lang="en-AU" sz="1100" b="0" i="0" u="none" strike="noStrike" baseline="0">
              <a:solidFill>
                <a:srgbClr val="00B050"/>
              </a:solidFill>
              <a:latin typeface="+mn-lt"/>
              <a:ea typeface="+mn-ea"/>
              <a:cs typeface="+mn-cs"/>
            </a:rPr>
            <a:t>5. The site plan details a .900mm cut - where is this, is it adjacent to the boundary - if so how do you</a:t>
          </a:r>
        </a:p>
        <a:p>
          <a:r>
            <a:rPr lang="en-AU" sz="1100" b="0" i="0" u="none" strike="noStrike" baseline="0">
              <a:solidFill>
                <a:srgbClr val="00B050"/>
              </a:solidFill>
              <a:latin typeface="+mn-lt"/>
              <a:ea typeface="+mn-ea"/>
              <a:cs typeface="+mn-cs"/>
            </a:rPr>
            <a:t>propose to do this.</a:t>
          </a:r>
          <a:endParaRPr lang="en-AU" sz="800">
            <a:solidFill>
              <a:srgbClr val="00B05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29</xdr:row>
          <xdr:rowOff>28575</xdr:rowOff>
        </xdr:to>
        <xdr:sp macro="" textlink="">
          <xdr:nvSpPr>
            <xdr:cNvPr id="232449" name="Check Box 1" hidden="1">
              <a:extLst>
                <a:ext uri="{63B3BB69-23CF-44E3-9099-C40C66FF867C}">
                  <a14:compatExt spid="_x0000_s232449"/>
                </a:ext>
                <a:ext uri="{FF2B5EF4-FFF2-40B4-BE49-F238E27FC236}">
                  <a16:creationId xmlns:a16="http://schemas.microsoft.com/office/drawing/2014/main" id="{00000000-0008-0000-7D00-000001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295275</xdr:colOff>
          <xdr:row>30</xdr:row>
          <xdr:rowOff>28575</xdr:rowOff>
        </xdr:to>
        <xdr:sp macro="" textlink="">
          <xdr:nvSpPr>
            <xdr:cNvPr id="232450" name="Check Box 2" hidden="1">
              <a:extLst>
                <a:ext uri="{63B3BB69-23CF-44E3-9099-C40C66FF867C}">
                  <a14:compatExt spid="_x0000_s232450"/>
                </a:ext>
                <a:ext uri="{FF2B5EF4-FFF2-40B4-BE49-F238E27FC236}">
                  <a16:creationId xmlns:a16="http://schemas.microsoft.com/office/drawing/2014/main" id="{00000000-0008-0000-7D00-000002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28575</xdr:rowOff>
        </xdr:to>
        <xdr:sp macro="" textlink="">
          <xdr:nvSpPr>
            <xdr:cNvPr id="232451" name="Check Box 3" hidden="1">
              <a:extLst>
                <a:ext uri="{63B3BB69-23CF-44E3-9099-C40C66FF867C}">
                  <a14:compatExt spid="_x0000_s232451"/>
                </a:ext>
                <a:ext uri="{FF2B5EF4-FFF2-40B4-BE49-F238E27FC236}">
                  <a16:creationId xmlns:a16="http://schemas.microsoft.com/office/drawing/2014/main" id="{00000000-0008-0000-7D00-000003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32</xdr:row>
          <xdr:rowOff>28575</xdr:rowOff>
        </xdr:to>
        <xdr:sp macro="" textlink="">
          <xdr:nvSpPr>
            <xdr:cNvPr id="232452" name="Check Box 4" hidden="1">
              <a:extLst>
                <a:ext uri="{63B3BB69-23CF-44E3-9099-C40C66FF867C}">
                  <a14:compatExt spid="_x0000_s232452"/>
                </a:ext>
                <a:ext uri="{FF2B5EF4-FFF2-40B4-BE49-F238E27FC236}">
                  <a16:creationId xmlns:a16="http://schemas.microsoft.com/office/drawing/2014/main" id="{00000000-0008-0000-7D00-000004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27</xdr:row>
          <xdr:rowOff>171450</xdr:rowOff>
        </xdr:from>
        <xdr:to>
          <xdr:col>4</xdr:col>
          <xdr:colOff>285750</xdr:colOff>
          <xdr:row>29</xdr:row>
          <xdr:rowOff>9525</xdr:rowOff>
        </xdr:to>
        <xdr:sp macro="" textlink="">
          <xdr:nvSpPr>
            <xdr:cNvPr id="232453" name="Check Box 5" hidden="1">
              <a:extLst>
                <a:ext uri="{63B3BB69-23CF-44E3-9099-C40C66FF867C}">
                  <a14:compatExt spid="_x0000_s232453"/>
                </a:ext>
                <a:ext uri="{FF2B5EF4-FFF2-40B4-BE49-F238E27FC236}">
                  <a16:creationId xmlns:a16="http://schemas.microsoft.com/office/drawing/2014/main" id="{00000000-0008-0000-7D00-000005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28</xdr:row>
          <xdr:rowOff>171450</xdr:rowOff>
        </xdr:from>
        <xdr:to>
          <xdr:col>4</xdr:col>
          <xdr:colOff>285750</xdr:colOff>
          <xdr:row>30</xdr:row>
          <xdr:rowOff>9525</xdr:rowOff>
        </xdr:to>
        <xdr:sp macro="" textlink="">
          <xdr:nvSpPr>
            <xdr:cNvPr id="232454" name="Check Box 6" hidden="1">
              <a:extLst>
                <a:ext uri="{63B3BB69-23CF-44E3-9099-C40C66FF867C}">
                  <a14:compatExt spid="_x0000_s232454"/>
                </a:ext>
                <a:ext uri="{FF2B5EF4-FFF2-40B4-BE49-F238E27FC236}">
                  <a16:creationId xmlns:a16="http://schemas.microsoft.com/office/drawing/2014/main" id="{00000000-0008-0000-7D00-000006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29</xdr:row>
          <xdr:rowOff>171450</xdr:rowOff>
        </xdr:from>
        <xdr:to>
          <xdr:col>4</xdr:col>
          <xdr:colOff>285750</xdr:colOff>
          <xdr:row>31</xdr:row>
          <xdr:rowOff>9525</xdr:rowOff>
        </xdr:to>
        <xdr:sp macro="" textlink="">
          <xdr:nvSpPr>
            <xdr:cNvPr id="232455" name="Check Box 7" hidden="1">
              <a:extLst>
                <a:ext uri="{63B3BB69-23CF-44E3-9099-C40C66FF867C}">
                  <a14:compatExt spid="_x0000_s232455"/>
                </a:ext>
                <a:ext uri="{FF2B5EF4-FFF2-40B4-BE49-F238E27FC236}">
                  <a16:creationId xmlns:a16="http://schemas.microsoft.com/office/drawing/2014/main" id="{00000000-0008-0000-7D00-000007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28575</xdr:rowOff>
        </xdr:to>
        <xdr:sp macro="" textlink="">
          <xdr:nvSpPr>
            <xdr:cNvPr id="232456" name="Check Box 8" hidden="1">
              <a:extLst>
                <a:ext uri="{63B3BB69-23CF-44E3-9099-C40C66FF867C}">
                  <a14:compatExt spid="_x0000_s232456"/>
                </a:ext>
                <a:ext uri="{FF2B5EF4-FFF2-40B4-BE49-F238E27FC236}">
                  <a16:creationId xmlns:a16="http://schemas.microsoft.com/office/drawing/2014/main" id="{00000000-0008-0000-7D00-000008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295275</xdr:colOff>
          <xdr:row>35</xdr:row>
          <xdr:rowOff>28575</xdr:rowOff>
        </xdr:to>
        <xdr:sp macro="" textlink="">
          <xdr:nvSpPr>
            <xdr:cNvPr id="232457" name="Check Box 9" hidden="1">
              <a:extLst>
                <a:ext uri="{63B3BB69-23CF-44E3-9099-C40C66FF867C}">
                  <a14:compatExt spid="_x0000_s232457"/>
                </a:ext>
                <a:ext uri="{FF2B5EF4-FFF2-40B4-BE49-F238E27FC236}">
                  <a16:creationId xmlns:a16="http://schemas.microsoft.com/office/drawing/2014/main" id="{00000000-0008-0000-7D00-000009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28575</xdr:rowOff>
        </xdr:to>
        <xdr:sp macro="" textlink="">
          <xdr:nvSpPr>
            <xdr:cNvPr id="232458" name="Check Box 10" hidden="1">
              <a:extLst>
                <a:ext uri="{63B3BB69-23CF-44E3-9099-C40C66FF867C}">
                  <a14:compatExt spid="_x0000_s232458"/>
                </a:ext>
                <a:ext uri="{FF2B5EF4-FFF2-40B4-BE49-F238E27FC236}">
                  <a16:creationId xmlns:a16="http://schemas.microsoft.com/office/drawing/2014/main" id="{00000000-0008-0000-7D00-00000A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28575</xdr:rowOff>
        </xdr:to>
        <xdr:sp macro="" textlink="">
          <xdr:nvSpPr>
            <xdr:cNvPr id="232459" name="Check Box 11" hidden="1">
              <a:extLst>
                <a:ext uri="{63B3BB69-23CF-44E3-9099-C40C66FF867C}">
                  <a14:compatExt spid="_x0000_s232459"/>
                </a:ext>
                <a:ext uri="{FF2B5EF4-FFF2-40B4-BE49-F238E27FC236}">
                  <a16:creationId xmlns:a16="http://schemas.microsoft.com/office/drawing/2014/main" id="{00000000-0008-0000-7D00-00000B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232460" name="Check Box 12" hidden="1">
              <a:extLst>
                <a:ext uri="{63B3BB69-23CF-44E3-9099-C40C66FF867C}">
                  <a14:compatExt spid="_x0000_s232460"/>
                </a:ext>
                <a:ext uri="{FF2B5EF4-FFF2-40B4-BE49-F238E27FC236}">
                  <a16:creationId xmlns:a16="http://schemas.microsoft.com/office/drawing/2014/main" id="{00000000-0008-0000-7D00-00000C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295275</xdr:colOff>
          <xdr:row>34</xdr:row>
          <xdr:rowOff>28575</xdr:rowOff>
        </xdr:to>
        <xdr:sp macro="" textlink="">
          <xdr:nvSpPr>
            <xdr:cNvPr id="232461" name="Check Box 13" hidden="1">
              <a:extLst>
                <a:ext uri="{63B3BB69-23CF-44E3-9099-C40C66FF867C}">
                  <a14:compatExt spid="_x0000_s232461"/>
                </a:ext>
                <a:ext uri="{FF2B5EF4-FFF2-40B4-BE49-F238E27FC236}">
                  <a16:creationId xmlns:a16="http://schemas.microsoft.com/office/drawing/2014/main" id="{00000000-0008-0000-7D00-00000D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295275</xdr:colOff>
          <xdr:row>35</xdr:row>
          <xdr:rowOff>28575</xdr:rowOff>
        </xdr:to>
        <xdr:sp macro="" textlink="">
          <xdr:nvSpPr>
            <xdr:cNvPr id="232462" name="Check Box 14" hidden="1">
              <a:extLst>
                <a:ext uri="{63B3BB69-23CF-44E3-9099-C40C66FF867C}">
                  <a14:compatExt spid="_x0000_s232462"/>
                </a:ext>
                <a:ext uri="{FF2B5EF4-FFF2-40B4-BE49-F238E27FC236}">
                  <a16:creationId xmlns:a16="http://schemas.microsoft.com/office/drawing/2014/main" id="{00000000-0008-0000-7D00-00000E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295275</xdr:colOff>
          <xdr:row>36</xdr:row>
          <xdr:rowOff>28575</xdr:rowOff>
        </xdr:to>
        <xdr:sp macro="" textlink="">
          <xdr:nvSpPr>
            <xdr:cNvPr id="232463" name="Check Box 15" hidden="1">
              <a:extLst>
                <a:ext uri="{63B3BB69-23CF-44E3-9099-C40C66FF867C}">
                  <a14:compatExt spid="_x0000_s232463"/>
                </a:ext>
                <a:ext uri="{FF2B5EF4-FFF2-40B4-BE49-F238E27FC236}">
                  <a16:creationId xmlns:a16="http://schemas.microsoft.com/office/drawing/2014/main" id="{00000000-0008-0000-7D00-00000F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295275</xdr:colOff>
          <xdr:row>37</xdr:row>
          <xdr:rowOff>28575</xdr:rowOff>
        </xdr:to>
        <xdr:sp macro="" textlink="">
          <xdr:nvSpPr>
            <xdr:cNvPr id="232464" name="Check Box 16" hidden="1">
              <a:extLst>
                <a:ext uri="{63B3BB69-23CF-44E3-9099-C40C66FF867C}">
                  <a14:compatExt spid="_x0000_s232464"/>
                </a:ext>
                <a:ext uri="{FF2B5EF4-FFF2-40B4-BE49-F238E27FC236}">
                  <a16:creationId xmlns:a16="http://schemas.microsoft.com/office/drawing/2014/main" id="{00000000-0008-0000-7D00-000010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38100</xdr:rowOff>
        </xdr:to>
        <xdr:sp macro="" textlink="">
          <xdr:nvSpPr>
            <xdr:cNvPr id="232465" name="Check Box 17" hidden="1">
              <a:extLst>
                <a:ext uri="{63B3BB69-23CF-44E3-9099-C40C66FF867C}">
                  <a14:compatExt spid="_x0000_s232465"/>
                </a:ext>
                <a:ext uri="{FF2B5EF4-FFF2-40B4-BE49-F238E27FC236}">
                  <a16:creationId xmlns:a16="http://schemas.microsoft.com/office/drawing/2014/main" id="{00000000-0008-0000-7D00-000011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28575</xdr:rowOff>
        </xdr:to>
        <xdr:sp macro="" textlink="">
          <xdr:nvSpPr>
            <xdr:cNvPr id="232466" name="Check Box 18" hidden="1">
              <a:extLst>
                <a:ext uri="{63B3BB69-23CF-44E3-9099-C40C66FF867C}">
                  <a14:compatExt spid="_x0000_s232466"/>
                </a:ext>
                <a:ext uri="{FF2B5EF4-FFF2-40B4-BE49-F238E27FC236}">
                  <a16:creationId xmlns:a16="http://schemas.microsoft.com/office/drawing/2014/main" id="{00000000-0008-0000-7D00-000012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28575</xdr:rowOff>
        </xdr:to>
        <xdr:sp macro="" textlink="">
          <xdr:nvSpPr>
            <xdr:cNvPr id="232467" name="Check Box 19" hidden="1">
              <a:extLst>
                <a:ext uri="{63B3BB69-23CF-44E3-9099-C40C66FF867C}">
                  <a14:compatExt spid="_x0000_s232467"/>
                </a:ext>
                <a:ext uri="{FF2B5EF4-FFF2-40B4-BE49-F238E27FC236}">
                  <a16:creationId xmlns:a16="http://schemas.microsoft.com/office/drawing/2014/main" id="{00000000-0008-0000-7D00-000013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47</xdr:row>
          <xdr:rowOff>28575</xdr:rowOff>
        </xdr:to>
        <xdr:sp macro="" textlink="">
          <xdr:nvSpPr>
            <xdr:cNvPr id="232468" name="Check Box 20" hidden="1">
              <a:extLst>
                <a:ext uri="{63B3BB69-23CF-44E3-9099-C40C66FF867C}">
                  <a14:compatExt spid="_x0000_s232468"/>
                </a:ext>
                <a:ext uri="{FF2B5EF4-FFF2-40B4-BE49-F238E27FC236}">
                  <a16:creationId xmlns:a16="http://schemas.microsoft.com/office/drawing/2014/main" id="{00000000-0008-0000-7D00-000014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295275</xdr:colOff>
          <xdr:row>48</xdr:row>
          <xdr:rowOff>28575</xdr:rowOff>
        </xdr:to>
        <xdr:sp macro="" textlink="">
          <xdr:nvSpPr>
            <xdr:cNvPr id="232469" name="Check Box 21" hidden="1">
              <a:extLst>
                <a:ext uri="{63B3BB69-23CF-44E3-9099-C40C66FF867C}">
                  <a14:compatExt spid="_x0000_s232469"/>
                </a:ext>
                <a:ext uri="{FF2B5EF4-FFF2-40B4-BE49-F238E27FC236}">
                  <a16:creationId xmlns:a16="http://schemas.microsoft.com/office/drawing/2014/main" id="{00000000-0008-0000-7D00-000015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28575</xdr:rowOff>
        </xdr:to>
        <xdr:sp macro="" textlink="">
          <xdr:nvSpPr>
            <xdr:cNvPr id="232470" name="Check Box 22" hidden="1">
              <a:extLst>
                <a:ext uri="{63B3BB69-23CF-44E3-9099-C40C66FF867C}">
                  <a14:compatExt spid="_x0000_s232470"/>
                </a:ext>
                <a:ext uri="{FF2B5EF4-FFF2-40B4-BE49-F238E27FC236}">
                  <a16:creationId xmlns:a16="http://schemas.microsoft.com/office/drawing/2014/main" id="{00000000-0008-0000-7D00-000016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50</xdr:row>
          <xdr:rowOff>28575</xdr:rowOff>
        </xdr:to>
        <xdr:sp macro="" textlink="">
          <xdr:nvSpPr>
            <xdr:cNvPr id="232471" name="Check Box 23" hidden="1">
              <a:extLst>
                <a:ext uri="{63B3BB69-23CF-44E3-9099-C40C66FF867C}">
                  <a14:compatExt spid="_x0000_s232471"/>
                </a:ext>
                <a:ext uri="{FF2B5EF4-FFF2-40B4-BE49-F238E27FC236}">
                  <a16:creationId xmlns:a16="http://schemas.microsoft.com/office/drawing/2014/main" id="{00000000-0008-0000-7D00-000017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57150</xdr:rowOff>
        </xdr:from>
        <xdr:to>
          <xdr:col>8</xdr:col>
          <xdr:colOff>533400</xdr:colOff>
          <xdr:row>22</xdr:row>
          <xdr:rowOff>161925</xdr:rowOff>
        </xdr:to>
        <xdr:sp macro="" textlink="">
          <xdr:nvSpPr>
            <xdr:cNvPr id="232472" name="Button 24" hidden="1">
              <a:extLst>
                <a:ext uri="{63B3BB69-23CF-44E3-9099-C40C66FF867C}">
                  <a14:compatExt spid="_x0000_s232472"/>
                </a:ext>
                <a:ext uri="{FF2B5EF4-FFF2-40B4-BE49-F238E27FC236}">
                  <a16:creationId xmlns:a16="http://schemas.microsoft.com/office/drawing/2014/main" id="{00000000-0008-0000-7D00-000018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0</xdr:row>
          <xdr:rowOff>142875</xdr:rowOff>
        </xdr:from>
        <xdr:to>
          <xdr:col>11</xdr:col>
          <xdr:colOff>257175</xdr:colOff>
          <xdr:row>3</xdr:row>
          <xdr:rowOff>152400</xdr:rowOff>
        </xdr:to>
        <xdr:sp macro="" textlink="">
          <xdr:nvSpPr>
            <xdr:cNvPr id="232473" name="Button 25" hidden="1">
              <a:extLst>
                <a:ext uri="{63B3BB69-23CF-44E3-9099-C40C66FF867C}">
                  <a14:compatExt spid="_x0000_s232473"/>
                </a:ext>
                <a:ext uri="{FF2B5EF4-FFF2-40B4-BE49-F238E27FC236}">
                  <a16:creationId xmlns:a16="http://schemas.microsoft.com/office/drawing/2014/main" id="{00000000-0008-0000-7D00-000019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180975</xdr:rowOff>
        </xdr:from>
        <xdr:to>
          <xdr:col>0</xdr:col>
          <xdr:colOff>295275</xdr:colOff>
          <xdr:row>41</xdr:row>
          <xdr:rowOff>19050</xdr:rowOff>
        </xdr:to>
        <xdr:sp macro="" textlink="">
          <xdr:nvSpPr>
            <xdr:cNvPr id="232474" name="Check Box 26" hidden="1">
              <a:extLst>
                <a:ext uri="{63B3BB69-23CF-44E3-9099-C40C66FF867C}">
                  <a14:compatExt spid="_x0000_s232474"/>
                </a:ext>
                <a:ext uri="{FF2B5EF4-FFF2-40B4-BE49-F238E27FC236}">
                  <a16:creationId xmlns:a16="http://schemas.microsoft.com/office/drawing/2014/main" id="{00000000-0008-0000-7D00-00001A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38</xdr:row>
          <xdr:rowOff>28575</xdr:rowOff>
        </xdr:from>
        <xdr:to>
          <xdr:col>0</xdr:col>
          <xdr:colOff>581025</xdr:colOff>
          <xdr:row>38</xdr:row>
          <xdr:rowOff>180975</xdr:rowOff>
        </xdr:to>
        <xdr:sp macro="" textlink="">
          <xdr:nvSpPr>
            <xdr:cNvPr id="232475" name="Button 27" hidden="1">
              <a:extLst>
                <a:ext uri="{63B3BB69-23CF-44E3-9099-C40C66FF867C}">
                  <a14:compatExt spid="_x0000_s232475"/>
                </a:ext>
                <a:ext uri="{FF2B5EF4-FFF2-40B4-BE49-F238E27FC236}">
                  <a16:creationId xmlns:a16="http://schemas.microsoft.com/office/drawing/2014/main" id="{00000000-0008-0000-7D00-00001B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39</xdr:row>
          <xdr:rowOff>19050</xdr:rowOff>
        </xdr:from>
        <xdr:to>
          <xdr:col>0</xdr:col>
          <xdr:colOff>581025</xdr:colOff>
          <xdr:row>39</xdr:row>
          <xdr:rowOff>171450</xdr:rowOff>
        </xdr:to>
        <xdr:sp macro="" textlink="">
          <xdr:nvSpPr>
            <xdr:cNvPr id="232476" name="Button 28" hidden="1">
              <a:extLst>
                <a:ext uri="{63B3BB69-23CF-44E3-9099-C40C66FF867C}">
                  <a14:compatExt spid="_x0000_s232476"/>
                </a:ext>
                <a:ext uri="{FF2B5EF4-FFF2-40B4-BE49-F238E27FC236}">
                  <a16:creationId xmlns:a16="http://schemas.microsoft.com/office/drawing/2014/main" id="{00000000-0008-0000-7D00-00001C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41</xdr:row>
          <xdr:rowOff>19050</xdr:rowOff>
        </xdr:from>
        <xdr:to>
          <xdr:col>0</xdr:col>
          <xdr:colOff>581025</xdr:colOff>
          <xdr:row>41</xdr:row>
          <xdr:rowOff>171450</xdr:rowOff>
        </xdr:to>
        <xdr:sp macro="" textlink="">
          <xdr:nvSpPr>
            <xdr:cNvPr id="232477" name="Button 29" hidden="1">
              <a:extLst>
                <a:ext uri="{63B3BB69-23CF-44E3-9099-C40C66FF867C}">
                  <a14:compatExt spid="_x0000_s232477"/>
                </a:ext>
                <a:ext uri="{FF2B5EF4-FFF2-40B4-BE49-F238E27FC236}">
                  <a16:creationId xmlns:a16="http://schemas.microsoft.com/office/drawing/2014/main" id="{00000000-0008-0000-7D00-00001D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37</xdr:row>
          <xdr:rowOff>19050</xdr:rowOff>
        </xdr:from>
        <xdr:to>
          <xdr:col>4</xdr:col>
          <xdr:colOff>581025</xdr:colOff>
          <xdr:row>37</xdr:row>
          <xdr:rowOff>171450</xdr:rowOff>
        </xdr:to>
        <xdr:sp macro="" textlink="">
          <xdr:nvSpPr>
            <xdr:cNvPr id="232478" name="Button 30" hidden="1">
              <a:extLst>
                <a:ext uri="{63B3BB69-23CF-44E3-9099-C40C66FF867C}">
                  <a14:compatExt spid="_x0000_s232478"/>
                </a:ext>
                <a:ext uri="{FF2B5EF4-FFF2-40B4-BE49-F238E27FC236}">
                  <a16:creationId xmlns:a16="http://schemas.microsoft.com/office/drawing/2014/main" id="{00000000-0008-0000-7D00-00001E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31</xdr:row>
          <xdr:rowOff>28575</xdr:rowOff>
        </xdr:from>
        <xdr:to>
          <xdr:col>4</xdr:col>
          <xdr:colOff>581025</xdr:colOff>
          <xdr:row>31</xdr:row>
          <xdr:rowOff>180975</xdr:rowOff>
        </xdr:to>
        <xdr:sp macro="" textlink="">
          <xdr:nvSpPr>
            <xdr:cNvPr id="232479" name="Button 31" hidden="1">
              <a:extLst>
                <a:ext uri="{63B3BB69-23CF-44E3-9099-C40C66FF867C}">
                  <a14:compatExt spid="_x0000_s232479"/>
                </a:ext>
                <a:ext uri="{FF2B5EF4-FFF2-40B4-BE49-F238E27FC236}">
                  <a16:creationId xmlns:a16="http://schemas.microsoft.com/office/drawing/2014/main" id="{00000000-0008-0000-7D00-00001F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42</xdr:row>
          <xdr:rowOff>19050</xdr:rowOff>
        </xdr:from>
        <xdr:to>
          <xdr:col>0</xdr:col>
          <xdr:colOff>581025</xdr:colOff>
          <xdr:row>42</xdr:row>
          <xdr:rowOff>171450</xdr:rowOff>
        </xdr:to>
        <xdr:sp macro="" textlink="">
          <xdr:nvSpPr>
            <xdr:cNvPr id="232480" name="Button 32" hidden="1">
              <a:extLst>
                <a:ext uri="{63B3BB69-23CF-44E3-9099-C40C66FF867C}">
                  <a14:compatExt spid="_x0000_s232480"/>
                </a:ext>
                <a:ext uri="{FF2B5EF4-FFF2-40B4-BE49-F238E27FC236}">
                  <a16:creationId xmlns:a16="http://schemas.microsoft.com/office/drawing/2014/main" id="{00000000-0008-0000-7D00-0000208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800" b="0" i="0" u="none" strike="noStrike" baseline="0">
                  <a:solidFill>
                    <a:srgbClr val="000000"/>
                  </a:solidFill>
                  <a:latin typeface="Calibri"/>
                  <a:cs typeface="Calibri"/>
                </a:rPr>
                <a:t>Completed</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118.xml"/><Relationship Id="rId21" Type="http://schemas.openxmlformats.org/officeDocument/2006/relationships/ctrlProp" Target="../ctrlProps/ctrlProp22.xml"/><Relationship Id="rId324" Type="http://schemas.openxmlformats.org/officeDocument/2006/relationships/ctrlProp" Target="../ctrlProps/ctrlProp325.xml"/><Relationship Id="rId170" Type="http://schemas.openxmlformats.org/officeDocument/2006/relationships/ctrlProp" Target="../ctrlProps/ctrlProp171.xml"/><Relationship Id="rId226" Type="http://schemas.openxmlformats.org/officeDocument/2006/relationships/ctrlProp" Target="../ctrlProps/ctrlProp227.xml"/><Relationship Id="rId433" Type="http://schemas.openxmlformats.org/officeDocument/2006/relationships/ctrlProp" Target="../ctrlProps/ctrlProp434.xml"/><Relationship Id="rId268" Type="http://schemas.openxmlformats.org/officeDocument/2006/relationships/ctrlProp" Target="../ctrlProps/ctrlProp269.xml"/><Relationship Id="rId475" Type="http://schemas.openxmlformats.org/officeDocument/2006/relationships/ctrlProp" Target="../ctrlProps/ctrlProp476.xml"/><Relationship Id="rId32" Type="http://schemas.openxmlformats.org/officeDocument/2006/relationships/ctrlProp" Target="../ctrlProps/ctrlProp33.xml"/><Relationship Id="rId74" Type="http://schemas.openxmlformats.org/officeDocument/2006/relationships/ctrlProp" Target="../ctrlProps/ctrlProp75.xml"/><Relationship Id="rId128" Type="http://schemas.openxmlformats.org/officeDocument/2006/relationships/ctrlProp" Target="../ctrlProps/ctrlProp129.xml"/><Relationship Id="rId335" Type="http://schemas.openxmlformats.org/officeDocument/2006/relationships/ctrlProp" Target="../ctrlProps/ctrlProp336.xml"/><Relationship Id="rId377" Type="http://schemas.openxmlformats.org/officeDocument/2006/relationships/ctrlProp" Target="../ctrlProps/ctrlProp378.xml"/><Relationship Id="rId500" Type="http://schemas.openxmlformats.org/officeDocument/2006/relationships/ctrlProp" Target="../ctrlProps/ctrlProp501.xml"/><Relationship Id="rId5" Type="http://schemas.openxmlformats.org/officeDocument/2006/relationships/ctrlProp" Target="../ctrlProps/ctrlProp6.xml"/><Relationship Id="rId181" Type="http://schemas.openxmlformats.org/officeDocument/2006/relationships/ctrlProp" Target="../ctrlProps/ctrlProp182.xml"/><Relationship Id="rId237" Type="http://schemas.openxmlformats.org/officeDocument/2006/relationships/ctrlProp" Target="../ctrlProps/ctrlProp238.xml"/><Relationship Id="rId402" Type="http://schemas.openxmlformats.org/officeDocument/2006/relationships/ctrlProp" Target="../ctrlProps/ctrlProp403.xml"/><Relationship Id="rId279" Type="http://schemas.openxmlformats.org/officeDocument/2006/relationships/ctrlProp" Target="../ctrlProps/ctrlProp280.xml"/><Relationship Id="rId444" Type="http://schemas.openxmlformats.org/officeDocument/2006/relationships/ctrlProp" Target="../ctrlProps/ctrlProp445.xml"/><Relationship Id="rId486" Type="http://schemas.openxmlformats.org/officeDocument/2006/relationships/ctrlProp" Target="../ctrlProps/ctrlProp487.xml"/><Relationship Id="rId43" Type="http://schemas.openxmlformats.org/officeDocument/2006/relationships/ctrlProp" Target="../ctrlProps/ctrlProp44.xml"/><Relationship Id="rId139" Type="http://schemas.openxmlformats.org/officeDocument/2006/relationships/ctrlProp" Target="../ctrlProps/ctrlProp140.xml"/><Relationship Id="rId290" Type="http://schemas.openxmlformats.org/officeDocument/2006/relationships/ctrlProp" Target="../ctrlProps/ctrlProp291.xml"/><Relationship Id="rId304" Type="http://schemas.openxmlformats.org/officeDocument/2006/relationships/ctrlProp" Target="../ctrlProps/ctrlProp305.xml"/><Relationship Id="rId346" Type="http://schemas.openxmlformats.org/officeDocument/2006/relationships/ctrlProp" Target="../ctrlProps/ctrlProp347.xml"/><Relationship Id="rId388" Type="http://schemas.openxmlformats.org/officeDocument/2006/relationships/ctrlProp" Target="../ctrlProps/ctrlProp389.xml"/><Relationship Id="rId511" Type="http://schemas.openxmlformats.org/officeDocument/2006/relationships/ctrlProp" Target="../ctrlProps/ctrlProp512.xml"/><Relationship Id="rId85" Type="http://schemas.openxmlformats.org/officeDocument/2006/relationships/ctrlProp" Target="../ctrlProps/ctrlProp86.xml"/><Relationship Id="rId150" Type="http://schemas.openxmlformats.org/officeDocument/2006/relationships/ctrlProp" Target="../ctrlProps/ctrlProp151.xml"/><Relationship Id="rId192" Type="http://schemas.openxmlformats.org/officeDocument/2006/relationships/ctrlProp" Target="../ctrlProps/ctrlProp193.xml"/><Relationship Id="rId206" Type="http://schemas.openxmlformats.org/officeDocument/2006/relationships/ctrlProp" Target="../ctrlProps/ctrlProp207.xml"/><Relationship Id="rId413" Type="http://schemas.openxmlformats.org/officeDocument/2006/relationships/ctrlProp" Target="../ctrlProps/ctrlProp414.xml"/><Relationship Id="rId248" Type="http://schemas.openxmlformats.org/officeDocument/2006/relationships/ctrlProp" Target="../ctrlProps/ctrlProp249.xml"/><Relationship Id="rId455" Type="http://schemas.openxmlformats.org/officeDocument/2006/relationships/ctrlProp" Target="../ctrlProps/ctrlProp456.xml"/><Relationship Id="rId497" Type="http://schemas.openxmlformats.org/officeDocument/2006/relationships/ctrlProp" Target="../ctrlProps/ctrlProp498.xml"/><Relationship Id="rId12" Type="http://schemas.openxmlformats.org/officeDocument/2006/relationships/ctrlProp" Target="../ctrlProps/ctrlProp13.xml"/><Relationship Id="rId108" Type="http://schemas.openxmlformats.org/officeDocument/2006/relationships/ctrlProp" Target="../ctrlProps/ctrlProp109.xml"/><Relationship Id="rId315" Type="http://schemas.openxmlformats.org/officeDocument/2006/relationships/ctrlProp" Target="../ctrlProps/ctrlProp316.xml"/><Relationship Id="rId357" Type="http://schemas.openxmlformats.org/officeDocument/2006/relationships/ctrlProp" Target="../ctrlProps/ctrlProp358.xml"/><Relationship Id="rId54" Type="http://schemas.openxmlformats.org/officeDocument/2006/relationships/ctrlProp" Target="../ctrlProps/ctrlProp55.xml"/><Relationship Id="rId96" Type="http://schemas.openxmlformats.org/officeDocument/2006/relationships/ctrlProp" Target="../ctrlProps/ctrlProp97.xml"/><Relationship Id="rId161" Type="http://schemas.openxmlformats.org/officeDocument/2006/relationships/ctrlProp" Target="../ctrlProps/ctrlProp162.xml"/><Relationship Id="rId217" Type="http://schemas.openxmlformats.org/officeDocument/2006/relationships/ctrlProp" Target="../ctrlProps/ctrlProp218.xml"/><Relationship Id="rId399" Type="http://schemas.openxmlformats.org/officeDocument/2006/relationships/ctrlProp" Target="../ctrlProps/ctrlProp400.xml"/><Relationship Id="rId259" Type="http://schemas.openxmlformats.org/officeDocument/2006/relationships/ctrlProp" Target="../ctrlProps/ctrlProp260.xml"/><Relationship Id="rId424" Type="http://schemas.openxmlformats.org/officeDocument/2006/relationships/ctrlProp" Target="../ctrlProps/ctrlProp425.xml"/><Relationship Id="rId466" Type="http://schemas.openxmlformats.org/officeDocument/2006/relationships/ctrlProp" Target="../ctrlProps/ctrlProp467.xml"/><Relationship Id="rId23" Type="http://schemas.openxmlformats.org/officeDocument/2006/relationships/ctrlProp" Target="../ctrlProps/ctrlProp24.xml"/><Relationship Id="rId119" Type="http://schemas.openxmlformats.org/officeDocument/2006/relationships/ctrlProp" Target="../ctrlProps/ctrlProp120.xml"/><Relationship Id="rId270" Type="http://schemas.openxmlformats.org/officeDocument/2006/relationships/ctrlProp" Target="../ctrlProps/ctrlProp271.xml"/><Relationship Id="rId326" Type="http://schemas.openxmlformats.org/officeDocument/2006/relationships/ctrlProp" Target="../ctrlProps/ctrlProp327.xml"/><Relationship Id="rId65" Type="http://schemas.openxmlformats.org/officeDocument/2006/relationships/ctrlProp" Target="../ctrlProps/ctrlProp66.xml"/><Relationship Id="rId130" Type="http://schemas.openxmlformats.org/officeDocument/2006/relationships/ctrlProp" Target="../ctrlProps/ctrlProp131.xml"/><Relationship Id="rId368" Type="http://schemas.openxmlformats.org/officeDocument/2006/relationships/ctrlProp" Target="../ctrlProps/ctrlProp369.xml"/><Relationship Id="rId172" Type="http://schemas.openxmlformats.org/officeDocument/2006/relationships/ctrlProp" Target="../ctrlProps/ctrlProp173.xml"/><Relationship Id="rId228" Type="http://schemas.openxmlformats.org/officeDocument/2006/relationships/ctrlProp" Target="../ctrlProps/ctrlProp229.xml"/><Relationship Id="rId435" Type="http://schemas.openxmlformats.org/officeDocument/2006/relationships/ctrlProp" Target="../ctrlProps/ctrlProp436.xml"/><Relationship Id="rId477" Type="http://schemas.openxmlformats.org/officeDocument/2006/relationships/ctrlProp" Target="../ctrlProps/ctrlProp478.xml"/><Relationship Id="rId281" Type="http://schemas.openxmlformats.org/officeDocument/2006/relationships/ctrlProp" Target="../ctrlProps/ctrlProp282.xml"/><Relationship Id="rId337" Type="http://schemas.openxmlformats.org/officeDocument/2006/relationships/ctrlProp" Target="../ctrlProps/ctrlProp338.xml"/><Relationship Id="rId502" Type="http://schemas.openxmlformats.org/officeDocument/2006/relationships/ctrlProp" Target="../ctrlProps/ctrlProp503.xml"/><Relationship Id="rId34" Type="http://schemas.openxmlformats.org/officeDocument/2006/relationships/ctrlProp" Target="../ctrlProps/ctrlProp35.xml"/><Relationship Id="rId76" Type="http://schemas.openxmlformats.org/officeDocument/2006/relationships/ctrlProp" Target="../ctrlProps/ctrlProp77.xml"/><Relationship Id="rId141" Type="http://schemas.openxmlformats.org/officeDocument/2006/relationships/ctrlProp" Target="../ctrlProps/ctrlProp142.xml"/><Relationship Id="rId379" Type="http://schemas.openxmlformats.org/officeDocument/2006/relationships/ctrlProp" Target="../ctrlProps/ctrlProp380.xml"/><Relationship Id="rId7" Type="http://schemas.openxmlformats.org/officeDocument/2006/relationships/ctrlProp" Target="../ctrlProps/ctrlProp8.xml"/><Relationship Id="rId183" Type="http://schemas.openxmlformats.org/officeDocument/2006/relationships/ctrlProp" Target="../ctrlProps/ctrlProp184.xml"/><Relationship Id="rId239" Type="http://schemas.openxmlformats.org/officeDocument/2006/relationships/ctrlProp" Target="../ctrlProps/ctrlProp240.xml"/><Relationship Id="rId390" Type="http://schemas.openxmlformats.org/officeDocument/2006/relationships/ctrlProp" Target="../ctrlProps/ctrlProp391.xml"/><Relationship Id="rId404" Type="http://schemas.openxmlformats.org/officeDocument/2006/relationships/ctrlProp" Target="../ctrlProps/ctrlProp405.xml"/><Relationship Id="rId446" Type="http://schemas.openxmlformats.org/officeDocument/2006/relationships/ctrlProp" Target="../ctrlProps/ctrlProp447.xml"/><Relationship Id="rId250" Type="http://schemas.openxmlformats.org/officeDocument/2006/relationships/ctrlProp" Target="../ctrlProps/ctrlProp251.xml"/><Relationship Id="rId292" Type="http://schemas.openxmlformats.org/officeDocument/2006/relationships/ctrlProp" Target="../ctrlProps/ctrlProp293.xml"/><Relationship Id="rId306" Type="http://schemas.openxmlformats.org/officeDocument/2006/relationships/ctrlProp" Target="../ctrlProps/ctrlProp307.xml"/><Relationship Id="rId488" Type="http://schemas.openxmlformats.org/officeDocument/2006/relationships/ctrlProp" Target="../ctrlProps/ctrlProp489.xml"/><Relationship Id="rId45" Type="http://schemas.openxmlformats.org/officeDocument/2006/relationships/ctrlProp" Target="../ctrlProps/ctrlProp46.xml"/><Relationship Id="rId87" Type="http://schemas.openxmlformats.org/officeDocument/2006/relationships/ctrlProp" Target="../ctrlProps/ctrlProp88.xml"/><Relationship Id="rId110" Type="http://schemas.openxmlformats.org/officeDocument/2006/relationships/ctrlProp" Target="../ctrlProps/ctrlProp111.xml"/><Relationship Id="rId348" Type="http://schemas.openxmlformats.org/officeDocument/2006/relationships/ctrlProp" Target="../ctrlProps/ctrlProp349.xml"/><Relationship Id="rId513" Type="http://schemas.openxmlformats.org/officeDocument/2006/relationships/ctrlProp" Target="../ctrlProps/ctrlProp514.xml"/><Relationship Id="rId152" Type="http://schemas.openxmlformats.org/officeDocument/2006/relationships/ctrlProp" Target="../ctrlProps/ctrlProp153.xml"/><Relationship Id="rId194" Type="http://schemas.openxmlformats.org/officeDocument/2006/relationships/ctrlProp" Target="../ctrlProps/ctrlProp195.xml"/><Relationship Id="rId208" Type="http://schemas.openxmlformats.org/officeDocument/2006/relationships/ctrlProp" Target="../ctrlProps/ctrlProp209.xml"/><Relationship Id="rId415" Type="http://schemas.openxmlformats.org/officeDocument/2006/relationships/ctrlProp" Target="../ctrlProps/ctrlProp416.xml"/><Relationship Id="rId457" Type="http://schemas.openxmlformats.org/officeDocument/2006/relationships/ctrlProp" Target="../ctrlProps/ctrlProp458.xml"/><Relationship Id="rId261" Type="http://schemas.openxmlformats.org/officeDocument/2006/relationships/ctrlProp" Target="../ctrlProps/ctrlProp262.xml"/><Relationship Id="rId499" Type="http://schemas.openxmlformats.org/officeDocument/2006/relationships/ctrlProp" Target="../ctrlProps/ctrlProp500.xml"/><Relationship Id="rId14" Type="http://schemas.openxmlformats.org/officeDocument/2006/relationships/ctrlProp" Target="../ctrlProps/ctrlProp15.xml"/><Relationship Id="rId56" Type="http://schemas.openxmlformats.org/officeDocument/2006/relationships/ctrlProp" Target="../ctrlProps/ctrlProp57.xml"/><Relationship Id="rId317" Type="http://schemas.openxmlformats.org/officeDocument/2006/relationships/ctrlProp" Target="../ctrlProps/ctrlProp318.xml"/><Relationship Id="rId359" Type="http://schemas.openxmlformats.org/officeDocument/2006/relationships/ctrlProp" Target="../ctrlProps/ctrlProp360.xml"/><Relationship Id="rId98" Type="http://schemas.openxmlformats.org/officeDocument/2006/relationships/ctrlProp" Target="../ctrlProps/ctrlProp99.xml"/><Relationship Id="rId121" Type="http://schemas.openxmlformats.org/officeDocument/2006/relationships/ctrlProp" Target="../ctrlProps/ctrlProp122.xml"/><Relationship Id="rId163" Type="http://schemas.openxmlformats.org/officeDocument/2006/relationships/ctrlProp" Target="../ctrlProps/ctrlProp164.xml"/><Relationship Id="rId219" Type="http://schemas.openxmlformats.org/officeDocument/2006/relationships/ctrlProp" Target="../ctrlProps/ctrlProp220.xml"/><Relationship Id="rId370" Type="http://schemas.openxmlformats.org/officeDocument/2006/relationships/ctrlProp" Target="../ctrlProps/ctrlProp371.xml"/><Relationship Id="rId426" Type="http://schemas.openxmlformats.org/officeDocument/2006/relationships/ctrlProp" Target="../ctrlProps/ctrlProp427.xml"/><Relationship Id="rId230" Type="http://schemas.openxmlformats.org/officeDocument/2006/relationships/ctrlProp" Target="../ctrlProps/ctrlProp231.xml"/><Relationship Id="rId468" Type="http://schemas.openxmlformats.org/officeDocument/2006/relationships/ctrlProp" Target="../ctrlProps/ctrlProp469.xml"/><Relationship Id="rId25" Type="http://schemas.openxmlformats.org/officeDocument/2006/relationships/ctrlProp" Target="../ctrlProps/ctrlProp26.xml"/><Relationship Id="rId67" Type="http://schemas.openxmlformats.org/officeDocument/2006/relationships/ctrlProp" Target="../ctrlProps/ctrlProp68.xml"/><Relationship Id="rId272" Type="http://schemas.openxmlformats.org/officeDocument/2006/relationships/ctrlProp" Target="../ctrlProps/ctrlProp273.xml"/><Relationship Id="rId328" Type="http://schemas.openxmlformats.org/officeDocument/2006/relationships/ctrlProp" Target="../ctrlProps/ctrlProp329.xml"/><Relationship Id="rId132" Type="http://schemas.openxmlformats.org/officeDocument/2006/relationships/ctrlProp" Target="../ctrlProps/ctrlProp133.xml"/><Relationship Id="rId174" Type="http://schemas.openxmlformats.org/officeDocument/2006/relationships/ctrlProp" Target="../ctrlProps/ctrlProp175.xml"/><Relationship Id="rId381" Type="http://schemas.openxmlformats.org/officeDocument/2006/relationships/ctrlProp" Target="../ctrlProps/ctrlProp382.xml"/><Relationship Id="rId241" Type="http://schemas.openxmlformats.org/officeDocument/2006/relationships/ctrlProp" Target="../ctrlProps/ctrlProp242.xml"/><Relationship Id="rId437" Type="http://schemas.openxmlformats.org/officeDocument/2006/relationships/ctrlProp" Target="../ctrlProps/ctrlProp438.xml"/><Relationship Id="rId479" Type="http://schemas.openxmlformats.org/officeDocument/2006/relationships/ctrlProp" Target="../ctrlProps/ctrlProp480.xml"/><Relationship Id="rId36" Type="http://schemas.openxmlformats.org/officeDocument/2006/relationships/ctrlProp" Target="../ctrlProps/ctrlProp37.xml"/><Relationship Id="rId283" Type="http://schemas.openxmlformats.org/officeDocument/2006/relationships/ctrlProp" Target="../ctrlProps/ctrlProp284.xml"/><Relationship Id="rId339" Type="http://schemas.openxmlformats.org/officeDocument/2006/relationships/ctrlProp" Target="../ctrlProps/ctrlProp340.xml"/><Relationship Id="rId490" Type="http://schemas.openxmlformats.org/officeDocument/2006/relationships/ctrlProp" Target="../ctrlProps/ctrlProp491.xml"/><Relationship Id="rId504" Type="http://schemas.openxmlformats.org/officeDocument/2006/relationships/ctrlProp" Target="../ctrlProps/ctrlProp505.xml"/><Relationship Id="rId78" Type="http://schemas.openxmlformats.org/officeDocument/2006/relationships/ctrlProp" Target="../ctrlProps/ctrlProp79.xml"/><Relationship Id="rId101" Type="http://schemas.openxmlformats.org/officeDocument/2006/relationships/ctrlProp" Target="../ctrlProps/ctrlProp102.xml"/><Relationship Id="rId143" Type="http://schemas.openxmlformats.org/officeDocument/2006/relationships/ctrlProp" Target="../ctrlProps/ctrlProp144.xml"/><Relationship Id="rId185" Type="http://schemas.openxmlformats.org/officeDocument/2006/relationships/ctrlProp" Target="../ctrlProps/ctrlProp186.xml"/><Relationship Id="rId350" Type="http://schemas.openxmlformats.org/officeDocument/2006/relationships/ctrlProp" Target="../ctrlProps/ctrlProp351.xml"/><Relationship Id="rId406" Type="http://schemas.openxmlformats.org/officeDocument/2006/relationships/ctrlProp" Target="../ctrlProps/ctrlProp407.xml"/><Relationship Id="rId9" Type="http://schemas.openxmlformats.org/officeDocument/2006/relationships/ctrlProp" Target="../ctrlProps/ctrlProp10.xml"/><Relationship Id="rId210" Type="http://schemas.openxmlformats.org/officeDocument/2006/relationships/ctrlProp" Target="../ctrlProps/ctrlProp211.xml"/><Relationship Id="rId392" Type="http://schemas.openxmlformats.org/officeDocument/2006/relationships/ctrlProp" Target="../ctrlProps/ctrlProp393.xml"/><Relationship Id="rId448" Type="http://schemas.openxmlformats.org/officeDocument/2006/relationships/ctrlProp" Target="../ctrlProps/ctrlProp449.xml"/><Relationship Id="rId252" Type="http://schemas.openxmlformats.org/officeDocument/2006/relationships/ctrlProp" Target="../ctrlProps/ctrlProp253.xml"/><Relationship Id="rId294" Type="http://schemas.openxmlformats.org/officeDocument/2006/relationships/ctrlProp" Target="../ctrlProps/ctrlProp295.xml"/><Relationship Id="rId308" Type="http://schemas.openxmlformats.org/officeDocument/2006/relationships/ctrlProp" Target="../ctrlProps/ctrlProp309.xml"/><Relationship Id="rId515" Type="http://schemas.openxmlformats.org/officeDocument/2006/relationships/ctrlProp" Target="../ctrlProps/ctrlProp516.xml"/><Relationship Id="rId47" Type="http://schemas.openxmlformats.org/officeDocument/2006/relationships/ctrlProp" Target="../ctrlProps/ctrlProp48.xml"/><Relationship Id="rId89" Type="http://schemas.openxmlformats.org/officeDocument/2006/relationships/ctrlProp" Target="../ctrlProps/ctrlProp90.xml"/><Relationship Id="rId112" Type="http://schemas.openxmlformats.org/officeDocument/2006/relationships/ctrlProp" Target="../ctrlProps/ctrlProp113.xml"/><Relationship Id="rId154" Type="http://schemas.openxmlformats.org/officeDocument/2006/relationships/ctrlProp" Target="../ctrlProps/ctrlProp155.xml"/><Relationship Id="rId361" Type="http://schemas.openxmlformats.org/officeDocument/2006/relationships/ctrlProp" Target="../ctrlProps/ctrlProp362.xml"/><Relationship Id="rId196" Type="http://schemas.openxmlformats.org/officeDocument/2006/relationships/ctrlProp" Target="../ctrlProps/ctrlProp197.xml"/><Relationship Id="rId417" Type="http://schemas.openxmlformats.org/officeDocument/2006/relationships/ctrlProp" Target="../ctrlProps/ctrlProp418.xml"/><Relationship Id="rId459" Type="http://schemas.openxmlformats.org/officeDocument/2006/relationships/ctrlProp" Target="../ctrlProps/ctrlProp460.xml"/><Relationship Id="rId16" Type="http://schemas.openxmlformats.org/officeDocument/2006/relationships/ctrlProp" Target="../ctrlProps/ctrlProp17.xml"/><Relationship Id="rId221" Type="http://schemas.openxmlformats.org/officeDocument/2006/relationships/ctrlProp" Target="../ctrlProps/ctrlProp222.xml"/><Relationship Id="rId263" Type="http://schemas.openxmlformats.org/officeDocument/2006/relationships/ctrlProp" Target="../ctrlProps/ctrlProp264.xml"/><Relationship Id="rId319" Type="http://schemas.openxmlformats.org/officeDocument/2006/relationships/ctrlProp" Target="../ctrlProps/ctrlProp320.xml"/><Relationship Id="rId470" Type="http://schemas.openxmlformats.org/officeDocument/2006/relationships/ctrlProp" Target="../ctrlProps/ctrlProp471.xml"/><Relationship Id="rId58" Type="http://schemas.openxmlformats.org/officeDocument/2006/relationships/ctrlProp" Target="../ctrlProps/ctrlProp59.xml"/><Relationship Id="rId123" Type="http://schemas.openxmlformats.org/officeDocument/2006/relationships/ctrlProp" Target="../ctrlProps/ctrlProp124.xml"/><Relationship Id="rId330" Type="http://schemas.openxmlformats.org/officeDocument/2006/relationships/ctrlProp" Target="../ctrlProps/ctrlProp331.xml"/><Relationship Id="rId165" Type="http://schemas.openxmlformats.org/officeDocument/2006/relationships/ctrlProp" Target="../ctrlProps/ctrlProp166.xml"/><Relationship Id="rId372" Type="http://schemas.openxmlformats.org/officeDocument/2006/relationships/ctrlProp" Target="../ctrlProps/ctrlProp373.xml"/><Relationship Id="rId428" Type="http://schemas.openxmlformats.org/officeDocument/2006/relationships/ctrlProp" Target="../ctrlProps/ctrlProp429.xml"/><Relationship Id="rId232" Type="http://schemas.openxmlformats.org/officeDocument/2006/relationships/ctrlProp" Target="../ctrlProps/ctrlProp233.xml"/><Relationship Id="rId274" Type="http://schemas.openxmlformats.org/officeDocument/2006/relationships/ctrlProp" Target="../ctrlProps/ctrlProp275.xml"/><Relationship Id="rId481" Type="http://schemas.openxmlformats.org/officeDocument/2006/relationships/ctrlProp" Target="../ctrlProps/ctrlProp482.xml"/><Relationship Id="rId27" Type="http://schemas.openxmlformats.org/officeDocument/2006/relationships/ctrlProp" Target="../ctrlProps/ctrlProp28.xml"/><Relationship Id="rId69" Type="http://schemas.openxmlformats.org/officeDocument/2006/relationships/ctrlProp" Target="../ctrlProps/ctrlProp70.xml"/><Relationship Id="rId134" Type="http://schemas.openxmlformats.org/officeDocument/2006/relationships/ctrlProp" Target="../ctrlProps/ctrlProp135.xml"/><Relationship Id="rId80" Type="http://schemas.openxmlformats.org/officeDocument/2006/relationships/ctrlProp" Target="../ctrlProps/ctrlProp81.xml"/><Relationship Id="rId176" Type="http://schemas.openxmlformats.org/officeDocument/2006/relationships/ctrlProp" Target="../ctrlProps/ctrlProp177.xml"/><Relationship Id="rId341" Type="http://schemas.openxmlformats.org/officeDocument/2006/relationships/ctrlProp" Target="../ctrlProps/ctrlProp342.xml"/><Relationship Id="rId383" Type="http://schemas.openxmlformats.org/officeDocument/2006/relationships/ctrlProp" Target="../ctrlProps/ctrlProp384.xml"/><Relationship Id="rId439" Type="http://schemas.openxmlformats.org/officeDocument/2006/relationships/ctrlProp" Target="../ctrlProps/ctrlProp440.xml"/><Relationship Id="rId201" Type="http://schemas.openxmlformats.org/officeDocument/2006/relationships/ctrlProp" Target="../ctrlProps/ctrlProp202.xml"/><Relationship Id="rId243" Type="http://schemas.openxmlformats.org/officeDocument/2006/relationships/ctrlProp" Target="../ctrlProps/ctrlProp244.xml"/><Relationship Id="rId285" Type="http://schemas.openxmlformats.org/officeDocument/2006/relationships/ctrlProp" Target="../ctrlProps/ctrlProp286.xml"/><Relationship Id="rId450" Type="http://schemas.openxmlformats.org/officeDocument/2006/relationships/ctrlProp" Target="../ctrlProps/ctrlProp451.xml"/><Relationship Id="rId506" Type="http://schemas.openxmlformats.org/officeDocument/2006/relationships/ctrlProp" Target="../ctrlProps/ctrlProp507.xml"/><Relationship Id="rId38" Type="http://schemas.openxmlformats.org/officeDocument/2006/relationships/ctrlProp" Target="../ctrlProps/ctrlProp39.xml"/><Relationship Id="rId103" Type="http://schemas.openxmlformats.org/officeDocument/2006/relationships/ctrlProp" Target="../ctrlProps/ctrlProp104.xml"/><Relationship Id="rId310" Type="http://schemas.openxmlformats.org/officeDocument/2006/relationships/ctrlProp" Target="../ctrlProps/ctrlProp311.xml"/><Relationship Id="rId492" Type="http://schemas.openxmlformats.org/officeDocument/2006/relationships/ctrlProp" Target="../ctrlProps/ctrlProp493.xml"/><Relationship Id="rId91" Type="http://schemas.openxmlformats.org/officeDocument/2006/relationships/ctrlProp" Target="../ctrlProps/ctrlProp92.xml"/><Relationship Id="rId145" Type="http://schemas.openxmlformats.org/officeDocument/2006/relationships/ctrlProp" Target="../ctrlProps/ctrlProp146.xml"/><Relationship Id="rId187" Type="http://schemas.openxmlformats.org/officeDocument/2006/relationships/ctrlProp" Target="../ctrlProps/ctrlProp188.xml"/><Relationship Id="rId352" Type="http://schemas.openxmlformats.org/officeDocument/2006/relationships/ctrlProp" Target="../ctrlProps/ctrlProp353.xml"/><Relationship Id="rId394" Type="http://schemas.openxmlformats.org/officeDocument/2006/relationships/ctrlProp" Target="../ctrlProps/ctrlProp395.xml"/><Relationship Id="rId408" Type="http://schemas.openxmlformats.org/officeDocument/2006/relationships/ctrlProp" Target="../ctrlProps/ctrlProp409.xml"/><Relationship Id="rId212" Type="http://schemas.openxmlformats.org/officeDocument/2006/relationships/ctrlProp" Target="../ctrlProps/ctrlProp213.xml"/><Relationship Id="rId254" Type="http://schemas.openxmlformats.org/officeDocument/2006/relationships/ctrlProp" Target="../ctrlProps/ctrlProp255.xml"/><Relationship Id="rId49" Type="http://schemas.openxmlformats.org/officeDocument/2006/relationships/ctrlProp" Target="../ctrlProps/ctrlProp50.xml"/><Relationship Id="rId114" Type="http://schemas.openxmlformats.org/officeDocument/2006/relationships/ctrlProp" Target="../ctrlProps/ctrlProp115.xml"/><Relationship Id="rId296" Type="http://schemas.openxmlformats.org/officeDocument/2006/relationships/ctrlProp" Target="../ctrlProps/ctrlProp297.xml"/><Relationship Id="rId461" Type="http://schemas.openxmlformats.org/officeDocument/2006/relationships/ctrlProp" Target="../ctrlProps/ctrlProp462.xml"/><Relationship Id="rId517" Type="http://schemas.openxmlformats.org/officeDocument/2006/relationships/ctrlProp" Target="../ctrlProps/ctrlProp518.xml"/><Relationship Id="rId60" Type="http://schemas.openxmlformats.org/officeDocument/2006/relationships/ctrlProp" Target="../ctrlProps/ctrlProp61.xml"/><Relationship Id="rId156" Type="http://schemas.openxmlformats.org/officeDocument/2006/relationships/ctrlProp" Target="../ctrlProps/ctrlProp157.xml"/><Relationship Id="rId198" Type="http://schemas.openxmlformats.org/officeDocument/2006/relationships/ctrlProp" Target="../ctrlProps/ctrlProp199.xml"/><Relationship Id="rId321" Type="http://schemas.openxmlformats.org/officeDocument/2006/relationships/ctrlProp" Target="../ctrlProps/ctrlProp322.xml"/><Relationship Id="rId363" Type="http://schemas.openxmlformats.org/officeDocument/2006/relationships/ctrlProp" Target="../ctrlProps/ctrlProp364.xml"/><Relationship Id="rId419" Type="http://schemas.openxmlformats.org/officeDocument/2006/relationships/ctrlProp" Target="../ctrlProps/ctrlProp420.xml"/><Relationship Id="rId223" Type="http://schemas.openxmlformats.org/officeDocument/2006/relationships/ctrlProp" Target="../ctrlProps/ctrlProp224.xml"/><Relationship Id="rId430" Type="http://schemas.openxmlformats.org/officeDocument/2006/relationships/ctrlProp" Target="../ctrlProps/ctrlProp431.xml"/><Relationship Id="rId18" Type="http://schemas.openxmlformats.org/officeDocument/2006/relationships/ctrlProp" Target="../ctrlProps/ctrlProp19.xml"/><Relationship Id="rId265" Type="http://schemas.openxmlformats.org/officeDocument/2006/relationships/ctrlProp" Target="../ctrlProps/ctrlProp266.xml"/><Relationship Id="rId472" Type="http://schemas.openxmlformats.org/officeDocument/2006/relationships/ctrlProp" Target="../ctrlProps/ctrlProp473.xml"/><Relationship Id="rId125" Type="http://schemas.openxmlformats.org/officeDocument/2006/relationships/ctrlProp" Target="../ctrlProps/ctrlProp126.xml"/><Relationship Id="rId167" Type="http://schemas.openxmlformats.org/officeDocument/2006/relationships/ctrlProp" Target="../ctrlProps/ctrlProp168.xml"/><Relationship Id="rId332" Type="http://schemas.openxmlformats.org/officeDocument/2006/relationships/ctrlProp" Target="../ctrlProps/ctrlProp333.xml"/><Relationship Id="rId374" Type="http://schemas.openxmlformats.org/officeDocument/2006/relationships/ctrlProp" Target="../ctrlProps/ctrlProp375.xml"/><Relationship Id="rId71" Type="http://schemas.openxmlformats.org/officeDocument/2006/relationships/ctrlProp" Target="../ctrlProps/ctrlProp72.xml"/><Relationship Id="rId234" Type="http://schemas.openxmlformats.org/officeDocument/2006/relationships/ctrlProp" Target="../ctrlProps/ctrlProp235.xml"/><Relationship Id="rId2" Type="http://schemas.openxmlformats.org/officeDocument/2006/relationships/drawing" Target="../drawings/drawing2.xml"/><Relationship Id="rId29" Type="http://schemas.openxmlformats.org/officeDocument/2006/relationships/ctrlProp" Target="../ctrlProps/ctrlProp30.xml"/><Relationship Id="rId276" Type="http://schemas.openxmlformats.org/officeDocument/2006/relationships/ctrlProp" Target="../ctrlProps/ctrlProp277.xml"/><Relationship Id="rId441" Type="http://schemas.openxmlformats.org/officeDocument/2006/relationships/ctrlProp" Target="../ctrlProps/ctrlProp442.xml"/><Relationship Id="rId483" Type="http://schemas.openxmlformats.org/officeDocument/2006/relationships/ctrlProp" Target="../ctrlProps/ctrlProp484.xml"/><Relationship Id="rId40" Type="http://schemas.openxmlformats.org/officeDocument/2006/relationships/ctrlProp" Target="../ctrlProps/ctrlProp41.xml"/><Relationship Id="rId136" Type="http://schemas.openxmlformats.org/officeDocument/2006/relationships/ctrlProp" Target="../ctrlProps/ctrlProp137.xml"/><Relationship Id="rId178" Type="http://schemas.openxmlformats.org/officeDocument/2006/relationships/ctrlProp" Target="../ctrlProps/ctrlProp179.xml"/><Relationship Id="rId301" Type="http://schemas.openxmlformats.org/officeDocument/2006/relationships/ctrlProp" Target="../ctrlProps/ctrlProp302.xml"/><Relationship Id="rId343" Type="http://schemas.openxmlformats.org/officeDocument/2006/relationships/ctrlProp" Target="../ctrlProps/ctrlProp344.xml"/><Relationship Id="rId82" Type="http://schemas.openxmlformats.org/officeDocument/2006/relationships/ctrlProp" Target="../ctrlProps/ctrlProp83.xml"/><Relationship Id="rId203" Type="http://schemas.openxmlformats.org/officeDocument/2006/relationships/ctrlProp" Target="../ctrlProps/ctrlProp204.xml"/><Relationship Id="rId385" Type="http://schemas.openxmlformats.org/officeDocument/2006/relationships/ctrlProp" Target="../ctrlProps/ctrlProp386.xml"/><Relationship Id="rId245" Type="http://schemas.openxmlformats.org/officeDocument/2006/relationships/ctrlProp" Target="../ctrlProps/ctrlProp246.xml"/><Relationship Id="rId287" Type="http://schemas.openxmlformats.org/officeDocument/2006/relationships/ctrlProp" Target="../ctrlProps/ctrlProp288.xml"/><Relationship Id="rId410" Type="http://schemas.openxmlformats.org/officeDocument/2006/relationships/ctrlProp" Target="../ctrlProps/ctrlProp411.xml"/><Relationship Id="rId452" Type="http://schemas.openxmlformats.org/officeDocument/2006/relationships/ctrlProp" Target="../ctrlProps/ctrlProp453.xml"/><Relationship Id="rId494" Type="http://schemas.openxmlformats.org/officeDocument/2006/relationships/ctrlProp" Target="../ctrlProps/ctrlProp495.xml"/><Relationship Id="rId508" Type="http://schemas.openxmlformats.org/officeDocument/2006/relationships/ctrlProp" Target="../ctrlProps/ctrlProp509.xml"/><Relationship Id="rId105" Type="http://schemas.openxmlformats.org/officeDocument/2006/relationships/ctrlProp" Target="../ctrlProps/ctrlProp106.xml"/><Relationship Id="rId147" Type="http://schemas.openxmlformats.org/officeDocument/2006/relationships/ctrlProp" Target="../ctrlProps/ctrlProp148.xml"/><Relationship Id="rId312" Type="http://schemas.openxmlformats.org/officeDocument/2006/relationships/ctrlProp" Target="../ctrlProps/ctrlProp313.xml"/><Relationship Id="rId354" Type="http://schemas.openxmlformats.org/officeDocument/2006/relationships/ctrlProp" Target="../ctrlProps/ctrlProp355.xml"/><Relationship Id="rId51" Type="http://schemas.openxmlformats.org/officeDocument/2006/relationships/ctrlProp" Target="../ctrlProps/ctrlProp52.xml"/><Relationship Id="rId93" Type="http://schemas.openxmlformats.org/officeDocument/2006/relationships/ctrlProp" Target="../ctrlProps/ctrlProp94.xml"/><Relationship Id="rId189" Type="http://schemas.openxmlformats.org/officeDocument/2006/relationships/ctrlProp" Target="../ctrlProps/ctrlProp190.xml"/><Relationship Id="rId396" Type="http://schemas.openxmlformats.org/officeDocument/2006/relationships/ctrlProp" Target="../ctrlProps/ctrlProp397.xml"/><Relationship Id="rId214" Type="http://schemas.openxmlformats.org/officeDocument/2006/relationships/ctrlProp" Target="../ctrlProps/ctrlProp215.xml"/><Relationship Id="rId256" Type="http://schemas.openxmlformats.org/officeDocument/2006/relationships/ctrlProp" Target="../ctrlProps/ctrlProp257.xml"/><Relationship Id="rId298" Type="http://schemas.openxmlformats.org/officeDocument/2006/relationships/ctrlProp" Target="../ctrlProps/ctrlProp299.xml"/><Relationship Id="rId421" Type="http://schemas.openxmlformats.org/officeDocument/2006/relationships/ctrlProp" Target="../ctrlProps/ctrlProp422.xml"/><Relationship Id="rId463" Type="http://schemas.openxmlformats.org/officeDocument/2006/relationships/ctrlProp" Target="../ctrlProps/ctrlProp464.xml"/><Relationship Id="rId519" Type="http://schemas.openxmlformats.org/officeDocument/2006/relationships/ctrlProp" Target="../ctrlProps/ctrlProp520.xml"/><Relationship Id="rId116" Type="http://schemas.openxmlformats.org/officeDocument/2006/relationships/ctrlProp" Target="../ctrlProps/ctrlProp117.xml"/><Relationship Id="rId158" Type="http://schemas.openxmlformats.org/officeDocument/2006/relationships/ctrlProp" Target="../ctrlProps/ctrlProp159.xml"/><Relationship Id="rId323" Type="http://schemas.openxmlformats.org/officeDocument/2006/relationships/ctrlProp" Target="../ctrlProps/ctrlProp324.xml"/><Relationship Id="rId20" Type="http://schemas.openxmlformats.org/officeDocument/2006/relationships/ctrlProp" Target="../ctrlProps/ctrlProp21.xml"/><Relationship Id="rId62" Type="http://schemas.openxmlformats.org/officeDocument/2006/relationships/ctrlProp" Target="../ctrlProps/ctrlProp63.xml"/><Relationship Id="rId365" Type="http://schemas.openxmlformats.org/officeDocument/2006/relationships/ctrlProp" Target="../ctrlProps/ctrlProp366.xml"/><Relationship Id="rId225" Type="http://schemas.openxmlformats.org/officeDocument/2006/relationships/ctrlProp" Target="../ctrlProps/ctrlProp226.xml"/><Relationship Id="rId267" Type="http://schemas.openxmlformats.org/officeDocument/2006/relationships/ctrlProp" Target="../ctrlProps/ctrlProp268.xml"/><Relationship Id="rId432" Type="http://schemas.openxmlformats.org/officeDocument/2006/relationships/ctrlProp" Target="../ctrlProps/ctrlProp433.xml"/><Relationship Id="rId474" Type="http://schemas.openxmlformats.org/officeDocument/2006/relationships/ctrlProp" Target="../ctrlProps/ctrlProp475.xml"/><Relationship Id="rId127" Type="http://schemas.openxmlformats.org/officeDocument/2006/relationships/ctrlProp" Target="../ctrlProps/ctrlProp128.xml"/><Relationship Id="rId31" Type="http://schemas.openxmlformats.org/officeDocument/2006/relationships/ctrlProp" Target="../ctrlProps/ctrlProp32.xml"/><Relationship Id="rId73" Type="http://schemas.openxmlformats.org/officeDocument/2006/relationships/ctrlProp" Target="../ctrlProps/ctrlProp74.xml"/><Relationship Id="rId169" Type="http://schemas.openxmlformats.org/officeDocument/2006/relationships/ctrlProp" Target="../ctrlProps/ctrlProp170.xml"/><Relationship Id="rId334" Type="http://schemas.openxmlformats.org/officeDocument/2006/relationships/ctrlProp" Target="../ctrlProps/ctrlProp335.xml"/><Relationship Id="rId376" Type="http://schemas.openxmlformats.org/officeDocument/2006/relationships/ctrlProp" Target="../ctrlProps/ctrlProp377.xml"/><Relationship Id="rId4" Type="http://schemas.openxmlformats.org/officeDocument/2006/relationships/ctrlProp" Target="../ctrlProps/ctrlProp5.xml"/><Relationship Id="rId180" Type="http://schemas.openxmlformats.org/officeDocument/2006/relationships/ctrlProp" Target="../ctrlProps/ctrlProp181.xml"/><Relationship Id="rId236" Type="http://schemas.openxmlformats.org/officeDocument/2006/relationships/ctrlProp" Target="../ctrlProps/ctrlProp237.xml"/><Relationship Id="rId278" Type="http://schemas.openxmlformats.org/officeDocument/2006/relationships/ctrlProp" Target="../ctrlProps/ctrlProp279.xml"/><Relationship Id="rId401" Type="http://schemas.openxmlformats.org/officeDocument/2006/relationships/ctrlProp" Target="../ctrlProps/ctrlProp402.xml"/><Relationship Id="rId443" Type="http://schemas.openxmlformats.org/officeDocument/2006/relationships/ctrlProp" Target="../ctrlProps/ctrlProp444.xml"/><Relationship Id="rId303" Type="http://schemas.openxmlformats.org/officeDocument/2006/relationships/ctrlProp" Target="../ctrlProps/ctrlProp304.xml"/><Relationship Id="rId485" Type="http://schemas.openxmlformats.org/officeDocument/2006/relationships/ctrlProp" Target="../ctrlProps/ctrlProp486.xml"/><Relationship Id="rId42" Type="http://schemas.openxmlformats.org/officeDocument/2006/relationships/ctrlProp" Target="../ctrlProps/ctrlProp43.xml"/><Relationship Id="rId84" Type="http://schemas.openxmlformats.org/officeDocument/2006/relationships/ctrlProp" Target="../ctrlProps/ctrlProp85.xml"/><Relationship Id="rId138" Type="http://schemas.openxmlformats.org/officeDocument/2006/relationships/ctrlProp" Target="../ctrlProps/ctrlProp139.xml"/><Relationship Id="rId345" Type="http://schemas.openxmlformats.org/officeDocument/2006/relationships/ctrlProp" Target="../ctrlProps/ctrlProp346.xml"/><Relationship Id="rId387" Type="http://schemas.openxmlformats.org/officeDocument/2006/relationships/ctrlProp" Target="../ctrlProps/ctrlProp388.xml"/><Relationship Id="rId510" Type="http://schemas.openxmlformats.org/officeDocument/2006/relationships/ctrlProp" Target="../ctrlProps/ctrlProp511.xml"/><Relationship Id="rId191" Type="http://schemas.openxmlformats.org/officeDocument/2006/relationships/ctrlProp" Target="../ctrlProps/ctrlProp192.xml"/><Relationship Id="rId205" Type="http://schemas.openxmlformats.org/officeDocument/2006/relationships/ctrlProp" Target="../ctrlProps/ctrlProp206.xml"/><Relationship Id="rId247" Type="http://schemas.openxmlformats.org/officeDocument/2006/relationships/ctrlProp" Target="../ctrlProps/ctrlProp248.xml"/><Relationship Id="rId412" Type="http://schemas.openxmlformats.org/officeDocument/2006/relationships/ctrlProp" Target="../ctrlProps/ctrlProp413.xml"/><Relationship Id="rId107" Type="http://schemas.openxmlformats.org/officeDocument/2006/relationships/ctrlProp" Target="../ctrlProps/ctrlProp108.xml"/><Relationship Id="rId289" Type="http://schemas.openxmlformats.org/officeDocument/2006/relationships/ctrlProp" Target="../ctrlProps/ctrlProp290.xml"/><Relationship Id="rId454" Type="http://schemas.openxmlformats.org/officeDocument/2006/relationships/ctrlProp" Target="../ctrlProps/ctrlProp455.xml"/><Relationship Id="rId496" Type="http://schemas.openxmlformats.org/officeDocument/2006/relationships/ctrlProp" Target="../ctrlProps/ctrlProp497.xml"/><Relationship Id="rId11" Type="http://schemas.openxmlformats.org/officeDocument/2006/relationships/ctrlProp" Target="../ctrlProps/ctrlProp12.xml"/><Relationship Id="rId53" Type="http://schemas.openxmlformats.org/officeDocument/2006/relationships/ctrlProp" Target="../ctrlProps/ctrlProp54.xml"/><Relationship Id="rId149" Type="http://schemas.openxmlformats.org/officeDocument/2006/relationships/ctrlProp" Target="../ctrlProps/ctrlProp150.xml"/><Relationship Id="rId314" Type="http://schemas.openxmlformats.org/officeDocument/2006/relationships/ctrlProp" Target="../ctrlProps/ctrlProp315.xml"/><Relationship Id="rId356" Type="http://schemas.openxmlformats.org/officeDocument/2006/relationships/ctrlProp" Target="../ctrlProps/ctrlProp357.xml"/><Relationship Id="rId398" Type="http://schemas.openxmlformats.org/officeDocument/2006/relationships/ctrlProp" Target="../ctrlProps/ctrlProp399.xml"/><Relationship Id="rId95" Type="http://schemas.openxmlformats.org/officeDocument/2006/relationships/ctrlProp" Target="../ctrlProps/ctrlProp96.xml"/><Relationship Id="rId160" Type="http://schemas.openxmlformats.org/officeDocument/2006/relationships/ctrlProp" Target="../ctrlProps/ctrlProp161.xml"/><Relationship Id="rId216" Type="http://schemas.openxmlformats.org/officeDocument/2006/relationships/ctrlProp" Target="../ctrlProps/ctrlProp217.xml"/><Relationship Id="rId423" Type="http://schemas.openxmlformats.org/officeDocument/2006/relationships/ctrlProp" Target="../ctrlProps/ctrlProp424.xml"/><Relationship Id="rId258" Type="http://schemas.openxmlformats.org/officeDocument/2006/relationships/ctrlProp" Target="../ctrlProps/ctrlProp259.xml"/><Relationship Id="rId465" Type="http://schemas.openxmlformats.org/officeDocument/2006/relationships/ctrlProp" Target="../ctrlProps/ctrlProp466.xml"/><Relationship Id="rId22" Type="http://schemas.openxmlformats.org/officeDocument/2006/relationships/ctrlProp" Target="../ctrlProps/ctrlProp23.xml"/><Relationship Id="rId64" Type="http://schemas.openxmlformats.org/officeDocument/2006/relationships/ctrlProp" Target="../ctrlProps/ctrlProp65.xml"/><Relationship Id="rId118" Type="http://schemas.openxmlformats.org/officeDocument/2006/relationships/ctrlProp" Target="../ctrlProps/ctrlProp119.xml"/><Relationship Id="rId325" Type="http://schemas.openxmlformats.org/officeDocument/2006/relationships/ctrlProp" Target="../ctrlProps/ctrlProp326.xml"/><Relationship Id="rId367" Type="http://schemas.openxmlformats.org/officeDocument/2006/relationships/ctrlProp" Target="../ctrlProps/ctrlProp368.xml"/><Relationship Id="rId171" Type="http://schemas.openxmlformats.org/officeDocument/2006/relationships/ctrlProp" Target="../ctrlProps/ctrlProp172.xml"/><Relationship Id="rId227" Type="http://schemas.openxmlformats.org/officeDocument/2006/relationships/ctrlProp" Target="../ctrlProps/ctrlProp228.xml"/><Relationship Id="rId269" Type="http://schemas.openxmlformats.org/officeDocument/2006/relationships/ctrlProp" Target="../ctrlProps/ctrlProp270.xml"/><Relationship Id="rId434" Type="http://schemas.openxmlformats.org/officeDocument/2006/relationships/ctrlProp" Target="../ctrlProps/ctrlProp435.xml"/><Relationship Id="rId476" Type="http://schemas.openxmlformats.org/officeDocument/2006/relationships/ctrlProp" Target="../ctrlProps/ctrlProp477.xml"/><Relationship Id="rId33" Type="http://schemas.openxmlformats.org/officeDocument/2006/relationships/ctrlProp" Target="../ctrlProps/ctrlProp34.xml"/><Relationship Id="rId129" Type="http://schemas.openxmlformats.org/officeDocument/2006/relationships/ctrlProp" Target="../ctrlProps/ctrlProp130.xml"/><Relationship Id="rId280" Type="http://schemas.openxmlformats.org/officeDocument/2006/relationships/ctrlProp" Target="../ctrlProps/ctrlProp281.xml"/><Relationship Id="rId336" Type="http://schemas.openxmlformats.org/officeDocument/2006/relationships/ctrlProp" Target="../ctrlProps/ctrlProp337.xml"/><Relationship Id="rId501" Type="http://schemas.openxmlformats.org/officeDocument/2006/relationships/ctrlProp" Target="../ctrlProps/ctrlProp502.xml"/><Relationship Id="rId75" Type="http://schemas.openxmlformats.org/officeDocument/2006/relationships/ctrlProp" Target="../ctrlProps/ctrlProp76.xml"/><Relationship Id="rId140" Type="http://schemas.openxmlformats.org/officeDocument/2006/relationships/ctrlProp" Target="../ctrlProps/ctrlProp141.xml"/><Relationship Id="rId182" Type="http://schemas.openxmlformats.org/officeDocument/2006/relationships/ctrlProp" Target="../ctrlProps/ctrlProp183.xml"/><Relationship Id="rId378" Type="http://schemas.openxmlformats.org/officeDocument/2006/relationships/ctrlProp" Target="../ctrlProps/ctrlProp379.xml"/><Relationship Id="rId403" Type="http://schemas.openxmlformats.org/officeDocument/2006/relationships/ctrlProp" Target="../ctrlProps/ctrlProp404.xml"/><Relationship Id="rId6" Type="http://schemas.openxmlformats.org/officeDocument/2006/relationships/ctrlProp" Target="../ctrlProps/ctrlProp7.xml"/><Relationship Id="rId238" Type="http://schemas.openxmlformats.org/officeDocument/2006/relationships/ctrlProp" Target="../ctrlProps/ctrlProp239.xml"/><Relationship Id="rId445" Type="http://schemas.openxmlformats.org/officeDocument/2006/relationships/ctrlProp" Target="../ctrlProps/ctrlProp446.xml"/><Relationship Id="rId487" Type="http://schemas.openxmlformats.org/officeDocument/2006/relationships/ctrlProp" Target="../ctrlProps/ctrlProp488.xml"/><Relationship Id="rId291" Type="http://schemas.openxmlformats.org/officeDocument/2006/relationships/ctrlProp" Target="../ctrlProps/ctrlProp292.xml"/><Relationship Id="rId305" Type="http://schemas.openxmlformats.org/officeDocument/2006/relationships/ctrlProp" Target="../ctrlProps/ctrlProp306.xml"/><Relationship Id="rId347" Type="http://schemas.openxmlformats.org/officeDocument/2006/relationships/ctrlProp" Target="../ctrlProps/ctrlProp348.xml"/><Relationship Id="rId512" Type="http://schemas.openxmlformats.org/officeDocument/2006/relationships/ctrlProp" Target="../ctrlProps/ctrlProp513.xml"/><Relationship Id="rId44" Type="http://schemas.openxmlformats.org/officeDocument/2006/relationships/ctrlProp" Target="../ctrlProps/ctrlProp45.xml"/><Relationship Id="rId86" Type="http://schemas.openxmlformats.org/officeDocument/2006/relationships/ctrlProp" Target="../ctrlProps/ctrlProp87.xml"/><Relationship Id="rId151" Type="http://schemas.openxmlformats.org/officeDocument/2006/relationships/ctrlProp" Target="../ctrlProps/ctrlProp152.xml"/><Relationship Id="rId389" Type="http://schemas.openxmlformats.org/officeDocument/2006/relationships/ctrlProp" Target="../ctrlProps/ctrlProp390.xml"/><Relationship Id="rId193" Type="http://schemas.openxmlformats.org/officeDocument/2006/relationships/ctrlProp" Target="../ctrlProps/ctrlProp194.xml"/><Relationship Id="rId207" Type="http://schemas.openxmlformats.org/officeDocument/2006/relationships/ctrlProp" Target="../ctrlProps/ctrlProp208.xml"/><Relationship Id="rId249" Type="http://schemas.openxmlformats.org/officeDocument/2006/relationships/ctrlProp" Target="../ctrlProps/ctrlProp250.xml"/><Relationship Id="rId414" Type="http://schemas.openxmlformats.org/officeDocument/2006/relationships/ctrlProp" Target="../ctrlProps/ctrlProp415.xml"/><Relationship Id="rId456" Type="http://schemas.openxmlformats.org/officeDocument/2006/relationships/ctrlProp" Target="../ctrlProps/ctrlProp457.xml"/><Relationship Id="rId498" Type="http://schemas.openxmlformats.org/officeDocument/2006/relationships/ctrlProp" Target="../ctrlProps/ctrlProp499.xml"/><Relationship Id="rId13" Type="http://schemas.openxmlformats.org/officeDocument/2006/relationships/ctrlProp" Target="../ctrlProps/ctrlProp14.xml"/><Relationship Id="rId109" Type="http://schemas.openxmlformats.org/officeDocument/2006/relationships/ctrlProp" Target="../ctrlProps/ctrlProp110.xml"/><Relationship Id="rId260" Type="http://schemas.openxmlformats.org/officeDocument/2006/relationships/ctrlProp" Target="../ctrlProps/ctrlProp261.xml"/><Relationship Id="rId316" Type="http://schemas.openxmlformats.org/officeDocument/2006/relationships/ctrlProp" Target="../ctrlProps/ctrlProp317.xml"/><Relationship Id="rId55" Type="http://schemas.openxmlformats.org/officeDocument/2006/relationships/ctrlProp" Target="../ctrlProps/ctrlProp56.xml"/><Relationship Id="rId97" Type="http://schemas.openxmlformats.org/officeDocument/2006/relationships/ctrlProp" Target="../ctrlProps/ctrlProp98.xml"/><Relationship Id="rId120" Type="http://schemas.openxmlformats.org/officeDocument/2006/relationships/ctrlProp" Target="../ctrlProps/ctrlProp121.xml"/><Relationship Id="rId358" Type="http://schemas.openxmlformats.org/officeDocument/2006/relationships/ctrlProp" Target="../ctrlProps/ctrlProp359.xml"/><Relationship Id="rId162" Type="http://schemas.openxmlformats.org/officeDocument/2006/relationships/ctrlProp" Target="../ctrlProps/ctrlProp163.xml"/><Relationship Id="rId218" Type="http://schemas.openxmlformats.org/officeDocument/2006/relationships/ctrlProp" Target="../ctrlProps/ctrlProp219.xml"/><Relationship Id="rId425" Type="http://schemas.openxmlformats.org/officeDocument/2006/relationships/ctrlProp" Target="../ctrlProps/ctrlProp426.xml"/><Relationship Id="rId467" Type="http://schemas.openxmlformats.org/officeDocument/2006/relationships/ctrlProp" Target="../ctrlProps/ctrlProp468.xml"/><Relationship Id="rId271" Type="http://schemas.openxmlformats.org/officeDocument/2006/relationships/ctrlProp" Target="../ctrlProps/ctrlProp272.xml"/><Relationship Id="rId24" Type="http://schemas.openxmlformats.org/officeDocument/2006/relationships/ctrlProp" Target="../ctrlProps/ctrlProp25.xml"/><Relationship Id="rId66" Type="http://schemas.openxmlformats.org/officeDocument/2006/relationships/ctrlProp" Target="../ctrlProps/ctrlProp67.xml"/><Relationship Id="rId131" Type="http://schemas.openxmlformats.org/officeDocument/2006/relationships/ctrlProp" Target="../ctrlProps/ctrlProp132.xml"/><Relationship Id="rId327" Type="http://schemas.openxmlformats.org/officeDocument/2006/relationships/ctrlProp" Target="../ctrlProps/ctrlProp328.xml"/><Relationship Id="rId369" Type="http://schemas.openxmlformats.org/officeDocument/2006/relationships/ctrlProp" Target="../ctrlProps/ctrlProp370.xml"/><Relationship Id="rId173" Type="http://schemas.openxmlformats.org/officeDocument/2006/relationships/ctrlProp" Target="../ctrlProps/ctrlProp174.xml"/><Relationship Id="rId229" Type="http://schemas.openxmlformats.org/officeDocument/2006/relationships/ctrlProp" Target="../ctrlProps/ctrlProp230.xml"/><Relationship Id="rId380" Type="http://schemas.openxmlformats.org/officeDocument/2006/relationships/ctrlProp" Target="../ctrlProps/ctrlProp381.xml"/><Relationship Id="rId436" Type="http://schemas.openxmlformats.org/officeDocument/2006/relationships/ctrlProp" Target="../ctrlProps/ctrlProp437.xml"/><Relationship Id="rId240" Type="http://schemas.openxmlformats.org/officeDocument/2006/relationships/ctrlProp" Target="../ctrlProps/ctrlProp241.xml"/><Relationship Id="rId478" Type="http://schemas.openxmlformats.org/officeDocument/2006/relationships/ctrlProp" Target="../ctrlProps/ctrlProp479.xml"/><Relationship Id="rId35" Type="http://schemas.openxmlformats.org/officeDocument/2006/relationships/ctrlProp" Target="../ctrlProps/ctrlProp36.xml"/><Relationship Id="rId77" Type="http://schemas.openxmlformats.org/officeDocument/2006/relationships/ctrlProp" Target="../ctrlProps/ctrlProp78.xml"/><Relationship Id="rId100" Type="http://schemas.openxmlformats.org/officeDocument/2006/relationships/ctrlProp" Target="../ctrlProps/ctrlProp101.xml"/><Relationship Id="rId282" Type="http://schemas.openxmlformats.org/officeDocument/2006/relationships/ctrlProp" Target="../ctrlProps/ctrlProp283.xml"/><Relationship Id="rId338" Type="http://schemas.openxmlformats.org/officeDocument/2006/relationships/ctrlProp" Target="../ctrlProps/ctrlProp339.xml"/><Relationship Id="rId503" Type="http://schemas.openxmlformats.org/officeDocument/2006/relationships/ctrlProp" Target="../ctrlProps/ctrlProp504.xml"/><Relationship Id="rId8" Type="http://schemas.openxmlformats.org/officeDocument/2006/relationships/ctrlProp" Target="../ctrlProps/ctrlProp9.xml"/><Relationship Id="rId142" Type="http://schemas.openxmlformats.org/officeDocument/2006/relationships/ctrlProp" Target="../ctrlProps/ctrlProp143.xml"/><Relationship Id="rId184" Type="http://schemas.openxmlformats.org/officeDocument/2006/relationships/ctrlProp" Target="../ctrlProps/ctrlProp185.xml"/><Relationship Id="rId391" Type="http://schemas.openxmlformats.org/officeDocument/2006/relationships/ctrlProp" Target="../ctrlProps/ctrlProp392.xml"/><Relationship Id="rId405" Type="http://schemas.openxmlformats.org/officeDocument/2006/relationships/ctrlProp" Target="../ctrlProps/ctrlProp406.xml"/><Relationship Id="rId447" Type="http://schemas.openxmlformats.org/officeDocument/2006/relationships/ctrlProp" Target="../ctrlProps/ctrlProp448.xml"/><Relationship Id="rId251" Type="http://schemas.openxmlformats.org/officeDocument/2006/relationships/ctrlProp" Target="../ctrlProps/ctrlProp252.xml"/><Relationship Id="rId489" Type="http://schemas.openxmlformats.org/officeDocument/2006/relationships/ctrlProp" Target="../ctrlProps/ctrlProp490.xml"/><Relationship Id="rId46" Type="http://schemas.openxmlformats.org/officeDocument/2006/relationships/ctrlProp" Target="../ctrlProps/ctrlProp47.xml"/><Relationship Id="rId293" Type="http://schemas.openxmlformats.org/officeDocument/2006/relationships/ctrlProp" Target="../ctrlProps/ctrlProp294.xml"/><Relationship Id="rId307" Type="http://schemas.openxmlformats.org/officeDocument/2006/relationships/ctrlProp" Target="../ctrlProps/ctrlProp308.xml"/><Relationship Id="rId349" Type="http://schemas.openxmlformats.org/officeDocument/2006/relationships/ctrlProp" Target="../ctrlProps/ctrlProp350.xml"/><Relationship Id="rId514" Type="http://schemas.openxmlformats.org/officeDocument/2006/relationships/ctrlProp" Target="../ctrlProps/ctrlProp515.xml"/><Relationship Id="rId88" Type="http://schemas.openxmlformats.org/officeDocument/2006/relationships/ctrlProp" Target="../ctrlProps/ctrlProp89.xml"/><Relationship Id="rId111" Type="http://schemas.openxmlformats.org/officeDocument/2006/relationships/ctrlProp" Target="../ctrlProps/ctrlProp112.xml"/><Relationship Id="rId153" Type="http://schemas.openxmlformats.org/officeDocument/2006/relationships/ctrlProp" Target="../ctrlProps/ctrlProp154.xml"/><Relationship Id="rId195" Type="http://schemas.openxmlformats.org/officeDocument/2006/relationships/ctrlProp" Target="../ctrlProps/ctrlProp196.xml"/><Relationship Id="rId209" Type="http://schemas.openxmlformats.org/officeDocument/2006/relationships/ctrlProp" Target="../ctrlProps/ctrlProp210.xml"/><Relationship Id="rId360" Type="http://schemas.openxmlformats.org/officeDocument/2006/relationships/ctrlProp" Target="../ctrlProps/ctrlProp361.xml"/><Relationship Id="rId416" Type="http://schemas.openxmlformats.org/officeDocument/2006/relationships/ctrlProp" Target="../ctrlProps/ctrlProp417.xml"/><Relationship Id="rId220" Type="http://schemas.openxmlformats.org/officeDocument/2006/relationships/ctrlProp" Target="../ctrlProps/ctrlProp221.xml"/><Relationship Id="rId458" Type="http://schemas.openxmlformats.org/officeDocument/2006/relationships/ctrlProp" Target="../ctrlProps/ctrlProp459.xml"/><Relationship Id="rId15" Type="http://schemas.openxmlformats.org/officeDocument/2006/relationships/ctrlProp" Target="../ctrlProps/ctrlProp16.xml"/><Relationship Id="rId57" Type="http://schemas.openxmlformats.org/officeDocument/2006/relationships/ctrlProp" Target="../ctrlProps/ctrlProp58.xml"/><Relationship Id="rId262" Type="http://schemas.openxmlformats.org/officeDocument/2006/relationships/ctrlProp" Target="../ctrlProps/ctrlProp263.xml"/><Relationship Id="rId318" Type="http://schemas.openxmlformats.org/officeDocument/2006/relationships/ctrlProp" Target="../ctrlProps/ctrlProp319.xml"/><Relationship Id="rId99" Type="http://schemas.openxmlformats.org/officeDocument/2006/relationships/ctrlProp" Target="../ctrlProps/ctrlProp100.xml"/><Relationship Id="rId122" Type="http://schemas.openxmlformats.org/officeDocument/2006/relationships/ctrlProp" Target="../ctrlProps/ctrlProp123.xml"/><Relationship Id="rId164" Type="http://schemas.openxmlformats.org/officeDocument/2006/relationships/ctrlProp" Target="../ctrlProps/ctrlProp165.xml"/><Relationship Id="rId371" Type="http://schemas.openxmlformats.org/officeDocument/2006/relationships/ctrlProp" Target="../ctrlProps/ctrlProp372.xml"/><Relationship Id="rId427" Type="http://schemas.openxmlformats.org/officeDocument/2006/relationships/ctrlProp" Target="../ctrlProps/ctrlProp428.xml"/><Relationship Id="rId469" Type="http://schemas.openxmlformats.org/officeDocument/2006/relationships/ctrlProp" Target="../ctrlProps/ctrlProp470.xml"/><Relationship Id="rId26" Type="http://schemas.openxmlformats.org/officeDocument/2006/relationships/ctrlProp" Target="../ctrlProps/ctrlProp27.xml"/><Relationship Id="rId231" Type="http://schemas.openxmlformats.org/officeDocument/2006/relationships/ctrlProp" Target="../ctrlProps/ctrlProp232.xml"/><Relationship Id="rId273" Type="http://schemas.openxmlformats.org/officeDocument/2006/relationships/ctrlProp" Target="../ctrlProps/ctrlProp274.xml"/><Relationship Id="rId329" Type="http://schemas.openxmlformats.org/officeDocument/2006/relationships/ctrlProp" Target="../ctrlProps/ctrlProp330.xml"/><Relationship Id="rId480" Type="http://schemas.openxmlformats.org/officeDocument/2006/relationships/ctrlProp" Target="../ctrlProps/ctrlProp481.xml"/><Relationship Id="rId68" Type="http://schemas.openxmlformats.org/officeDocument/2006/relationships/ctrlProp" Target="../ctrlProps/ctrlProp69.xml"/><Relationship Id="rId133" Type="http://schemas.openxmlformats.org/officeDocument/2006/relationships/ctrlProp" Target="../ctrlProps/ctrlProp134.xml"/><Relationship Id="rId175" Type="http://schemas.openxmlformats.org/officeDocument/2006/relationships/ctrlProp" Target="../ctrlProps/ctrlProp176.xml"/><Relationship Id="rId340" Type="http://schemas.openxmlformats.org/officeDocument/2006/relationships/ctrlProp" Target="../ctrlProps/ctrlProp341.xml"/><Relationship Id="rId200" Type="http://schemas.openxmlformats.org/officeDocument/2006/relationships/ctrlProp" Target="../ctrlProps/ctrlProp201.xml"/><Relationship Id="rId382" Type="http://schemas.openxmlformats.org/officeDocument/2006/relationships/ctrlProp" Target="../ctrlProps/ctrlProp383.xml"/><Relationship Id="rId438" Type="http://schemas.openxmlformats.org/officeDocument/2006/relationships/ctrlProp" Target="../ctrlProps/ctrlProp439.xml"/><Relationship Id="rId242" Type="http://schemas.openxmlformats.org/officeDocument/2006/relationships/ctrlProp" Target="../ctrlProps/ctrlProp243.xml"/><Relationship Id="rId284" Type="http://schemas.openxmlformats.org/officeDocument/2006/relationships/ctrlProp" Target="../ctrlProps/ctrlProp285.xml"/><Relationship Id="rId491" Type="http://schemas.openxmlformats.org/officeDocument/2006/relationships/ctrlProp" Target="../ctrlProps/ctrlProp492.xml"/><Relationship Id="rId505" Type="http://schemas.openxmlformats.org/officeDocument/2006/relationships/ctrlProp" Target="../ctrlProps/ctrlProp506.xml"/><Relationship Id="rId37" Type="http://schemas.openxmlformats.org/officeDocument/2006/relationships/ctrlProp" Target="../ctrlProps/ctrlProp38.xml"/><Relationship Id="rId79" Type="http://schemas.openxmlformats.org/officeDocument/2006/relationships/ctrlProp" Target="../ctrlProps/ctrlProp80.xml"/><Relationship Id="rId102" Type="http://schemas.openxmlformats.org/officeDocument/2006/relationships/ctrlProp" Target="../ctrlProps/ctrlProp103.xml"/><Relationship Id="rId144" Type="http://schemas.openxmlformats.org/officeDocument/2006/relationships/ctrlProp" Target="../ctrlProps/ctrlProp145.xml"/><Relationship Id="rId90" Type="http://schemas.openxmlformats.org/officeDocument/2006/relationships/ctrlProp" Target="../ctrlProps/ctrlProp91.xml"/><Relationship Id="rId186" Type="http://schemas.openxmlformats.org/officeDocument/2006/relationships/ctrlProp" Target="../ctrlProps/ctrlProp187.xml"/><Relationship Id="rId351" Type="http://schemas.openxmlformats.org/officeDocument/2006/relationships/ctrlProp" Target="../ctrlProps/ctrlProp352.xml"/><Relationship Id="rId393" Type="http://schemas.openxmlformats.org/officeDocument/2006/relationships/ctrlProp" Target="../ctrlProps/ctrlProp394.xml"/><Relationship Id="rId407" Type="http://schemas.openxmlformats.org/officeDocument/2006/relationships/ctrlProp" Target="../ctrlProps/ctrlProp408.xml"/><Relationship Id="rId449" Type="http://schemas.openxmlformats.org/officeDocument/2006/relationships/ctrlProp" Target="../ctrlProps/ctrlProp450.xml"/><Relationship Id="rId211" Type="http://schemas.openxmlformats.org/officeDocument/2006/relationships/ctrlProp" Target="../ctrlProps/ctrlProp212.xml"/><Relationship Id="rId253" Type="http://schemas.openxmlformats.org/officeDocument/2006/relationships/ctrlProp" Target="../ctrlProps/ctrlProp254.xml"/><Relationship Id="rId295" Type="http://schemas.openxmlformats.org/officeDocument/2006/relationships/ctrlProp" Target="../ctrlProps/ctrlProp296.xml"/><Relationship Id="rId309" Type="http://schemas.openxmlformats.org/officeDocument/2006/relationships/ctrlProp" Target="../ctrlProps/ctrlProp310.xml"/><Relationship Id="rId460" Type="http://schemas.openxmlformats.org/officeDocument/2006/relationships/ctrlProp" Target="../ctrlProps/ctrlProp461.xml"/><Relationship Id="rId516" Type="http://schemas.openxmlformats.org/officeDocument/2006/relationships/ctrlProp" Target="../ctrlProps/ctrlProp517.xml"/><Relationship Id="rId48" Type="http://schemas.openxmlformats.org/officeDocument/2006/relationships/ctrlProp" Target="../ctrlProps/ctrlProp49.xml"/><Relationship Id="rId113" Type="http://schemas.openxmlformats.org/officeDocument/2006/relationships/ctrlProp" Target="../ctrlProps/ctrlProp114.xml"/><Relationship Id="rId320" Type="http://schemas.openxmlformats.org/officeDocument/2006/relationships/ctrlProp" Target="../ctrlProps/ctrlProp321.xml"/><Relationship Id="rId155" Type="http://schemas.openxmlformats.org/officeDocument/2006/relationships/ctrlProp" Target="../ctrlProps/ctrlProp156.xml"/><Relationship Id="rId197" Type="http://schemas.openxmlformats.org/officeDocument/2006/relationships/ctrlProp" Target="../ctrlProps/ctrlProp198.xml"/><Relationship Id="rId362" Type="http://schemas.openxmlformats.org/officeDocument/2006/relationships/ctrlProp" Target="../ctrlProps/ctrlProp363.xml"/><Relationship Id="rId418" Type="http://schemas.openxmlformats.org/officeDocument/2006/relationships/ctrlProp" Target="../ctrlProps/ctrlProp419.xml"/><Relationship Id="rId222" Type="http://schemas.openxmlformats.org/officeDocument/2006/relationships/ctrlProp" Target="../ctrlProps/ctrlProp223.xml"/><Relationship Id="rId264" Type="http://schemas.openxmlformats.org/officeDocument/2006/relationships/ctrlProp" Target="../ctrlProps/ctrlProp265.xml"/><Relationship Id="rId471" Type="http://schemas.openxmlformats.org/officeDocument/2006/relationships/ctrlProp" Target="../ctrlProps/ctrlProp472.xml"/><Relationship Id="rId17" Type="http://schemas.openxmlformats.org/officeDocument/2006/relationships/ctrlProp" Target="../ctrlProps/ctrlProp18.xml"/><Relationship Id="rId59" Type="http://schemas.openxmlformats.org/officeDocument/2006/relationships/ctrlProp" Target="../ctrlProps/ctrlProp60.xml"/><Relationship Id="rId124" Type="http://schemas.openxmlformats.org/officeDocument/2006/relationships/ctrlProp" Target="../ctrlProps/ctrlProp125.xml"/><Relationship Id="rId70" Type="http://schemas.openxmlformats.org/officeDocument/2006/relationships/ctrlProp" Target="../ctrlProps/ctrlProp71.xml"/><Relationship Id="rId166" Type="http://schemas.openxmlformats.org/officeDocument/2006/relationships/ctrlProp" Target="../ctrlProps/ctrlProp167.xml"/><Relationship Id="rId331" Type="http://schemas.openxmlformats.org/officeDocument/2006/relationships/ctrlProp" Target="../ctrlProps/ctrlProp332.xml"/><Relationship Id="rId373" Type="http://schemas.openxmlformats.org/officeDocument/2006/relationships/ctrlProp" Target="../ctrlProps/ctrlProp374.xml"/><Relationship Id="rId429" Type="http://schemas.openxmlformats.org/officeDocument/2006/relationships/ctrlProp" Target="../ctrlProps/ctrlProp430.xml"/><Relationship Id="rId1" Type="http://schemas.openxmlformats.org/officeDocument/2006/relationships/printerSettings" Target="../printerSettings/printerSettings3.bin"/><Relationship Id="rId233" Type="http://schemas.openxmlformats.org/officeDocument/2006/relationships/ctrlProp" Target="../ctrlProps/ctrlProp234.xml"/><Relationship Id="rId440" Type="http://schemas.openxmlformats.org/officeDocument/2006/relationships/ctrlProp" Target="../ctrlProps/ctrlProp441.xml"/><Relationship Id="rId28" Type="http://schemas.openxmlformats.org/officeDocument/2006/relationships/ctrlProp" Target="../ctrlProps/ctrlProp29.xml"/><Relationship Id="rId275" Type="http://schemas.openxmlformats.org/officeDocument/2006/relationships/ctrlProp" Target="../ctrlProps/ctrlProp276.xml"/><Relationship Id="rId300" Type="http://schemas.openxmlformats.org/officeDocument/2006/relationships/ctrlProp" Target="../ctrlProps/ctrlProp301.xml"/><Relationship Id="rId482" Type="http://schemas.openxmlformats.org/officeDocument/2006/relationships/ctrlProp" Target="../ctrlProps/ctrlProp483.xml"/><Relationship Id="rId81" Type="http://schemas.openxmlformats.org/officeDocument/2006/relationships/ctrlProp" Target="../ctrlProps/ctrlProp82.xml"/><Relationship Id="rId135" Type="http://schemas.openxmlformats.org/officeDocument/2006/relationships/ctrlProp" Target="../ctrlProps/ctrlProp136.xml"/><Relationship Id="rId177" Type="http://schemas.openxmlformats.org/officeDocument/2006/relationships/ctrlProp" Target="../ctrlProps/ctrlProp178.xml"/><Relationship Id="rId342" Type="http://schemas.openxmlformats.org/officeDocument/2006/relationships/ctrlProp" Target="../ctrlProps/ctrlProp343.xml"/><Relationship Id="rId384" Type="http://schemas.openxmlformats.org/officeDocument/2006/relationships/ctrlProp" Target="../ctrlProps/ctrlProp385.xml"/><Relationship Id="rId202" Type="http://schemas.openxmlformats.org/officeDocument/2006/relationships/ctrlProp" Target="../ctrlProps/ctrlProp203.xml"/><Relationship Id="rId244" Type="http://schemas.openxmlformats.org/officeDocument/2006/relationships/ctrlProp" Target="../ctrlProps/ctrlProp245.xml"/><Relationship Id="rId39" Type="http://schemas.openxmlformats.org/officeDocument/2006/relationships/ctrlProp" Target="../ctrlProps/ctrlProp40.xml"/><Relationship Id="rId286" Type="http://schemas.openxmlformats.org/officeDocument/2006/relationships/ctrlProp" Target="../ctrlProps/ctrlProp287.xml"/><Relationship Id="rId451" Type="http://schemas.openxmlformats.org/officeDocument/2006/relationships/ctrlProp" Target="../ctrlProps/ctrlProp452.xml"/><Relationship Id="rId493" Type="http://schemas.openxmlformats.org/officeDocument/2006/relationships/ctrlProp" Target="../ctrlProps/ctrlProp494.xml"/><Relationship Id="rId507" Type="http://schemas.openxmlformats.org/officeDocument/2006/relationships/ctrlProp" Target="../ctrlProps/ctrlProp508.xml"/><Relationship Id="rId50" Type="http://schemas.openxmlformats.org/officeDocument/2006/relationships/ctrlProp" Target="../ctrlProps/ctrlProp51.xml"/><Relationship Id="rId104" Type="http://schemas.openxmlformats.org/officeDocument/2006/relationships/ctrlProp" Target="../ctrlProps/ctrlProp105.xml"/><Relationship Id="rId146" Type="http://schemas.openxmlformats.org/officeDocument/2006/relationships/ctrlProp" Target="../ctrlProps/ctrlProp147.xml"/><Relationship Id="rId188" Type="http://schemas.openxmlformats.org/officeDocument/2006/relationships/ctrlProp" Target="../ctrlProps/ctrlProp189.xml"/><Relationship Id="rId311" Type="http://schemas.openxmlformats.org/officeDocument/2006/relationships/ctrlProp" Target="../ctrlProps/ctrlProp312.xml"/><Relationship Id="rId353" Type="http://schemas.openxmlformats.org/officeDocument/2006/relationships/ctrlProp" Target="../ctrlProps/ctrlProp354.xml"/><Relationship Id="rId395" Type="http://schemas.openxmlformats.org/officeDocument/2006/relationships/ctrlProp" Target="../ctrlProps/ctrlProp396.xml"/><Relationship Id="rId409" Type="http://schemas.openxmlformats.org/officeDocument/2006/relationships/ctrlProp" Target="../ctrlProps/ctrlProp410.xml"/><Relationship Id="rId92" Type="http://schemas.openxmlformats.org/officeDocument/2006/relationships/ctrlProp" Target="../ctrlProps/ctrlProp93.xml"/><Relationship Id="rId213" Type="http://schemas.openxmlformats.org/officeDocument/2006/relationships/ctrlProp" Target="../ctrlProps/ctrlProp214.xml"/><Relationship Id="rId420" Type="http://schemas.openxmlformats.org/officeDocument/2006/relationships/ctrlProp" Target="../ctrlProps/ctrlProp421.xml"/><Relationship Id="rId255" Type="http://schemas.openxmlformats.org/officeDocument/2006/relationships/ctrlProp" Target="../ctrlProps/ctrlProp256.xml"/><Relationship Id="rId297" Type="http://schemas.openxmlformats.org/officeDocument/2006/relationships/ctrlProp" Target="../ctrlProps/ctrlProp298.xml"/><Relationship Id="rId462" Type="http://schemas.openxmlformats.org/officeDocument/2006/relationships/ctrlProp" Target="../ctrlProps/ctrlProp463.xml"/><Relationship Id="rId518" Type="http://schemas.openxmlformats.org/officeDocument/2006/relationships/ctrlProp" Target="../ctrlProps/ctrlProp519.xml"/><Relationship Id="rId115" Type="http://schemas.openxmlformats.org/officeDocument/2006/relationships/ctrlProp" Target="../ctrlProps/ctrlProp116.xml"/><Relationship Id="rId157" Type="http://schemas.openxmlformats.org/officeDocument/2006/relationships/ctrlProp" Target="../ctrlProps/ctrlProp158.xml"/><Relationship Id="rId322" Type="http://schemas.openxmlformats.org/officeDocument/2006/relationships/ctrlProp" Target="../ctrlProps/ctrlProp323.xml"/><Relationship Id="rId364" Type="http://schemas.openxmlformats.org/officeDocument/2006/relationships/ctrlProp" Target="../ctrlProps/ctrlProp365.xml"/><Relationship Id="rId61" Type="http://schemas.openxmlformats.org/officeDocument/2006/relationships/ctrlProp" Target="../ctrlProps/ctrlProp62.xml"/><Relationship Id="rId199" Type="http://schemas.openxmlformats.org/officeDocument/2006/relationships/ctrlProp" Target="../ctrlProps/ctrlProp200.xml"/><Relationship Id="rId19" Type="http://schemas.openxmlformats.org/officeDocument/2006/relationships/ctrlProp" Target="../ctrlProps/ctrlProp20.xml"/><Relationship Id="rId224" Type="http://schemas.openxmlformats.org/officeDocument/2006/relationships/ctrlProp" Target="../ctrlProps/ctrlProp225.xml"/><Relationship Id="rId266" Type="http://schemas.openxmlformats.org/officeDocument/2006/relationships/ctrlProp" Target="../ctrlProps/ctrlProp267.xml"/><Relationship Id="rId431" Type="http://schemas.openxmlformats.org/officeDocument/2006/relationships/ctrlProp" Target="../ctrlProps/ctrlProp432.xml"/><Relationship Id="rId473" Type="http://schemas.openxmlformats.org/officeDocument/2006/relationships/ctrlProp" Target="../ctrlProps/ctrlProp474.xml"/><Relationship Id="rId30" Type="http://schemas.openxmlformats.org/officeDocument/2006/relationships/ctrlProp" Target="../ctrlProps/ctrlProp31.xml"/><Relationship Id="rId126" Type="http://schemas.openxmlformats.org/officeDocument/2006/relationships/ctrlProp" Target="../ctrlProps/ctrlProp127.xml"/><Relationship Id="rId168" Type="http://schemas.openxmlformats.org/officeDocument/2006/relationships/ctrlProp" Target="../ctrlProps/ctrlProp169.xml"/><Relationship Id="rId333" Type="http://schemas.openxmlformats.org/officeDocument/2006/relationships/ctrlProp" Target="../ctrlProps/ctrlProp334.xml"/><Relationship Id="rId72" Type="http://schemas.openxmlformats.org/officeDocument/2006/relationships/ctrlProp" Target="../ctrlProps/ctrlProp73.xml"/><Relationship Id="rId375" Type="http://schemas.openxmlformats.org/officeDocument/2006/relationships/ctrlProp" Target="../ctrlProps/ctrlProp376.xml"/><Relationship Id="rId3" Type="http://schemas.openxmlformats.org/officeDocument/2006/relationships/vmlDrawing" Target="../drawings/vmlDrawing2.vml"/><Relationship Id="rId235" Type="http://schemas.openxmlformats.org/officeDocument/2006/relationships/ctrlProp" Target="../ctrlProps/ctrlProp236.xml"/><Relationship Id="rId277" Type="http://schemas.openxmlformats.org/officeDocument/2006/relationships/ctrlProp" Target="../ctrlProps/ctrlProp278.xml"/><Relationship Id="rId400" Type="http://schemas.openxmlformats.org/officeDocument/2006/relationships/ctrlProp" Target="../ctrlProps/ctrlProp401.xml"/><Relationship Id="rId442" Type="http://schemas.openxmlformats.org/officeDocument/2006/relationships/ctrlProp" Target="../ctrlProps/ctrlProp443.xml"/><Relationship Id="rId484" Type="http://schemas.openxmlformats.org/officeDocument/2006/relationships/ctrlProp" Target="../ctrlProps/ctrlProp485.xml"/><Relationship Id="rId137" Type="http://schemas.openxmlformats.org/officeDocument/2006/relationships/ctrlProp" Target="../ctrlProps/ctrlProp138.xml"/><Relationship Id="rId302" Type="http://schemas.openxmlformats.org/officeDocument/2006/relationships/ctrlProp" Target="../ctrlProps/ctrlProp303.xml"/><Relationship Id="rId344" Type="http://schemas.openxmlformats.org/officeDocument/2006/relationships/ctrlProp" Target="../ctrlProps/ctrlProp345.xml"/><Relationship Id="rId41" Type="http://schemas.openxmlformats.org/officeDocument/2006/relationships/ctrlProp" Target="../ctrlProps/ctrlProp42.xml"/><Relationship Id="rId83" Type="http://schemas.openxmlformats.org/officeDocument/2006/relationships/ctrlProp" Target="../ctrlProps/ctrlProp84.xml"/><Relationship Id="rId179" Type="http://schemas.openxmlformats.org/officeDocument/2006/relationships/ctrlProp" Target="../ctrlProps/ctrlProp180.xml"/><Relationship Id="rId386" Type="http://schemas.openxmlformats.org/officeDocument/2006/relationships/ctrlProp" Target="../ctrlProps/ctrlProp387.xml"/><Relationship Id="rId190" Type="http://schemas.openxmlformats.org/officeDocument/2006/relationships/ctrlProp" Target="../ctrlProps/ctrlProp191.xml"/><Relationship Id="rId204" Type="http://schemas.openxmlformats.org/officeDocument/2006/relationships/ctrlProp" Target="../ctrlProps/ctrlProp205.xml"/><Relationship Id="rId246" Type="http://schemas.openxmlformats.org/officeDocument/2006/relationships/ctrlProp" Target="../ctrlProps/ctrlProp247.xml"/><Relationship Id="rId288" Type="http://schemas.openxmlformats.org/officeDocument/2006/relationships/ctrlProp" Target="../ctrlProps/ctrlProp289.xml"/><Relationship Id="rId411" Type="http://schemas.openxmlformats.org/officeDocument/2006/relationships/ctrlProp" Target="../ctrlProps/ctrlProp412.xml"/><Relationship Id="rId453" Type="http://schemas.openxmlformats.org/officeDocument/2006/relationships/ctrlProp" Target="../ctrlProps/ctrlProp454.xml"/><Relationship Id="rId509" Type="http://schemas.openxmlformats.org/officeDocument/2006/relationships/ctrlProp" Target="../ctrlProps/ctrlProp510.xml"/><Relationship Id="rId106" Type="http://schemas.openxmlformats.org/officeDocument/2006/relationships/ctrlProp" Target="../ctrlProps/ctrlProp107.xml"/><Relationship Id="rId313" Type="http://schemas.openxmlformats.org/officeDocument/2006/relationships/ctrlProp" Target="../ctrlProps/ctrlProp314.xml"/><Relationship Id="rId495" Type="http://schemas.openxmlformats.org/officeDocument/2006/relationships/ctrlProp" Target="../ctrlProps/ctrlProp496.xml"/><Relationship Id="rId10" Type="http://schemas.openxmlformats.org/officeDocument/2006/relationships/ctrlProp" Target="../ctrlProps/ctrlProp11.xml"/><Relationship Id="rId52" Type="http://schemas.openxmlformats.org/officeDocument/2006/relationships/ctrlProp" Target="../ctrlProps/ctrlProp53.xml"/><Relationship Id="rId94" Type="http://schemas.openxmlformats.org/officeDocument/2006/relationships/ctrlProp" Target="../ctrlProps/ctrlProp95.xml"/><Relationship Id="rId148" Type="http://schemas.openxmlformats.org/officeDocument/2006/relationships/ctrlProp" Target="../ctrlProps/ctrlProp149.xml"/><Relationship Id="rId355" Type="http://schemas.openxmlformats.org/officeDocument/2006/relationships/ctrlProp" Target="../ctrlProps/ctrlProp356.xml"/><Relationship Id="rId397" Type="http://schemas.openxmlformats.org/officeDocument/2006/relationships/ctrlProp" Target="../ctrlProps/ctrlProp398.xml"/><Relationship Id="rId520" Type="http://schemas.openxmlformats.org/officeDocument/2006/relationships/ctrlProp" Target="../ctrlProps/ctrlProp521.xml"/><Relationship Id="rId215" Type="http://schemas.openxmlformats.org/officeDocument/2006/relationships/ctrlProp" Target="../ctrlProps/ctrlProp216.xml"/><Relationship Id="rId257" Type="http://schemas.openxmlformats.org/officeDocument/2006/relationships/ctrlProp" Target="../ctrlProps/ctrlProp258.xml"/><Relationship Id="rId422" Type="http://schemas.openxmlformats.org/officeDocument/2006/relationships/ctrlProp" Target="../ctrlProps/ctrlProp423.xml"/><Relationship Id="rId464" Type="http://schemas.openxmlformats.org/officeDocument/2006/relationships/ctrlProp" Target="../ctrlProps/ctrlProp465.xml"/><Relationship Id="rId299" Type="http://schemas.openxmlformats.org/officeDocument/2006/relationships/ctrlProp" Target="../ctrlProps/ctrlProp300.xml"/><Relationship Id="rId63" Type="http://schemas.openxmlformats.org/officeDocument/2006/relationships/ctrlProp" Target="../ctrlProps/ctrlProp64.xml"/><Relationship Id="rId159" Type="http://schemas.openxmlformats.org/officeDocument/2006/relationships/ctrlProp" Target="../ctrlProps/ctrlProp160.xml"/><Relationship Id="rId366" Type="http://schemas.openxmlformats.org/officeDocument/2006/relationships/ctrlProp" Target="../ctrlProps/ctrlProp367.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531.xml"/><Relationship Id="rId18" Type="http://schemas.openxmlformats.org/officeDocument/2006/relationships/ctrlProp" Target="../ctrlProps/ctrlProp536.xml"/><Relationship Id="rId26" Type="http://schemas.openxmlformats.org/officeDocument/2006/relationships/ctrlProp" Target="../ctrlProps/ctrlProp544.xml"/><Relationship Id="rId39" Type="http://schemas.openxmlformats.org/officeDocument/2006/relationships/ctrlProp" Target="../ctrlProps/ctrlProp557.xml"/><Relationship Id="rId21" Type="http://schemas.openxmlformats.org/officeDocument/2006/relationships/ctrlProp" Target="../ctrlProps/ctrlProp539.xml"/><Relationship Id="rId34" Type="http://schemas.openxmlformats.org/officeDocument/2006/relationships/ctrlProp" Target="../ctrlProps/ctrlProp552.xml"/><Relationship Id="rId7" Type="http://schemas.openxmlformats.org/officeDocument/2006/relationships/ctrlProp" Target="../ctrlProps/ctrlProp525.xml"/><Relationship Id="rId12" Type="http://schemas.openxmlformats.org/officeDocument/2006/relationships/ctrlProp" Target="../ctrlProps/ctrlProp530.xml"/><Relationship Id="rId17" Type="http://schemas.openxmlformats.org/officeDocument/2006/relationships/ctrlProp" Target="../ctrlProps/ctrlProp535.xml"/><Relationship Id="rId25" Type="http://schemas.openxmlformats.org/officeDocument/2006/relationships/ctrlProp" Target="../ctrlProps/ctrlProp543.xml"/><Relationship Id="rId33" Type="http://schemas.openxmlformats.org/officeDocument/2006/relationships/ctrlProp" Target="../ctrlProps/ctrlProp551.xml"/><Relationship Id="rId38" Type="http://schemas.openxmlformats.org/officeDocument/2006/relationships/ctrlProp" Target="../ctrlProps/ctrlProp556.xml"/><Relationship Id="rId2" Type="http://schemas.openxmlformats.org/officeDocument/2006/relationships/drawing" Target="../drawings/drawing3.xml"/><Relationship Id="rId16" Type="http://schemas.openxmlformats.org/officeDocument/2006/relationships/ctrlProp" Target="../ctrlProps/ctrlProp534.xml"/><Relationship Id="rId20" Type="http://schemas.openxmlformats.org/officeDocument/2006/relationships/ctrlProp" Target="../ctrlProps/ctrlProp538.xml"/><Relationship Id="rId29" Type="http://schemas.openxmlformats.org/officeDocument/2006/relationships/ctrlProp" Target="../ctrlProps/ctrlProp547.xml"/><Relationship Id="rId1" Type="http://schemas.openxmlformats.org/officeDocument/2006/relationships/printerSettings" Target="../printerSettings/printerSettings4.bin"/><Relationship Id="rId6" Type="http://schemas.openxmlformats.org/officeDocument/2006/relationships/ctrlProp" Target="../ctrlProps/ctrlProp524.xml"/><Relationship Id="rId11" Type="http://schemas.openxmlformats.org/officeDocument/2006/relationships/ctrlProp" Target="../ctrlProps/ctrlProp529.xml"/><Relationship Id="rId24" Type="http://schemas.openxmlformats.org/officeDocument/2006/relationships/ctrlProp" Target="../ctrlProps/ctrlProp542.xml"/><Relationship Id="rId32" Type="http://schemas.openxmlformats.org/officeDocument/2006/relationships/ctrlProp" Target="../ctrlProps/ctrlProp550.xml"/><Relationship Id="rId37" Type="http://schemas.openxmlformats.org/officeDocument/2006/relationships/ctrlProp" Target="../ctrlProps/ctrlProp555.xml"/><Relationship Id="rId40" Type="http://schemas.openxmlformats.org/officeDocument/2006/relationships/ctrlProp" Target="../ctrlProps/ctrlProp558.xml"/><Relationship Id="rId5" Type="http://schemas.openxmlformats.org/officeDocument/2006/relationships/ctrlProp" Target="../ctrlProps/ctrlProp523.xml"/><Relationship Id="rId15" Type="http://schemas.openxmlformats.org/officeDocument/2006/relationships/ctrlProp" Target="../ctrlProps/ctrlProp533.xml"/><Relationship Id="rId23" Type="http://schemas.openxmlformats.org/officeDocument/2006/relationships/ctrlProp" Target="../ctrlProps/ctrlProp541.xml"/><Relationship Id="rId28" Type="http://schemas.openxmlformats.org/officeDocument/2006/relationships/ctrlProp" Target="../ctrlProps/ctrlProp546.xml"/><Relationship Id="rId36" Type="http://schemas.openxmlformats.org/officeDocument/2006/relationships/ctrlProp" Target="../ctrlProps/ctrlProp554.xml"/><Relationship Id="rId10" Type="http://schemas.openxmlformats.org/officeDocument/2006/relationships/ctrlProp" Target="../ctrlProps/ctrlProp528.xml"/><Relationship Id="rId19" Type="http://schemas.openxmlformats.org/officeDocument/2006/relationships/ctrlProp" Target="../ctrlProps/ctrlProp537.xml"/><Relationship Id="rId31" Type="http://schemas.openxmlformats.org/officeDocument/2006/relationships/ctrlProp" Target="../ctrlProps/ctrlProp549.xml"/><Relationship Id="rId4" Type="http://schemas.openxmlformats.org/officeDocument/2006/relationships/ctrlProp" Target="../ctrlProps/ctrlProp522.xml"/><Relationship Id="rId9" Type="http://schemas.openxmlformats.org/officeDocument/2006/relationships/ctrlProp" Target="../ctrlProps/ctrlProp527.xml"/><Relationship Id="rId14" Type="http://schemas.openxmlformats.org/officeDocument/2006/relationships/ctrlProp" Target="../ctrlProps/ctrlProp532.xml"/><Relationship Id="rId22" Type="http://schemas.openxmlformats.org/officeDocument/2006/relationships/ctrlProp" Target="../ctrlProps/ctrlProp540.xml"/><Relationship Id="rId27" Type="http://schemas.openxmlformats.org/officeDocument/2006/relationships/ctrlProp" Target="../ctrlProps/ctrlProp545.xml"/><Relationship Id="rId30" Type="http://schemas.openxmlformats.org/officeDocument/2006/relationships/ctrlProp" Target="../ctrlProps/ctrlProp548.xml"/><Relationship Id="rId35" Type="http://schemas.openxmlformats.org/officeDocument/2006/relationships/ctrlProp" Target="../ctrlProps/ctrlProp553.xml"/><Relationship Id="rId8" Type="http://schemas.openxmlformats.org/officeDocument/2006/relationships/ctrlProp" Target="../ctrlProps/ctrlProp526.xml"/><Relationship Id="rId3"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568.xml"/><Relationship Id="rId18" Type="http://schemas.openxmlformats.org/officeDocument/2006/relationships/ctrlProp" Target="../ctrlProps/ctrlProp573.xml"/><Relationship Id="rId26" Type="http://schemas.openxmlformats.org/officeDocument/2006/relationships/ctrlProp" Target="../ctrlProps/ctrlProp581.xml"/><Relationship Id="rId39" Type="http://schemas.openxmlformats.org/officeDocument/2006/relationships/ctrlProp" Target="../ctrlProps/ctrlProp594.xml"/><Relationship Id="rId21" Type="http://schemas.openxmlformats.org/officeDocument/2006/relationships/ctrlProp" Target="../ctrlProps/ctrlProp576.xml"/><Relationship Id="rId34" Type="http://schemas.openxmlformats.org/officeDocument/2006/relationships/ctrlProp" Target="../ctrlProps/ctrlProp589.xml"/><Relationship Id="rId7" Type="http://schemas.openxmlformats.org/officeDocument/2006/relationships/ctrlProp" Target="../ctrlProps/ctrlProp562.xml"/><Relationship Id="rId12" Type="http://schemas.openxmlformats.org/officeDocument/2006/relationships/ctrlProp" Target="../ctrlProps/ctrlProp567.xml"/><Relationship Id="rId17" Type="http://schemas.openxmlformats.org/officeDocument/2006/relationships/ctrlProp" Target="../ctrlProps/ctrlProp572.xml"/><Relationship Id="rId25" Type="http://schemas.openxmlformats.org/officeDocument/2006/relationships/ctrlProp" Target="../ctrlProps/ctrlProp580.xml"/><Relationship Id="rId33" Type="http://schemas.openxmlformats.org/officeDocument/2006/relationships/ctrlProp" Target="../ctrlProps/ctrlProp588.xml"/><Relationship Id="rId38" Type="http://schemas.openxmlformats.org/officeDocument/2006/relationships/ctrlProp" Target="../ctrlProps/ctrlProp593.xml"/><Relationship Id="rId2" Type="http://schemas.openxmlformats.org/officeDocument/2006/relationships/drawing" Target="../drawings/drawing4.xml"/><Relationship Id="rId16" Type="http://schemas.openxmlformats.org/officeDocument/2006/relationships/ctrlProp" Target="../ctrlProps/ctrlProp571.xml"/><Relationship Id="rId20" Type="http://schemas.openxmlformats.org/officeDocument/2006/relationships/ctrlProp" Target="../ctrlProps/ctrlProp575.xml"/><Relationship Id="rId29" Type="http://schemas.openxmlformats.org/officeDocument/2006/relationships/ctrlProp" Target="../ctrlProps/ctrlProp584.xml"/><Relationship Id="rId1" Type="http://schemas.openxmlformats.org/officeDocument/2006/relationships/printerSettings" Target="../printerSettings/printerSettings5.bin"/><Relationship Id="rId6" Type="http://schemas.openxmlformats.org/officeDocument/2006/relationships/ctrlProp" Target="../ctrlProps/ctrlProp561.xml"/><Relationship Id="rId11" Type="http://schemas.openxmlformats.org/officeDocument/2006/relationships/ctrlProp" Target="../ctrlProps/ctrlProp566.xml"/><Relationship Id="rId24" Type="http://schemas.openxmlformats.org/officeDocument/2006/relationships/ctrlProp" Target="../ctrlProps/ctrlProp579.xml"/><Relationship Id="rId32" Type="http://schemas.openxmlformats.org/officeDocument/2006/relationships/ctrlProp" Target="../ctrlProps/ctrlProp587.xml"/><Relationship Id="rId37" Type="http://schemas.openxmlformats.org/officeDocument/2006/relationships/ctrlProp" Target="../ctrlProps/ctrlProp592.xml"/><Relationship Id="rId40" Type="http://schemas.openxmlformats.org/officeDocument/2006/relationships/ctrlProp" Target="../ctrlProps/ctrlProp595.xml"/><Relationship Id="rId5" Type="http://schemas.openxmlformats.org/officeDocument/2006/relationships/ctrlProp" Target="../ctrlProps/ctrlProp560.xml"/><Relationship Id="rId15" Type="http://schemas.openxmlformats.org/officeDocument/2006/relationships/ctrlProp" Target="../ctrlProps/ctrlProp570.xml"/><Relationship Id="rId23" Type="http://schemas.openxmlformats.org/officeDocument/2006/relationships/ctrlProp" Target="../ctrlProps/ctrlProp578.xml"/><Relationship Id="rId28" Type="http://schemas.openxmlformats.org/officeDocument/2006/relationships/ctrlProp" Target="../ctrlProps/ctrlProp583.xml"/><Relationship Id="rId36" Type="http://schemas.openxmlformats.org/officeDocument/2006/relationships/ctrlProp" Target="../ctrlProps/ctrlProp591.xml"/><Relationship Id="rId10" Type="http://schemas.openxmlformats.org/officeDocument/2006/relationships/ctrlProp" Target="../ctrlProps/ctrlProp565.xml"/><Relationship Id="rId19" Type="http://schemas.openxmlformats.org/officeDocument/2006/relationships/ctrlProp" Target="../ctrlProps/ctrlProp574.xml"/><Relationship Id="rId31" Type="http://schemas.openxmlformats.org/officeDocument/2006/relationships/ctrlProp" Target="../ctrlProps/ctrlProp586.xml"/><Relationship Id="rId4" Type="http://schemas.openxmlformats.org/officeDocument/2006/relationships/ctrlProp" Target="../ctrlProps/ctrlProp559.xml"/><Relationship Id="rId9" Type="http://schemas.openxmlformats.org/officeDocument/2006/relationships/ctrlProp" Target="../ctrlProps/ctrlProp564.xml"/><Relationship Id="rId14" Type="http://schemas.openxmlformats.org/officeDocument/2006/relationships/ctrlProp" Target="../ctrlProps/ctrlProp569.xml"/><Relationship Id="rId22" Type="http://schemas.openxmlformats.org/officeDocument/2006/relationships/ctrlProp" Target="../ctrlProps/ctrlProp577.xml"/><Relationship Id="rId27" Type="http://schemas.openxmlformats.org/officeDocument/2006/relationships/ctrlProp" Target="../ctrlProps/ctrlProp582.xml"/><Relationship Id="rId30" Type="http://schemas.openxmlformats.org/officeDocument/2006/relationships/ctrlProp" Target="../ctrlProps/ctrlProp585.xml"/><Relationship Id="rId35" Type="http://schemas.openxmlformats.org/officeDocument/2006/relationships/ctrlProp" Target="../ctrlProps/ctrlProp590.xml"/><Relationship Id="rId8" Type="http://schemas.openxmlformats.org/officeDocument/2006/relationships/ctrlProp" Target="../ctrlProps/ctrlProp563.xml"/><Relationship Id="rId3"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605.xml"/><Relationship Id="rId18" Type="http://schemas.openxmlformats.org/officeDocument/2006/relationships/ctrlProp" Target="../ctrlProps/ctrlProp610.xml"/><Relationship Id="rId26" Type="http://schemas.openxmlformats.org/officeDocument/2006/relationships/ctrlProp" Target="../ctrlProps/ctrlProp618.xml"/><Relationship Id="rId39" Type="http://schemas.openxmlformats.org/officeDocument/2006/relationships/ctrlProp" Target="../ctrlProps/ctrlProp631.xml"/><Relationship Id="rId21" Type="http://schemas.openxmlformats.org/officeDocument/2006/relationships/ctrlProp" Target="../ctrlProps/ctrlProp613.xml"/><Relationship Id="rId34" Type="http://schemas.openxmlformats.org/officeDocument/2006/relationships/ctrlProp" Target="../ctrlProps/ctrlProp626.xml"/><Relationship Id="rId7" Type="http://schemas.openxmlformats.org/officeDocument/2006/relationships/ctrlProp" Target="../ctrlProps/ctrlProp599.xml"/><Relationship Id="rId12" Type="http://schemas.openxmlformats.org/officeDocument/2006/relationships/ctrlProp" Target="../ctrlProps/ctrlProp604.xml"/><Relationship Id="rId17" Type="http://schemas.openxmlformats.org/officeDocument/2006/relationships/ctrlProp" Target="../ctrlProps/ctrlProp609.xml"/><Relationship Id="rId25" Type="http://schemas.openxmlformats.org/officeDocument/2006/relationships/ctrlProp" Target="../ctrlProps/ctrlProp617.xml"/><Relationship Id="rId33" Type="http://schemas.openxmlformats.org/officeDocument/2006/relationships/ctrlProp" Target="../ctrlProps/ctrlProp625.xml"/><Relationship Id="rId38" Type="http://schemas.openxmlformats.org/officeDocument/2006/relationships/ctrlProp" Target="../ctrlProps/ctrlProp630.xml"/><Relationship Id="rId2" Type="http://schemas.openxmlformats.org/officeDocument/2006/relationships/drawing" Target="../drawings/drawing5.xml"/><Relationship Id="rId16" Type="http://schemas.openxmlformats.org/officeDocument/2006/relationships/ctrlProp" Target="../ctrlProps/ctrlProp608.xml"/><Relationship Id="rId20" Type="http://schemas.openxmlformats.org/officeDocument/2006/relationships/ctrlProp" Target="../ctrlProps/ctrlProp612.xml"/><Relationship Id="rId29" Type="http://schemas.openxmlformats.org/officeDocument/2006/relationships/ctrlProp" Target="../ctrlProps/ctrlProp621.xml"/><Relationship Id="rId1" Type="http://schemas.openxmlformats.org/officeDocument/2006/relationships/printerSettings" Target="../printerSettings/printerSettings6.bin"/><Relationship Id="rId6" Type="http://schemas.openxmlformats.org/officeDocument/2006/relationships/ctrlProp" Target="../ctrlProps/ctrlProp598.xml"/><Relationship Id="rId11" Type="http://schemas.openxmlformats.org/officeDocument/2006/relationships/ctrlProp" Target="../ctrlProps/ctrlProp603.xml"/><Relationship Id="rId24" Type="http://schemas.openxmlformats.org/officeDocument/2006/relationships/ctrlProp" Target="../ctrlProps/ctrlProp616.xml"/><Relationship Id="rId32" Type="http://schemas.openxmlformats.org/officeDocument/2006/relationships/ctrlProp" Target="../ctrlProps/ctrlProp624.xml"/><Relationship Id="rId37" Type="http://schemas.openxmlformats.org/officeDocument/2006/relationships/ctrlProp" Target="../ctrlProps/ctrlProp629.xml"/><Relationship Id="rId40" Type="http://schemas.openxmlformats.org/officeDocument/2006/relationships/ctrlProp" Target="../ctrlProps/ctrlProp632.xml"/><Relationship Id="rId5" Type="http://schemas.openxmlformats.org/officeDocument/2006/relationships/ctrlProp" Target="../ctrlProps/ctrlProp597.xml"/><Relationship Id="rId15" Type="http://schemas.openxmlformats.org/officeDocument/2006/relationships/ctrlProp" Target="../ctrlProps/ctrlProp607.xml"/><Relationship Id="rId23" Type="http://schemas.openxmlformats.org/officeDocument/2006/relationships/ctrlProp" Target="../ctrlProps/ctrlProp615.xml"/><Relationship Id="rId28" Type="http://schemas.openxmlformats.org/officeDocument/2006/relationships/ctrlProp" Target="../ctrlProps/ctrlProp620.xml"/><Relationship Id="rId36" Type="http://schemas.openxmlformats.org/officeDocument/2006/relationships/ctrlProp" Target="../ctrlProps/ctrlProp628.xml"/><Relationship Id="rId10" Type="http://schemas.openxmlformats.org/officeDocument/2006/relationships/ctrlProp" Target="../ctrlProps/ctrlProp602.xml"/><Relationship Id="rId19" Type="http://schemas.openxmlformats.org/officeDocument/2006/relationships/ctrlProp" Target="../ctrlProps/ctrlProp611.xml"/><Relationship Id="rId31" Type="http://schemas.openxmlformats.org/officeDocument/2006/relationships/ctrlProp" Target="../ctrlProps/ctrlProp623.xml"/><Relationship Id="rId4" Type="http://schemas.openxmlformats.org/officeDocument/2006/relationships/ctrlProp" Target="../ctrlProps/ctrlProp596.xml"/><Relationship Id="rId9" Type="http://schemas.openxmlformats.org/officeDocument/2006/relationships/ctrlProp" Target="../ctrlProps/ctrlProp601.xml"/><Relationship Id="rId14" Type="http://schemas.openxmlformats.org/officeDocument/2006/relationships/ctrlProp" Target="../ctrlProps/ctrlProp606.xml"/><Relationship Id="rId22" Type="http://schemas.openxmlformats.org/officeDocument/2006/relationships/ctrlProp" Target="../ctrlProps/ctrlProp614.xml"/><Relationship Id="rId27" Type="http://schemas.openxmlformats.org/officeDocument/2006/relationships/ctrlProp" Target="../ctrlProps/ctrlProp619.xml"/><Relationship Id="rId30" Type="http://schemas.openxmlformats.org/officeDocument/2006/relationships/ctrlProp" Target="../ctrlProps/ctrlProp622.xml"/><Relationship Id="rId35" Type="http://schemas.openxmlformats.org/officeDocument/2006/relationships/ctrlProp" Target="../ctrlProps/ctrlProp627.xml"/><Relationship Id="rId8" Type="http://schemas.openxmlformats.org/officeDocument/2006/relationships/ctrlProp" Target="../ctrlProps/ctrlProp600.xml"/><Relationship Id="rId3"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642.xml"/><Relationship Id="rId18" Type="http://schemas.openxmlformats.org/officeDocument/2006/relationships/ctrlProp" Target="../ctrlProps/ctrlProp647.xml"/><Relationship Id="rId26" Type="http://schemas.openxmlformats.org/officeDocument/2006/relationships/ctrlProp" Target="../ctrlProps/ctrlProp655.xml"/><Relationship Id="rId39" Type="http://schemas.openxmlformats.org/officeDocument/2006/relationships/ctrlProp" Target="../ctrlProps/ctrlProp668.xml"/><Relationship Id="rId21" Type="http://schemas.openxmlformats.org/officeDocument/2006/relationships/ctrlProp" Target="../ctrlProps/ctrlProp650.xml"/><Relationship Id="rId34" Type="http://schemas.openxmlformats.org/officeDocument/2006/relationships/ctrlProp" Target="../ctrlProps/ctrlProp663.xml"/><Relationship Id="rId7" Type="http://schemas.openxmlformats.org/officeDocument/2006/relationships/ctrlProp" Target="../ctrlProps/ctrlProp636.xml"/><Relationship Id="rId12" Type="http://schemas.openxmlformats.org/officeDocument/2006/relationships/ctrlProp" Target="../ctrlProps/ctrlProp641.xml"/><Relationship Id="rId17" Type="http://schemas.openxmlformats.org/officeDocument/2006/relationships/ctrlProp" Target="../ctrlProps/ctrlProp646.xml"/><Relationship Id="rId25" Type="http://schemas.openxmlformats.org/officeDocument/2006/relationships/ctrlProp" Target="../ctrlProps/ctrlProp654.xml"/><Relationship Id="rId33" Type="http://schemas.openxmlformats.org/officeDocument/2006/relationships/ctrlProp" Target="../ctrlProps/ctrlProp662.xml"/><Relationship Id="rId38" Type="http://schemas.openxmlformats.org/officeDocument/2006/relationships/ctrlProp" Target="../ctrlProps/ctrlProp667.xml"/><Relationship Id="rId2" Type="http://schemas.openxmlformats.org/officeDocument/2006/relationships/drawing" Target="../drawings/drawing6.xml"/><Relationship Id="rId16" Type="http://schemas.openxmlformats.org/officeDocument/2006/relationships/ctrlProp" Target="../ctrlProps/ctrlProp645.xml"/><Relationship Id="rId20" Type="http://schemas.openxmlformats.org/officeDocument/2006/relationships/ctrlProp" Target="../ctrlProps/ctrlProp649.xml"/><Relationship Id="rId29" Type="http://schemas.openxmlformats.org/officeDocument/2006/relationships/ctrlProp" Target="../ctrlProps/ctrlProp658.xml"/><Relationship Id="rId1" Type="http://schemas.openxmlformats.org/officeDocument/2006/relationships/printerSettings" Target="../printerSettings/printerSettings7.bin"/><Relationship Id="rId6" Type="http://schemas.openxmlformats.org/officeDocument/2006/relationships/ctrlProp" Target="../ctrlProps/ctrlProp635.xml"/><Relationship Id="rId11" Type="http://schemas.openxmlformats.org/officeDocument/2006/relationships/ctrlProp" Target="../ctrlProps/ctrlProp640.xml"/><Relationship Id="rId24" Type="http://schemas.openxmlformats.org/officeDocument/2006/relationships/ctrlProp" Target="../ctrlProps/ctrlProp653.xml"/><Relationship Id="rId32" Type="http://schemas.openxmlformats.org/officeDocument/2006/relationships/ctrlProp" Target="../ctrlProps/ctrlProp661.xml"/><Relationship Id="rId37" Type="http://schemas.openxmlformats.org/officeDocument/2006/relationships/ctrlProp" Target="../ctrlProps/ctrlProp666.xml"/><Relationship Id="rId40" Type="http://schemas.openxmlformats.org/officeDocument/2006/relationships/ctrlProp" Target="../ctrlProps/ctrlProp669.xml"/><Relationship Id="rId5" Type="http://schemas.openxmlformats.org/officeDocument/2006/relationships/ctrlProp" Target="../ctrlProps/ctrlProp634.xml"/><Relationship Id="rId15" Type="http://schemas.openxmlformats.org/officeDocument/2006/relationships/ctrlProp" Target="../ctrlProps/ctrlProp644.xml"/><Relationship Id="rId23" Type="http://schemas.openxmlformats.org/officeDocument/2006/relationships/ctrlProp" Target="../ctrlProps/ctrlProp652.xml"/><Relationship Id="rId28" Type="http://schemas.openxmlformats.org/officeDocument/2006/relationships/ctrlProp" Target="../ctrlProps/ctrlProp657.xml"/><Relationship Id="rId36" Type="http://schemas.openxmlformats.org/officeDocument/2006/relationships/ctrlProp" Target="../ctrlProps/ctrlProp665.xml"/><Relationship Id="rId10" Type="http://schemas.openxmlformats.org/officeDocument/2006/relationships/ctrlProp" Target="../ctrlProps/ctrlProp639.xml"/><Relationship Id="rId19" Type="http://schemas.openxmlformats.org/officeDocument/2006/relationships/ctrlProp" Target="../ctrlProps/ctrlProp648.xml"/><Relationship Id="rId31" Type="http://schemas.openxmlformats.org/officeDocument/2006/relationships/ctrlProp" Target="../ctrlProps/ctrlProp660.xml"/><Relationship Id="rId4" Type="http://schemas.openxmlformats.org/officeDocument/2006/relationships/ctrlProp" Target="../ctrlProps/ctrlProp633.xml"/><Relationship Id="rId9" Type="http://schemas.openxmlformats.org/officeDocument/2006/relationships/ctrlProp" Target="../ctrlProps/ctrlProp638.xml"/><Relationship Id="rId14" Type="http://schemas.openxmlformats.org/officeDocument/2006/relationships/ctrlProp" Target="../ctrlProps/ctrlProp643.xml"/><Relationship Id="rId22" Type="http://schemas.openxmlformats.org/officeDocument/2006/relationships/ctrlProp" Target="../ctrlProps/ctrlProp651.xml"/><Relationship Id="rId27" Type="http://schemas.openxmlformats.org/officeDocument/2006/relationships/ctrlProp" Target="../ctrlProps/ctrlProp656.xml"/><Relationship Id="rId30" Type="http://schemas.openxmlformats.org/officeDocument/2006/relationships/ctrlProp" Target="../ctrlProps/ctrlProp659.xml"/><Relationship Id="rId35" Type="http://schemas.openxmlformats.org/officeDocument/2006/relationships/ctrlProp" Target="../ctrlProps/ctrlProp664.xml"/><Relationship Id="rId8" Type="http://schemas.openxmlformats.org/officeDocument/2006/relationships/ctrlProp" Target="../ctrlProps/ctrlProp637.xml"/><Relationship Id="rId3"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679.xml"/><Relationship Id="rId18" Type="http://schemas.openxmlformats.org/officeDocument/2006/relationships/ctrlProp" Target="../ctrlProps/ctrlProp684.xml"/><Relationship Id="rId26" Type="http://schemas.openxmlformats.org/officeDocument/2006/relationships/ctrlProp" Target="../ctrlProps/ctrlProp692.xml"/><Relationship Id="rId39" Type="http://schemas.openxmlformats.org/officeDocument/2006/relationships/ctrlProp" Target="../ctrlProps/ctrlProp705.xml"/><Relationship Id="rId21" Type="http://schemas.openxmlformats.org/officeDocument/2006/relationships/ctrlProp" Target="../ctrlProps/ctrlProp687.xml"/><Relationship Id="rId34" Type="http://schemas.openxmlformats.org/officeDocument/2006/relationships/ctrlProp" Target="../ctrlProps/ctrlProp700.xml"/><Relationship Id="rId7" Type="http://schemas.openxmlformats.org/officeDocument/2006/relationships/ctrlProp" Target="../ctrlProps/ctrlProp673.xml"/><Relationship Id="rId12" Type="http://schemas.openxmlformats.org/officeDocument/2006/relationships/ctrlProp" Target="../ctrlProps/ctrlProp678.xml"/><Relationship Id="rId17" Type="http://schemas.openxmlformats.org/officeDocument/2006/relationships/ctrlProp" Target="../ctrlProps/ctrlProp683.xml"/><Relationship Id="rId25" Type="http://schemas.openxmlformats.org/officeDocument/2006/relationships/ctrlProp" Target="../ctrlProps/ctrlProp691.xml"/><Relationship Id="rId33" Type="http://schemas.openxmlformats.org/officeDocument/2006/relationships/ctrlProp" Target="../ctrlProps/ctrlProp699.xml"/><Relationship Id="rId38" Type="http://schemas.openxmlformats.org/officeDocument/2006/relationships/ctrlProp" Target="../ctrlProps/ctrlProp704.xml"/><Relationship Id="rId2" Type="http://schemas.openxmlformats.org/officeDocument/2006/relationships/drawing" Target="../drawings/drawing7.xml"/><Relationship Id="rId16" Type="http://schemas.openxmlformats.org/officeDocument/2006/relationships/ctrlProp" Target="../ctrlProps/ctrlProp682.xml"/><Relationship Id="rId20" Type="http://schemas.openxmlformats.org/officeDocument/2006/relationships/ctrlProp" Target="../ctrlProps/ctrlProp686.xml"/><Relationship Id="rId29" Type="http://schemas.openxmlformats.org/officeDocument/2006/relationships/ctrlProp" Target="../ctrlProps/ctrlProp695.xml"/><Relationship Id="rId1" Type="http://schemas.openxmlformats.org/officeDocument/2006/relationships/printerSettings" Target="../printerSettings/printerSettings8.bin"/><Relationship Id="rId6" Type="http://schemas.openxmlformats.org/officeDocument/2006/relationships/ctrlProp" Target="../ctrlProps/ctrlProp672.xml"/><Relationship Id="rId11" Type="http://schemas.openxmlformats.org/officeDocument/2006/relationships/ctrlProp" Target="../ctrlProps/ctrlProp677.xml"/><Relationship Id="rId24" Type="http://schemas.openxmlformats.org/officeDocument/2006/relationships/ctrlProp" Target="../ctrlProps/ctrlProp690.xml"/><Relationship Id="rId32" Type="http://schemas.openxmlformats.org/officeDocument/2006/relationships/ctrlProp" Target="../ctrlProps/ctrlProp698.xml"/><Relationship Id="rId37" Type="http://schemas.openxmlformats.org/officeDocument/2006/relationships/ctrlProp" Target="../ctrlProps/ctrlProp703.xml"/><Relationship Id="rId40" Type="http://schemas.openxmlformats.org/officeDocument/2006/relationships/ctrlProp" Target="../ctrlProps/ctrlProp706.xml"/><Relationship Id="rId5" Type="http://schemas.openxmlformats.org/officeDocument/2006/relationships/ctrlProp" Target="../ctrlProps/ctrlProp671.xml"/><Relationship Id="rId15" Type="http://schemas.openxmlformats.org/officeDocument/2006/relationships/ctrlProp" Target="../ctrlProps/ctrlProp681.xml"/><Relationship Id="rId23" Type="http://schemas.openxmlformats.org/officeDocument/2006/relationships/ctrlProp" Target="../ctrlProps/ctrlProp689.xml"/><Relationship Id="rId28" Type="http://schemas.openxmlformats.org/officeDocument/2006/relationships/ctrlProp" Target="../ctrlProps/ctrlProp694.xml"/><Relationship Id="rId36" Type="http://schemas.openxmlformats.org/officeDocument/2006/relationships/ctrlProp" Target="../ctrlProps/ctrlProp702.xml"/><Relationship Id="rId10" Type="http://schemas.openxmlformats.org/officeDocument/2006/relationships/ctrlProp" Target="../ctrlProps/ctrlProp676.xml"/><Relationship Id="rId19" Type="http://schemas.openxmlformats.org/officeDocument/2006/relationships/ctrlProp" Target="../ctrlProps/ctrlProp685.xml"/><Relationship Id="rId31" Type="http://schemas.openxmlformats.org/officeDocument/2006/relationships/ctrlProp" Target="../ctrlProps/ctrlProp697.xml"/><Relationship Id="rId4" Type="http://schemas.openxmlformats.org/officeDocument/2006/relationships/ctrlProp" Target="../ctrlProps/ctrlProp670.xml"/><Relationship Id="rId9" Type="http://schemas.openxmlformats.org/officeDocument/2006/relationships/ctrlProp" Target="../ctrlProps/ctrlProp675.xml"/><Relationship Id="rId14" Type="http://schemas.openxmlformats.org/officeDocument/2006/relationships/ctrlProp" Target="../ctrlProps/ctrlProp680.xml"/><Relationship Id="rId22" Type="http://schemas.openxmlformats.org/officeDocument/2006/relationships/ctrlProp" Target="../ctrlProps/ctrlProp688.xml"/><Relationship Id="rId27" Type="http://schemas.openxmlformats.org/officeDocument/2006/relationships/ctrlProp" Target="../ctrlProps/ctrlProp693.xml"/><Relationship Id="rId30" Type="http://schemas.openxmlformats.org/officeDocument/2006/relationships/ctrlProp" Target="../ctrlProps/ctrlProp696.xml"/><Relationship Id="rId35" Type="http://schemas.openxmlformats.org/officeDocument/2006/relationships/ctrlProp" Target="../ctrlProps/ctrlProp701.xml"/><Relationship Id="rId8" Type="http://schemas.openxmlformats.org/officeDocument/2006/relationships/ctrlProp" Target="../ctrlProps/ctrlProp674.xml"/><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716.xml"/><Relationship Id="rId18" Type="http://schemas.openxmlformats.org/officeDocument/2006/relationships/ctrlProp" Target="../ctrlProps/ctrlProp721.xml"/><Relationship Id="rId26" Type="http://schemas.openxmlformats.org/officeDocument/2006/relationships/ctrlProp" Target="../ctrlProps/ctrlProp729.xml"/><Relationship Id="rId39" Type="http://schemas.openxmlformats.org/officeDocument/2006/relationships/ctrlProp" Target="../ctrlProps/ctrlProp742.xml"/><Relationship Id="rId21" Type="http://schemas.openxmlformats.org/officeDocument/2006/relationships/ctrlProp" Target="../ctrlProps/ctrlProp724.xml"/><Relationship Id="rId34" Type="http://schemas.openxmlformats.org/officeDocument/2006/relationships/ctrlProp" Target="../ctrlProps/ctrlProp737.xml"/><Relationship Id="rId7" Type="http://schemas.openxmlformats.org/officeDocument/2006/relationships/ctrlProp" Target="../ctrlProps/ctrlProp710.xml"/><Relationship Id="rId12" Type="http://schemas.openxmlformats.org/officeDocument/2006/relationships/ctrlProp" Target="../ctrlProps/ctrlProp715.xml"/><Relationship Id="rId17" Type="http://schemas.openxmlformats.org/officeDocument/2006/relationships/ctrlProp" Target="../ctrlProps/ctrlProp720.xml"/><Relationship Id="rId25" Type="http://schemas.openxmlformats.org/officeDocument/2006/relationships/ctrlProp" Target="../ctrlProps/ctrlProp728.xml"/><Relationship Id="rId33" Type="http://schemas.openxmlformats.org/officeDocument/2006/relationships/ctrlProp" Target="../ctrlProps/ctrlProp736.xml"/><Relationship Id="rId38" Type="http://schemas.openxmlformats.org/officeDocument/2006/relationships/ctrlProp" Target="../ctrlProps/ctrlProp741.xml"/><Relationship Id="rId2" Type="http://schemas.openxmlformats.org/officeDocument/2006/relationships/drawing" Target="../drawings/drawing8.xml"/><Relationship Id="rId16" Type="http://schemas.openxmlformats.org/officeDocument/2006/relationships/ctrlProp" Target="../ctrlProps/ctrlProp719.xml"/><Relationship Id="rId20" Type="http://schemas.openxmlformats.org/officeDocument/2006/relationships/ctrlProp" Target="../ctrlProps/ctrlProp723.xml"/><Relationship Id="rId29" Type="http://schemas.openxmlformats.org/officeDocument/2006/relationships/ctrlProp" Target="../ctrlProps/ctrlProp732.xml"/><Relationship Id="rId1" Type="http://schemas.openxmlformats.org/officeDocument/2006/relationships/printerSettings" Target="../printerSettings/printerSettings9.bin"/><Relationship Id="rId6" Type="http://schemas.openxmlformats.org/officeDocument/2006/relationships/ctrlProp" Target="../ctrlProps/ctrlProp709.xml"/><Relationship Id="rId11" Type="http://schemas.openxmlformats.org/officeDocument/2006/relationships/ctrlProp" Target="../ctrlProps/ctrlProp714.xml"/><Relationship Id="rId24" Type="http://schemas.openxmlformats.org/officeDocument/2006/relationships/ctrlProp" Target="../ctrlProps/ctrlProp727.xml"/><Relationship Id="rId32" Type="http://schemas.openxmlformats.org/officeDocument/2006/relationships/ctrlProp" Target="../ctrlProps/ctrlProp735.xml"/><Relationship Id="rId37" Type="http://schemas.openxmlformats.org/officeDocument/2006/relationships/ctrlProp" Target="../ctrlProps/ctrlProp740.xml"/><Relationship Id="rId40" Type="http://schemas.openxmlformats.org/officeDocument/2006/relationships/ctrlProp" Target="../ctrlProps/ctrlProp743.xml"/><Relationship Id="rId5" Type="http://schemas.openxmlformats.org/officeDocument/2006/relationships/ctrlProp" Target="../ctrlProps/ctrlProp708.xml"/><Relationship Id="rId15" Type="http://schemas.openxmlformats.org/officeDocument/2006/relationships/ctrlProp" Target="../ctrlProps/ctrlProp718.xml"/><Relationship Id="rId23" Type="http://schemas.openxmlformats.org/officeDocument/2006/relationships/ctrlProp" Target="../ctrlProps/ctrlProp726.xml"/><Relationship Id="rId28" Type="http://schemas.openxmlformats.org/officeDocument/2006/relationships/ctrlProp" Target="../ctrlProps/ctrlProp731.xml"/><Relationship Id="rId36" Type="http://schemas.openxmlformats.org/officeDocument/2006/relationships/ctrlProp" Target="../ctrlProps/ctrlProp739.xml"/><Relationship Id="rId10" Type="http://schemas.openxmlformats.org/officeDocument/2006/relationships/ctrlProp" Target="../ctrlProps/ctrlProp713.xml"/><Relationship Id="rId19" Type="http://schemas.openxmlformats.org/officeDocument/2006/relationships/ctrlProp" Target="../ctrlProps/ctrlProp722.xml"/><Relationship Id="rId31" Type="http://schemas.openxmlformats.org/officeDocument/2006/relationships/ctrlProp" Target="../ctrlProps/ctrlProp734.xml"/><Relationship Id="rId4" Type="http://schemas.openxmlformats.org/officeDocument/2006/relationships/ctrlProp" Target="../ctrlProps/ctrlProp707.xml"/><Relationship Id="rId9" Type="http://schemas.openxmlformats.org/officeDocument/2006/relationships/ctrlProp" Target="../ctrlProps/ctrlProp712.xml"/><Relationship Id="rId14" Type="http://schemas.openxmlformats.org/officeDocument/2006/relationships/ctrlProp" Target="../ctrlProps/ctrlProp717.xml"/><Relationship Id="rId22" Type="http://schemas.openxmlformats.org/officeDocument/2006/relationships/ctrlProp" Target="../ctrlProps/ctrlProp725.xml"/><Relationship Id="rId27" Type="http://schemas.openxmlformats.org/officeDocument/2006/relationships/ctrlProp" Target="../ctrlProps/ctrlProp730.xml"/><Relationship Id="rId30" Type="http://schemas.openxmlformats.org/officeDocument/2006/relationships/ctrlProp" Target="../ctrlProps/ctrlProp733.xml"/><Relationship Id="rId35" Type="http://schemas.openxmlformats.org/officeDocument/2006/relationships/ctrlProp" Target="../ctrlProps/ctrlProp738.xml"/><Relationship Id="rId8" Type="http://schemas.openxmlformats.org/officeDocument/2006/relationships/ctrlProp" Target="../ctrlProps/ctrlProp711.xml"/><Relationship Id="rId3"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13" Type="http://schemas.openxmlformats.org/officeDocument/2006/relationships/ctrlProp" Target="../ctrlProps/ctrlProp753.xml"/><Relationship Id="rId18" Type="http://schemas.openxmlformats.org/officeDocument/2006/relationships/ctrlProp" Target="../ctrlProps/ctrlProp758.xml"/><Relationship Id="rId26" Type="http://schemas.openxmlformats.org/officeDocument/2006/relationships/ctrlProp" Target="../ctrlProps/ctrlProp766.xml"/><Relationship Id="rId39" Type="http://schemas.openxmlformats.org/officeDocument/2006/relationships/ctrlProp" Target="../ctrlProps/ctrlProp779.xml"/><Relationship Id="rId21" Type="http://schemas.openxmlformats.org/officeDocument/2006/relationships/ctrlProp" Target="../ctrlProps/ctrlProp761.xml"/><Relationship Id="rId34" Type="http://schemas.openxmlformats.org/officeDocument/2006/relationships/ctrlProp" Target="../ctrlProps/ctrlProp774.xml"/><Relationship Id="rId7" Type="http://schemas.openxmlformats.org/officeDocument/2006/relationships/ctrlProp" Target="../ctrlProps/ctrlProp747.xml"/><Relationship Id="rId12" Type="http://schemas.openxmlformats.org/officeDocument/2006/relationships/ctrlProp" Target="../ctrlProps/ctrlProp752.xml"/><Relationship Id="rId17" Type="http://schemas.openxmlformats.org/officeDocument/2006/relationships/ctrlProp" Target="../ctrlProps/ctrlProp757.xml"/><Relationship Id="rId25" Type="http://schemas.openxmlformats.org/officeDocument/2006/relationships/ctrlProp" Target="../ctrlProps/ctrlProp765.xml"/><Relationship Id="rId33" Type="http://schemas.openxmlformats.org/officeDocument/2006/relationships/ctrlProp" Target="../ctrlProps/ctrlProp773.xml"/><Relationship Id="rId38" Type="http://schemas.openxmlformats.org/officeDocument/2006/relationships/ctrlProp" Target="../ctrlProps/ctrlProp778.xml"/><Relationship Id="rId2" Type="http://schemas.openxmlformats.org/officeDocument/2006/relationships/drawing" Target="../drawings/drawing9.xml"/><Relationship Id="rId16" Type="http://schemas.openxmlformats.org/officeDocument/2006/relationships/ctrlProp" Target="../ctrlProps/ctrlProp756.xml"/><Relationship Id="rId20" Type="http://schemas.openxmlformats.org/officeDocument/2006/relationships/ctrlProp" Target="../ctrlProps/ctrlProp760.xml"/><Relationship Id="rId29" Type="http://schemas.openxmlformats.org/officeDocument/2006/relationships/ctrlProp" Target="../ctrlProps/ctrlProp769.xml"/><Relationship Id="rId1" Type="http://schemas.openxmlformats.org/officeDocument/2006/relationships/printerSettings" Target="../printerSettings/printerSettings10.bin"/><Relationship Id="rId6" Type="http://schemas.openxmlformats.org/officeDocument/2006/relationships/ctrlProp" Target="../ctrlProps/ctrlProp746.xml"/><Relationship Id="rId11" Type="http://schemas.openxmlformats.org/officeDocument/2006/relationships/ctrlProp" Target="../ctrlProps/ctrlProp751.xml"/><Relationship Id="rId24" Type="http://schemas.openxmlformats.org/officeDocument/2006/relationships/ctrlProp" Target="../ctrlProps/ctrlProp764.xml"/><Relationship Id="rId32" Type="http://schemas.openxmlformats.org/officeDocument/2006/relationships/ctrlProp" Target="../ctrlProps/ctrlProp772.xml"/><Relationship Id="rId37" Type="http://schemas.openxmlformats.org/officeDocument/2006/relationships/ctrlProp" Target="../ctrlProps/ctrlProp777.xml"/><Relationship Id="rId40" Type="http://schemas.openxmlformats.org/officeDocument/2006/relationships/ctrlProp" Target="../ctrlProps/ctrlProp780.xml"/><Relationship Id="rId5" Type="http://schemas.openxmlformats.org/officeDocument/2006/relationships/ctrlProp" Target="../ctrlProps/ctrlProp745.xml"/><Relationship Id="rId15" Type="http://schemas.openxmlformats.org/officeDocument/2006/relationships/ctrlProp" Target="../ctrlProps/ctrlProp755.xml"/><Relationship Id="rId23" Type="http://schemas.openxmlformats.org/officeDocument/2006/relationships/ctrlProp" Target="../ctrlProps/ctrlProp763.xml"/><Relationship Id="rId28" Type="http://schemas.openxmlformats.org/officeDocument/2006/relationships/ctrlProp" Target="../ctrlProps/ctrlProp768.xml"/><Relationship Id="rId36" Type="http://schemas.openxmlformats.org/officeDocument/2006/relationships/ctrlProp" Target="../ctrlProps/ctrlProp776.xml"/><Relationship Id="rId10" Type="http://schemas.openxmlformats.org/officeDocument/2006/relationships/ctrlProp" Target="../ctrlProps/ctrlProp750.xml"/><Relationship Id="rId19" Type="http://schemas.openxmlformats.org/officeDocument/2006/relationships/ctrlProp" Target="../ctrlProps/ctrlProp759.xml"/><Relationship Id="rId31" Type="http://schemas.openxmlformats.org/officeDocument/2006/relationships/ctrlProp" Target="../ctrlProps/ctrlProp771.xml"/><Relationship Id="rId4" Type="http://schemas.openxmlformats.org/officeDocument/2006/relationships/ctrlProp" Target="../ctrlProps/ctrlProp744.xml"/><Relationship Id="rId9" Type="http://schemas.openxmlformats.org/officeDocument/2006/relationships/ctrlProp" Target="../ctrlProps/ctrlProp749.xml"/><Relationship Id="rId14" Type="http://schemas.openxmlformats.org/officeDocument/2006/relationships/ctrlProp" Target="../ctrlProps/ctrlProp754.xml"/><Relationship Id="rId22" Type="http://schemas.openxmlformats.org/officeDocument/2006/relationships/ctrlProp" Target="../ctrlProps/ctrlProp762.xml"/><Relationship Id="rId27" Type="http://schemas.openxmlformats.org/officeDocument/2006/relationships/ctrlProp" Target="../ctrlProps/ctrlProp767.xml"/><Relationship Id="rId30" Type="http://schemas.openxmlformats.org/officeDocument/2006/relationships/ctrlProp" Target="../ctrlProps/ctrlProp770.xml"/><Relationship Id="rId35" Type="http://schemas.openxmlformats.org/officeDocument/2006/relationships/ctrlProp" Target="../ctrlProps/ctrlProp775.xml"/><Relationship Id="rId8" Type="http://schemas.openxmlformats.org/officeDocument/2006/relationships/ctrlProp" Target="../ctrlProps/ctrlProp748.xml"/><Relationship Id="rId3"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13" Type="http://schemas.openxmlformats.org/officeDocument/2006/relationships/ctrlProp" Target="../ctrlProps/ctrlProp790.xml"/><Relationship Id="rId18" Type="http://schemas.openxmlformats.org/officeDocument/2006/relationships/ctrlProp" Target="../ctrlProps/ctrlProp795.xml"/><Relationship Id="rId26" Type="http://schemas.openxmlformats.org/officeDocument/2006/relationships/ctrlProp" Target="../ctrlProps/ctrlProp803.xml"/><Relationship Id="rId39" Type="http://schemas.openxmlformats.org/officeDocument/2006/relationships/ctrlProp" Target="../ctrlProps/ctrlProp816.xml"/><Relationship Id="rId21" Type="http://schemas.openxmlformats.org/officeDocument/2006/relationships/ctrlProp" Target="../ctrlProps/ctrlProp798.xml"/><Relationship Id="rId34" Type="http://schemas.openxmlformats.org/officeDocument/2006/relationships/ctrlProp" Target="../ctrlProps/ctrlProp811.xml"/><Relationship Id="rId7" Type="http://schemas.openxmlformats.org/officeDocument/2006/relationships/ctrlProp" Target="../ctrlProps/ctrlProp784.xml"/><Relationship Id="rId12" Type="http://schemas.openxmlformats.org/officeDocument/2006/relationships/ctrlProp" Target="../ctrlProps/ctrlProp789.xml"/><Relationship Id="rId17" Type="http://schemas.openxmlformats.org/officeDocument/2006/relationships/ctrlProp" Target="../ctrlProps/ctrlProp794.xml"/><Relationship Id="rId25" Type="http://schemas.openxmlformats.org/officeDocument/2006/relationships/ctrlProp" Target="../ctrlProps/ctrlProp802.xml"/><Relationship Id="rId33" Type="http://schemas.openxmlformats.org/officeDocument/2006/relationships/ctrlProp" Target="../ctrlProps/ctrlProp810.xml"/><Relationship Id="rId38" Type="http://schemas.openxmlformats.org/officeDocument/2006/relationships/ctrlProp" Target="../ctrlProps/ctrlProp815.xml"/><Relationship Id="rId2" Type="http://schemas.openxmlformats.org/officeDocument/2006/relationships/drawing" Target="../drawings/drawing10.xml"/><Relationship Id="rId16" Type="http://schemas.openxmlformats.org/officeDocument/2006/relationships/ctrlProp" Target="../ctrlProps/ctrlProp793.xml"/><Relationship Id="rId20" Type="http://schemas.openxmlformats.org/officeDocument/2006/relationships/ctrlProp" Target="../ctrlProps/ctrlProp797.xml"/><Relationship Id="rId29" Type="http://schemas.openxmlformats.org/officeDocument/2006/relationships/ctrlProp" Target="../ctrlProps/ctrlProp806.xml"/><Relationship Id="rId1" Type="http://schemas.openxmlformats.org/officeDocument/2006/relationships/printerSettings" Target="../printerSettings/printerSettings11.bin"/><Relationship Id="rId6" Type="http://schemas.openxmlformats.org/officeDocument/2006/relationships/ctrlProp" Target="../ctrlProps/ctrlProp783.xml"/><Relationship Id="rId11" Type="http://schemas.openxmlformats.org/officeDocument/2006/relationships/ctrlProp" Target="../ctrlProps/ctrlProp788.xml"/><Relationship Id="rId24" Type="http://schemas.openxmlformats.org/officeDocument/2006/relationships/ctrlProp" Target="../ctrlProps/ctrlProp801.xml"/><Relationship Id="rId32" Type="http://schemas.openxmlformats.org/officeDocument/2006/relationships/ctrlProp" Target="../ctrlProps/ctrlProp809.xml"/><Relationship Id="rId37" Type="http://schemas.openxmlformats.org/officeDocument/2006/relationships/ctrlProp" Target="../ctrlProps/ctrlProp814.xml"/><Relationship Id="rId40" Type="http://schemas.openxmlformats.org/officeDocument/2006/relationships/ctrlProp" Target="../ctrlProps/ctrlProp817.xml"/><Relationship Id="rId5" Type="http://schemas.openxmlformats.org/officeDocument/2006/relationships/ctrlProp" Target="../ctrlProps/ctrlProp782.xml"/><Relationship Id="rId15" Type="http://schemas.openxmlformats.org/officeDocument/2006/relationships/ctrlProp" Target="../ctrlProps/ctrlProp792.xml"/><Relationship Id="rId23" Type="http://schemas.openxmlformats.org/officeDocument/2006/relationships/ctrlProp" Target="../ctrlProps/ctrlProp800.xml"/><Relationship Id="rId28" Type="http://schemas.openxmlformats.org/officeDocument/2006/relationships/ctrlProp" Target="../ctrlProps/ctrlProp805.xml"/><Relationship Id="rId36" Type="http://schemas.openxmlformats.org/officeDocument/2006/relationships/ctrlProp" Target="../ctrlProps/ctrlProp813.xml"/><Relationship Id="rId10" Type="http://schemas.openxmlformats.org/officeDocument/2006/relationships/ctrlProp" Target="../ctrlProps/ctrlProp787.xml"/><Relationship Id="rId19" Type="http://schemas.openxmlformats.org/officeDocument/2006/relationships/ctrlProp" Target="../ctrlProps/ctrlProp796.xml"/><Relationship Id="rId31" Type="http://schemas.openxmlformats.org/officeDocument/2006/relationships/ctrlProp" Target="../ctrlProps/ctrlProp808.xml"/><Relationship Id="rId4" Type="http://schemas.openxmlformats.org/officeDocument/2006/relationships/ctrlProp" Target="../ctrlProps/ctrlProp781.xml"/><Relationship Id="rId9" Type="http://schemas.openxmlformats.org/officeDocument/2006/relationships/ctrlProp" Target="../ctrlProps/ctrlProp786.xml"/><Relationship Id="rId14" Type="http://schemas.openxmlformats.org/officeDocument/2006/relationships/ctrlProp" Target="../ctrlProps/ctrlProp791.xml"/><Relationship Id="rId22" Type="http://schemas.openxmlformats.org/officeDocument/2006/relationships/ctrlProp" Target="../ctrlProps/ctrlProp799.xml"/><Relationship Id="rId27" Type="http://schemas.openxmlformats.org/officeDocument/2006/relationships/ctrlProp" Target="../ctrlProps/ctrlProp804.xml"/><Relationship Id="rId30" Type="http://schemas.openxmlformats.org/officeDocument/2006/relationships/ctrlProp" Target="../ctrlProps/ctrlProp807.xml"/><Relationship Id="rId35" Type="http://schemas.openxmlformats.org/officeDocument/2006/relationships/ctrlProp" Target="../ctrlProps/ctrlProp812.xml"/><Relationship Id="rId8" Type="http://schemas.openxmlformats.org/officeDocument/2006/relationships/ctrlProp" Target="../ctrlProps/ctrlProp785.xml"/><Relationship Id="rId3"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827.xml"/><Relationship Id="rId18" Type="http://schemas.openxmlformats.org/officeDocument/2006/relationships/ctrlProp" Target="../ctrlProps/ctrlProp832.xml"/><Relationship Id="rId26" Type="http://schemas.openxmlformats.org/officeDocument/2006/relationships/ctrlProp" Target="../ctrlProps/ctrlProp840.xml"/><Relationship Id="rId39" Type="http://schemas.openxmlformats.org/officeDocument/2006/relationships/ctrlProp" Target="../ctrlProps/ctrlProp853.xml"/><Relationship Id="rId21" Type="http://schemas.openxmlformats.org/officeDocument/2006/relationships/ctrlProp" Target="../ctrlProps/ctrlProp835.xml"/><Relationship Id="rId34" Type="http://schemas.openxmlformats.org/officeDocument/2006/relationships/ctrlProp" Target="../ctrlProps/ctrlProp848.xml"/><Relationship Id="rId7" Type="http://schemas.openxmlformats.org/officeDocument/2006/relationships/ctrlProp" Target="../ctrlProps/ctrlProp821.xml"/><Relationship Id="rId12" Type="http://schemas.openxmlformats.org/officeDocument/2006/relationships/ctrlProp" Target="../ctrlProps/ctrlProp826.xml"/><Relationship Id="rId17" Type="http://schemas.openxmlformats.org/officeDocument/2006/relationships/ctrlProp" Target="../ctrlProps/ctrlProp831.xml"/><Relationship Id="rId25" Type="http://schemas.openxmlformats.org/officeDocument/2006/relationships/ctrlProp" Target="../ctrlProps/ctrlProp839.xml"/><Relationship Id="rId33" Type="http://schemas.openxmlformats.org/officeDocument/2006/relationships/ctrlProp" Target="../ctrlProps/ctrlProp847.xml"/><Relationship Id="rId38" Type="http://schemas.openxmlformats.org/officeDocument/2006/relationships/ctrlProp" Target="../ctrlProps/ctrlProp852.xml"/><Relationship Id="rId2" Type="http://schemas.openxmlformats.org/officeDocument/2006/relationships/drawing" Target="../drawings/drawing11.xml"/><Relationship Id="rId16" Type="http://schemas.openxmlformats.org/officeDocument/2006/relationships/ctrlProp" Target="../ctrlProps/ctrlProp830.xml"/><Relationship Id="rId20" Type="http://schemas.openxmlformats.org/officeDocument/2006/relationships/ctrlProp" Target="../ctrlProps/ctrlProp834.xml"/><Relationship Id="rId29" Type="http://schemas.openxmlformats.org/officeDocument/2006/relationships/ctrlProp" Target="../ctrlProps/ctrlProp843.xml"/><Relationship Id="rId1" Type="http://schemas.openxmlformats.org/officeDocument/2006/relationships/printerSettings" Target="../printerSettings/printerSettings12.bin"/><Relationship Id="rId6" Type="http://schemas.openxmlformats.org/officeDocument/2006/relationships/ctrlProp" Target="../ctrlProps/ctrlProp820.xml"/><Relationship Id="rId11" Type="http://schemas.openxmlformats.org/officeDocument/2006/relationships/ctrlProp" Target="../ctrlProps/ctrlProp825.xml"/><Relationship Id="rId24" Type="http://schemas.openxmlformats.org/officeDocument/2006/relationships/ctrlProp" Target="../ctrlProps/ctrlProp838.xml"/><Relationship Id="rId32" Type="http://schemas.openxmlformats.org/officeDocument/2006/relationships/ctrlProp" Target="../ctrlProps/ctrlProp846.xml"/><Relationship Id="rId37" Type="http://schemas.openxmlformats.org/officeDocument/2006/relationships/ctrlProp" Target="../ctrlProps/ctrlProp851.xml"/><Relationship Id="rId40" Type="http://schemas.openxmlformats.org/officeDocument/2006/relationships/ctrlProp" Target="../ctrlProps/ctrlProp854.xml"/><Relationship Id="rId5" Type="http://schemas.openxmlformats.org/officeDocument/2006/relationships/ctrlProp" Target="../ctrlProps/ctrlProp819.xml"/><Relationship Id="rId15" Type="http://schemas.openxmlformats.org/officeDocument/2006/relationships/ctrlProp" Target="../ctrlProps/ctrlProp829.xml"/><Relationship Id="rId23" Type="http://schemas.openxmlformats.org/officeDocument/2006/relationships/ctrlProp" Target="../ctrlProps/ctrlProp837.xml"/><Relationship Id="rId28" Type="http://schemas.openxmlformats.org/officeDocument/2006/relationships/ctrlProp" Target="../ctrlProps/ctrlProp842.xml"/><Relationship Id="rId36" Type="http://schemas.openxmlformats.org/officeDocument/2006/relationships/ctrlProp" Target="../ctrlProps/ctrlProp850.xml"/><Relationship Id="rId10" Type="http://schemas.openxmlformats.org/officeDocument/2006/relationships/ctrlProp" Target="../ctrlProps/ctrlProp824.xml"/><Relationship Id="rId19" Type="http://schemas.openxmlformats.org/officeDocument/2006/relationships/ctrlProp" Target="../ctrlProps/ctrlProp833.xml"/><Relationship Id="rId31" Type="http://schemas.openxmlformats.org/officeDocument/2006/relationships/ctrlProp" Target="../ctrlProps/ctrlProp845.xml"/><Relationship Id="rId4" Type="http://schemas.openxmlformats.org/officeDocument/2006/relationships/ctrlProp" Target="../ctrlProps/ctrlProp818.xml"/><Relationship Id="rId9" Type="http://schemas.openxmlformats.org/officeDocument/2006/relationships/ctrlProp" Target="../ctrlProps/ctrlProp823.xml"/><Relationship Id="rId14" Type="http://schemas.openxmlformats.org/officeDocument/2006/relationships/ctrlProp" Target="../ctrlProps/ctrlProp828.xml"/><Relationship Id="rId22" Type="http://schemas.openxmlformats.org/officeDocument/2006/relationships/ctrlProp" Target="../ctrlProps/ctrlProp836.xml"/><Relationship Id="rId27" Type="http://schemas.openxmlformats.org/officeDocument/2006/relationships/ctrlProp" Target="../ctrlProps/ctrlProp841.xml"/><Relationship Id="rId30" Type="http://schemas.openxmlformats.org/officeDocument/2006/relationships/ctrlProp" Target="../ctrlProps/ctrlProp844.xml"/><Relationship Id="rId35" Type="http://schemas.openxmlformats.org/officeDocument/2006/relationships/ctrlProp" Target="../ctrlProps/ctrlProp849.xml"/><Relationship Id="rId8" Type="http://schemas.openxmlformats.org/officeDocument/2006/relationships/ctrlProp" Target="../ctrlProps/ctrlProp822.xml"/><Relationship Id="rId3"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864.xml"/><Relationship Id="rId18" Type="http://schemas.openxmlformats.org/officeDocument/2006/relationships/ctrlProp" Target="../ctrlProps/ctrlProp869.xml"/><Relationship Id="rId26" Type="http://schemas.openxmlformats.org/officeDocument/2006/relationships/ctrlProp" Target="../ctrlProps/ctrlProp877.xml"/><Relationship Id="rId39" Type="http://schemas.openxmlformats.org/officeDocument/2006/relationships/ctrlProp" Target="../ctrlProps/ctrlProp890.xml"/><Relationship Id="rId21" Type="http://schemas.openxmlformats.org/officeDocument/2006/relationships/ctrlProp" Target="../ctrlProps/ctrlProp872.xml"/><Relationship Id="rId34" Type="http://schemas.openxmlformats.org/officeDocument/2006/relationships/ctrlProp" Target="../ctrlProps/ctrlProp885.xml"/><Relationship Id="rId7" Type="http://schemas.openxmlformats.org/officeDocument/2006/relationships/ctrlProp" Target="../ctrlProps/ctrlProp858.xml"/><Relationship Id="rId12" Type="http://schemas.openxmlformats.org/officeDocument/2006/relationships/ctrlProp" Target="../ctrlProps/ctrlProp863.xml"/><Relationship Id="rId17" Type="http://schemas.openxmlformats.org/officeDocument/2006/relationships/ctrlProp" Target="../ctrlProps/ctrlProp868.xml"/><Relationship Id="rId25" Type="http://schemas.openxmlformats.org/officeDocument/2006/relationships/ctrlProp" Target="../ctrlProps/ctrlProp876.xml"/><Relationship Id="rId33" Type="http://schemas.openxmlformats.org/officeDocument/2006/relationships/ctrlProp" Target="../ctrlProps/ctrlProp884.xml"/><Relationship Id="rId38" Type="http://schemas.openxmlformats.org/officeDocument/2006/relationships/ctrlProp" Target="../ctrlProps/ctrlProp889.xml"/><Relationship Id="rId2" Type="http://schemas.openxmlformats.org/officeDocument/2006/relationships/drawing" Target="../drawings/drawing12.xml"/><Relationship Id="rId16" Type="http://schemas.openxmlformats.org/officeDocument/2006/relationships/ctrlProp" Target="../ctrlProps/ctrlProp867.xml"/><Relationship Id="rId20" Type="http://schemas.openxmlformats.org/officeDocument/2006/relationships/ctrlProp" Target="../ctrlProps/ctrlProp871.xml"/><Relationship Id="rId29" Type="http://schemas.openxmlformats.org/officeDocument/2006/relationships/ctrlProp" Target="../ctrlProps/ctrlProp880.xml"/><Relationship Id="rId1" Type="http://schemas.openxmlformats.org/officeDocument/2006/relationships/printerSettings" Target="../printerSettings/printerSettings13.bin"/><Relationship Id="rId6" Type="http://schemas.openxmlformats.org/officeDocument/2006/relationships/ctrlProp" Target="../ctrlProps/ctrlProp857.xml"/><Relationship Id="rId11" Type="http://schemas.openxmlformats.org/officeDocument/2006/relationships/ctrlProp" Target="../ctrlProps/ctrlProp862.xml"/><Relationship Id="rId24" Type="http://schemas.openxmlformats.org/officeDocument/2006/relationships/ctrlProp" Target="../ctrlProps/ctrlProp875.xml"/><Relationship Id="rId32" Type="http://schemas.openxmlformats.org/officeDocument/2006/relationships/ctrlProp" Target="../ctrlProps/ctrlProp883.xml"/><Relationship Id="rId37" Type="http://schemas.openxmlformats.org/officeDocument/2006/relationships/ctrlProp" Target="../ctrlProps/ctrlProp888.xml"/><Relationship Id="rId40" Type="http://schemas.openxmlformats.org/officeDocument/2006/relationships/ctrlProp" Target="../ctrlProps/ctrlProp891.xml"/><Relationship Id="rId5" Type="http://schemas.openxmlformats.org/officeDocument/2006/relationships/ctrlProp" Target="../ctrlProps/ctrlProp856.xml"/><Relationship Id="rId15" Type="http://schemas.openxmlformats.org/officeDocument/2006/relationships/ctrlProp" Target="../ctrlProps/ctrlProp866.xml"/><Relationship Id="rId23" Type="http://schemas.openxmlformats.org/officeDocument/2006/relationships/ctrlProp" Target="../ctrlProps/ctrlProp874.xml"/><Relationship Id="rId28" Type="http://schemas.openxmlformats.org/officeDocument/2006/relationships/ctrlProp" Target="../ctrlProps/ctrlProp879.xml"/><Relationship Id="rId36" Type="http://schemas.openxmlformats.org/officeDocument/2006/relationships/ctrlProp" Target="../ctrlProps/ctrlProp887.xml"/><Relationship Id="rId10" Type="http://schemas.openxmlformats.org/officeDocument/2006/relationships/ctrlProp" Target="../ctrlProps/ctrlProp861.xml"/><Relationship Id="rId19" Type="http://schemas.openxmlformats.org/officeDocument/2006/relationships/ctrlProp" Target="../ctrlProps/ctrlProp870.xml"/><Relationship Id="rId31" Type="http://schemas.openxmlformats.org/officeDocument/2006/relationships/ctrlProp" Target="../ctrlProps/ctrlProp882.xml"/><Relationship Id="rId4" Type="http://schemas.openxmlformats.org/officeDocument/2006/relationships/ctrlProp" Target="../ctrlProps/ctrlProp855.xml"/><Relationship Id="rId9" Type="http://schemas.openxmlformats.org/officeDocument/2006/relationships/ctrlProp" Target="../ctrlProps/ctrlProp860.xml"/><Relationship Id="rId14" Type="http://schemas.openxmlformats.org/officeDocument/2006/relationships/ctrlProp" Target="../ctrlProps/ctrlProp865.xml"/><Relationship Id="rId22" Type="http://schemas.openxmlformats.org/officeDocument/2006/relationships/ctrlProp" Target="../ctrlProps/ctrlProp873.xml"/><Relationship Id="rId27" Type="http://schemas.openxmlformats.org/officeDocument/2006/relationships/ctrlProp" Target="../ctrlProps/ctrlProp878.xml"/><Relationship Id="rId30" Type="http://schemas.openxmlformats.org/officeDocument/2006/relationships/ctrlProp" Target="../ctrlProps/ctrlProp881.xml"/><Relationship Id="rId35" Type="http://schemas.openxmlformats.org/officeDocument/2006/relationships/ctrlProp" Target="../ctrlProps/ctrlProp886.xml"/><Relationship Id="rId8" Type="http://schemas.openxmlformats.org/officeDocument/2006/relationships/ctrlProp" Target="../ctrlProps/ctrlProp859.xml"/><Relationship Id="rId3"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901.xml"/><Relationship Id="rId18" Type="http://schemas.openxmlformats.org/officeDocument/2006/relationships/ctrlProp" Target="../ctrlProps/ctrlProp906.xml"/><Relationship Id="rId26" Type="http://schemas.openxmlformats.org/officeDocument/2006/relationships/ctrlProp" Target="../ctrlProps/ctrlProp914.xml"/><Relationship Id="rId39" Type="http://schemas.openxmlformats.org/officeDocument/2006/relationships/ctrlProp" Target="../ctrlProps/ctrlProp927.xml"/><Relationship Id="rId21" Type="http://schemas.openxmlformats.org/officeDocument/2006/relationships/ctrlProp" Target="../ctrlProps/ctrlProp909.xml"/><Relationship Id="rId34" Type="http://schemas.openxmlformats.org/officeDocument/2006/relationships/ctrlProp" Target="../ctrlProps/ctrlProp922.xml"/><Relationship Id="rId7" Type="http://schemas.openxmlformats.org/officeDocument/2006/relationships/ctrlProp" Target="../ctrlProps/ctrlProp895.xml"/><Relationship Id="rId12" Type="http://schemas.openxmlformats.org/officeDocument/2006/relationships/ctrlProp" Target="../ctrlProps/ctrlProp900.xml"/><Relationship Id="rId17" Type="http://schemas.openxmlformats.org/officeDocument/2006/relationships/ctrlProp" Target="../ctrlProps/ctrlProp905.xml"/><Relationship Id="rId25" Type="http://schemas.openxmlformats.org/officeDocument/2006/relationships/ctrlProp" Target="../ctrlProps/ctrlProp913.xml"/><Relationship Id="rId33" Type="http://schemas.openxmlformats.org/officeDocument/2006/relationships/ctrlProp" Target="../ctrlProps/ctrlProp921.xml"/><Relationship Id="rId38" Type="http://schemas.openxmlformats.org/officeDocument/2006/relationships/ctrlProp" Target="../ctrlProps/ctrlProp926.xml"/><Relationship Id="rId2" Type="http://schemas.openxmlformats.org/officeDocument/2006/relationships/drawing" Target="../drawings/drawing13.xml"/><Relationship Id="rId16" Type="http://schemas.openxmlformats.org/officeDocument/2006/relationships/ctrlProp" Target="../ctrlProps/ctrlProp904.xml"/><Relationship Id="rId20" Type="http://schemas.openxmlformats.org/officeDocument/2006/relationships/ctrlProp" Target="../ctrlProps/ctrlProp908.xml"/><Relationship Id="rId29" Type="http://schemas.openxmlformats.org/officeDocument/2006/relationships/ctrlProp" Target="../ctrlProps/ctrlProp917.xml"/><Relationship Id="rId1" Type="http://schemas.openxmlformats.org/officeDocument/2006/relationships/printerSettings" Target="../printerSettings/printerSettings14.bin"/><Relationship Id="rId6" Type="http://schemas.openxmlformats.org/officeDocument/2006/relationships/ctrlProp" Target="../ctrlProps/ctrlProp894.xml"/><Relationship Id="rId11" Type="http://schemas.openxmlformats.org/officeDocument/2006/relationships/ctrlProp" Target="../ctrlProps/ctrlProp899.xml"/><Relationship Id="rId24" Type="http://schemas.openxmlformats.org/officeDocument/2006/relationships/ctrlProp" Target="../ctrlProps/ctrlProp912.xml"/><Relationship Id="rId32" Type="http://schemas.openxmlformats.org/officeDocument/2006/relationships/ctrlProp" Target="../ctrlProps/ctrlProp920.xml"/><Relationship Id="rId37" Type="http://schemas.openxmlformats.org/officeDocument/2006/relationships/ctrlProp" Target="../ctrlProps/ctrlProp925.xml"/><Relationship Id="rId40" Type="http://schemas.openxmlformats.org/officeDocument/2006/relationships/ctrlProp" Target="../ctrlProps/ctrlProp928.xml"/><Relationship Id="rId5" Type="http://schemas.openxmlformats.org/officeDocument/2006/relationships/ctrlProp" Target="../ctrlProps/ctrlProp893.xml"/><Relationship Id="rId15" Type="http://schemas.openxmlformats.org/officeDocument/2006/relationships/ctrlProp" Target="../ctrlProps/ctrlProp903.xml"/><Relationship Id="rId23" Type="http://schemas.openxmlformats.org/officeDocument/2006/relationships/ctrlProp" Target="../ctrlProps/ctrlProp911.xml"/><Relationship Id="rId28" Type="http://schemas.openxmlformats.org/officeDocument/2006/relationships/ctrlProp" Target="../ctrlProps/ctrlProp916.xml"/><Relationship Id="rId36" Type="http://schemas.openxmlformats.org/officeDocument/2006/relationships/ctrlProp" Target="../ctrlProps/ctrlProp924.xml"/><Relationship Id="rId10" Type="http://schemas.openxmlformats.org/officeDocument/2006/relationships/ctrlProp" Target="../ctrlProps/ctrlProp898.xml"/><Relationship Id="rId19" Type="http://schemas.openxmlformats.org/officeDocument/2006/relationships/ctrlProp" Target="../ctrlProps/ctrlProp907.xml"/><Relationship Id="rId31" Type="http://schemas.openxmlformats.org/officeDocument/2006/relationships/ctrlProp" Target="../ctrlProps/ctrlProp919.xml"/><Relationship Id="rId4" Type="http://schemas.openxmlformats.org/officeDocument/2006/relationships/ctrlProp" Target="../ctrlProps/ctrlProp892.xml"/><Relationship Id="rId9" Type="http://schemas.openxmlformats.org/officeDocument/2006/relationships/ctrlProp" Target="../ctrlProps/ctrlProp897.xml"/><Relationship Id="rId14" Type="http://schemas.openxmlformats.org/officeDocument/2006/relationships/ctrlProp" Target="../ctrlProps/ctrlProp902.xml"/><Relationship Id="rId22" Type="http://schemas.openxmlformats.org/officeDocument/2006/relationships/ctrlProp" Target="../ctrlProps/ctrlProp910.xml"/><Relationship Id="rId27" Type="http://schemas.openxmlformats.org/officeDocument/2006/relationships/ctrlProp" Target="../ctrlProps/ctrlProp915.xml"/><Relationship Id="rId30" Type="http://schemas.openxmlformats.org/officeDocument/2006/relationships/ctrlProp" Target="../ctrlProps/ctrlProp918.xml"/><Relationship Id="rId35" Type="http://schemas.openxmlformats.org/officeDocument/2006/relationships/ctrlProp" Target="../ctrlProps/ctrlProp923.xml"/><Relationship Id="rId8" Type="http://schemas.openxmlformats.org/officeDocument/2006/relationships/ctrlProp" Target="../ctrlProps/ctrlProp896.xml"/><Relationship Id="rId3"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938.xml"/><Relationship Id="rId18" Type="http://schemas.openxmlformats.org/officeDocument/2006/relationships/ctrlProp" Target="../ctrlProps/ctrlProp943.xml"/><Relationship Id="rId26" Type="http://schemas.openxmlformats.org/officeDocument/2006/relationships/ctrlProp" Target="../ctrlProps/ctrlProp951.xml"/><Relationship Id="rId39" Type="http://schemas.openxmlformats.org/officeDocument/2006/relationships/ctrlProp" Target="../ctrlProps/ctrlProp964.xml"/><Relationship Id="rId21" Type="http://schemas.openxmlformats.org/officeDocument/2006/relationships/ctrlProp" Target="../ctrlProps/ctrlProp946.xml"/><Relationship Id="rId34" Type="http://schemas.openxmlformats.org/officeDocument/2006/relationships/ctrlProp" Target="../ctrlProps/ctrlProp959.xml"/><Relationship Id="rId7" Type="http://schemas.openxmlformats.org/officeDocument/2006/relationships/ctrlProp" Target="../ctrlProps/ctrlProp932.xml"/><Relationship Id="rId12" Type="http://schemas.openxmlformats.org/officeDocument/2006/relationships/ctrlProp" Target="../ctrlProps/ctrlProp937.xml"/><Relationship Id="rId17" Type="http://schemas.openxmlformats.org/officeDocument/2006/relationships/ctrlProp" Target="../ctrlProps/ctrlProp942.xml"/><Relationship Id="rId25" Type="http://schemas.openxmlformats.org/officeDocument/2006/relationships/ctrlProp" Target="../ctrlProps/ctrlProp950.xml"/><Relationship Id="rId33" Type="http://schemas.openxmlformats.org/officeDocument/2006/relationships/ctrlProp" Target="../ctrlProps/ctrlProp958.xml"/><Relationship Id="rId38" Type="http://schemas.openxmlformats.org/officeDocument/2006/relationships/ctrlProp" Target="../ctrlProps/ctrlProp963.xml"/><Relationship Id="rId2" Type="http://schemas.openxmlformats.org/officeDocument/2006/relationships/drawing" Target="../drawings/drawing14.xml"/><Relationship Id="rId16" Type="http://schemas.openxmlformats.org/officeDocument/2006/relationships/ctrlProp" Target="../ctrlProps/ctrlProp941.xml"/><Relationship Id="rId20" Type="http://schemas.openxmlformats.org/officeDocument/2006/relationships/ctrlProp" Target="../ctrlProps/ctrlProp945.xml"/><Relationship Id="rId29" Type="http://schemas.openxmlformats.org/officeDocument/2006/relationships/ctrlProp" Target="../ctrlProps/ctrlProp954.xml"/><Relationship Id="rId1" Type="http://schemas.openxmlformats.org/officeDocument/2006/relationships/printerSettings" Target="../printerSettings/printerSettings15.bin"/><Relationship Id="rId6" Type="http://schemas.openxmlformats.org/officeDocument/2006/relationships/ctrlProp" Target="../ctrlProps/ctrlProp931.xml"/><Relationship Id="rId11" Type="http://schemas.openxmlformats.org/officeDocument/2006/relationships/ctrlProp" Target="../ctrlProps/ctrlProp936.xml"/><Relationship Id="rId24" Type="http://schemas.openxmlformats.org/officeDocument/2006/relationships/ctrlProp" Target="../ctrlProps/ctrlProp949.xml"/><Relationship Id="rId32" Type="http://schemas.openxmlformats.org/officeDocument/2006/relationships/ctrlProp" Target="../ctrlProps/ctrlProp957.xml"/><Relationship Id="rId37" Type="http://schemas.openxmlformats.org/officeDocument/2006/relationships/ctrlProp" Target="../ctrlProps/ctrlProp962.xml"/><Relationship Id="rId40" Type="http://schemas.openxmlformats.org/officeDocument/2006/relationships/ctrlProp" Target="../ctrlProps/ctrlProp965.xml"/><Relationship Id="rId5" Type="http://schemas.openxmlformats.org/officeDocument/2006/relationships/ctrlProp" Target="../ctrlProps/ctrlProp930.xml"/><Relationship Id="rId15" Type="http://schemas.openxmlformats.org/officeDocument/2006/relationships/ctrlProp" Target="../ctrlProps/ctrlProp940.xml"/><Relationship Id="rId23" Type="http://schemas.openxmlformats.org/officeDocument/2006/relationships/ctrlProp" Target="../ctrlProps/ctrlProp948.xml"/><Relationship Id="rId28" Type="http://schemas.openxmlformats.org/officeDocument/2006/relationships/ctrlProp" Target="../ctrlProps/ctrlProp953.xml"/><Relationship Id="rId36" Type="http://schemas.openxmlformats.org/officeDocument/2006/relationships/ctrlProp" Target="../ctrlProps/ctrlProp961.xml"/><Relationship Id="rId10" Type="http://schemas.openxmlformats.org/officeDocument/2006/relationships/ctrlProp" Target="../ctrlProps/ctrlProp935.xml"/><Relationship Id="rId19" Type="http://schemas.openxmlformats.org/officeDocument/2006/relationships/ctrlProp" Target="../ctrlProps/ctrlProp944.xml"/><Relationship Id="rId31" Type="http://schemas.openxmlformats.org/officeDocument/2006/relationships/ctrlProp" Target="../ctrlProps/ctrlProp956.xml"/><Relationship Id="rId4" Type="http://schemas.openxmlformats.org/officeDocument/2006/relationships/ctrlProp" Target="../ctrlProps/ctrlProp929.xml"/><Relationship Id="rId9" Type="http://schemas.openxmlformats.org/officeDocument/2006/relationships/ctrlProp" Target="../ctrlProps/ctrlProp934.xml"/><Relationship Id="rId14" Type="http://schemas.openxmlformats.org/officeDocument/2006/relationships/ctrlProp" Target="../ctrlProps/ctrlProp939.xml"/><Relationship Id="rId22" Type="http://schemas.openxmlformats.org/officeDocument/2006/relationships/ctrlProp" Target="../ctrlProps/ctrlProp947.xml"/><Relationship Id="rId27" Type="http://schemas.openxmlformats.org/officeDocument/2006/relationships/ctrlProp" Target="../ctrlProps/ctrlProp952.xml"/><Relationship Id="rId30" Type="http://schemas.openxmlformats.org/officeDocument/2006/relationships/ctrlProp" Target="../ctrlProps/ctrlProp955.xml"/><Relationship Id="rId35" Type="http://schemas.openxmlformats.org/officeDocument/2006/relationships/ctrlProp" Target="../ctrlProps/ctrlProp960.xml"/><Relationship Id="rId8" Type="http://schemas.openxmlformats.org/officeDocument/2006/relationships/ctrlProp" Target="../ctrlProps/ctrlProp933.xml"/><Relationship Id="rId3"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975.xml"/><Relationship Id="rId18" Type="http://schemas.openxmlformats.org/officeDocument/2006/relationships/ctrlProp" Target="../ctrlProps/ctrlProp980.xml"/><Relationship Id="rId26" Type="http://schemas.openxmlformats.org/officeDocument/2006/relationships/ctrlProp" Target="../ctrlProps/ctrlProp988.xml"/><Relationship Id="rId39" Type="http://schemas.openxmlformats.org/officeDocument/2006/relationships/ctrlProp" Target="../ctrlProps/ctrlProp1001.xml"/><Relationship Id="rId21" Type="http://schemas.openxmlformats.org/officeDocument/2006/relationships/ctrlProp" Target="../ctrlProps/ctrlProp983.xml"/><Relationship Id="rId34" Type="http://schemas.openxmlformats.org/officeDocument/2006/relationships/ctrlProp" Target="../ctrlProps/ctrlProp996.xml"/><Relationship Id="rId7" Type="http://schemas.openxmlformats.org/officeDocument/2006/relationships/ctrlProp" Target="../ctrlProps/ctrlProp969.xml"/><Relationship Id="rId12" Type="http://schemas.openxmlformats.org/officeDocument/2006/relationships/ctrlProp" Target="../ctrlProps/ctrlProp974.xml"/><Relationship Id="rId17" Type="http://schemas.openxmlformats.org/officeDocument/2006/relationships/ctrlProp" Target="../ctrlProps/ctrlProp979.xml"/><Relationship Id="rId25" Type="http://schemas.openxmlformats.org/officeDocument/2006/relationships/ctrlProp" Target="../ctrlProps/ctrlProp987.xml"/><Relationship Id="rId33" Type="http://schemas.openxmlformats.org/officeDocument/2006/relationships/ctrlProp" Target="../ctrlProps/ctrlProp995.xml"/><Relationship Id="rId38" Type="http://schemas.openxmlformats.org/officeDocument/2006/relationships/ctrlProp" Target="../ctrlProps/ctrlProp1000.xml"/><Relationship Id="rId2" Type="http://schemas.openxmlformats.org/officeDocument/2006/relationships/drawing" Target="../drawings/drawing15.xml"/><Relationship Id="rId16" Type="http://schemas.openxmlformats.org/officeDocument/2006/relationships/ctrlProp" Target="../ctrlProps/ctrlProp978.xml"/><Relationship Id="rId20" Type="http://schemas.openxmlformats.org/officeDocument/2006/relationships/ctrlProp" Target="../ctrlProps/ctrlProp982.xml"/><Relationship Id="rId29" Type="http://schemas.openxmlformats.org/officeDocument/2006/relationships/ctrlProp" Target="../ctrlProps/ctrlProp991.xml"/><Relationship Id="rId1" Type="http://schemas.openxmlformats.org/officeDocument/2006/relationships/printerSettings" Target="../printerSettings/printerSettings16.bin"/><Relationship Id="rId6" Type="http://schemas.openxmlformats.org/officeDocument/2006/relationships/ctrlProp" Target="../ctrlProps/ctrlProp968.xml"/><Relationship Id="rId11" Type="http://schemas.openxmlformats.org/officeDocument/2006/relationships/ctrlProp" Target="../ctrlProps/ctrlProp973.xml"/><Relationship Id="rId24" Type="http://schemas.openxmlformats.org/officeDocument/2006/relationships/ctrlProp" Target="../ctrlProps/ctrlProp986.xml"/><Relationship Id="rId32" Type="http://schemas.openxmlformats.org/officeDocument/2006/relationships/ctrlProp" Target="../ctrlProps/ctrlProp994.xml"/><Relationship Id="rId37" Type="http://schemas.openxmlformats.org/officeDocument/2006/relationships/ctrlProp" Target="../ctrlProps/ctrlProp999.xml"/><Relationship Id="rId40" Type="http://schemas.openxmlformats.org/officeDocument/2006/relationships/ctrlProp" Target="../ctrlProps/ctrlProp1002.xml"/><Relationship Id="rId5" Type="http://schemas.openxmlformats.org/officeDocument/2006/relationships/ctrlProp" Target="../ctrlProps/ctrlProp967.xml"/><Relationship Id="rId15" Type="http://schemas.openxmlformats.org/officeDocument/2006/relationships/ctrlProp" Target="../ctrlProps/ctrlProp977.xml"/><Relationship Id="rId23" Type="http://schemas.openxmlformats.org/officeDocument/2006/relationships/ctrlProp" Target="../ctrlProps/ctrlProp985.xml"/><Relationship Id="rId28" Type="http://schemas.openxmlformats.org/officeDocument/2006/relationships/ctrlProp" Target="../ctrlProps/ctrlProp990.xml"/><Relationship Id="rId36" Type="http://schemas.openxmlformats.org/officeDocument/2006/relationships/ctrlProp" Target="../ctrlProps/ctrlProp998.xml"/><Relationship Id="rId10" Type="http://schemas.openxmlformats.org/officeDocument/2006/relationships/ctrlProp" Target="../ctrlProps/ctrlProp972.xml"/><Relationship Id="rId19" Type="http://schemas.openxmlformats.org/officeDocument/2006/relationships/ctrlProp" Target="../ctrlProps/ctrlProp981.xml"/><Relationship Id="rId31" Type="http://schemas.openxmlformats.org/officeDocument/2006/relationships/ctrlProp" Target="../ctrlProps/ctrlProp993.xml"/><Relationship Id="rId4" Type="http://schemas.openxmlformats.org/officeDocument/2006/relationships/ctrlProp" Target="../ctrlProps/ctrlProp966.xml"/><Relationship Id="rId9" Type="http://schemas.openxmlformats.org/officeDocument/2006/relationships/ctrlProp" Target="../ctrlProps/ctrlProp971.xml"/><Relationship Id="rId14" Type="http://schemas.openxmlformats.org/officeDocument/2006/relationships/ctrlProp" Target="../ctrlProps/ctrlProp976.xml"/><Relationship Id="rId22" Type="http://schemas.openxmlformats.org/officeDocument/2006/relationships/ctrlProp" Target="../ctrlProps/ctrlProp984.xml"/><Relationship Id="rId27" Type="http://schemas.openxmlformats.org/officeDocument/2006/relationships/ctrlProp" Target="../ctrlProps/ctrlProp989.xml"/><Relationship Id="rId30" Type="http://schemas.openxmlformats.org/officeDocument/2006/relationships/ctrlProp" Target="../ctrlProps/ctrlProp992.xml"/><Relationship Id="rId35" Type="http://schemas.openxmlformats.org/officeDocument/2006/relationships/ctrlProp" Target="../ctrlProps/ctrlProp997.xml"/><Relationship Id="rId8" Type="http://schemas.openxmlformats.org/officeDocument/2006/relationships/ctrlProp" Target="../ctrlProps/ctrlProp970.xml"/><Relationship Id="rId3"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1012.xml"/><Relationship Id="rId18" Type="http://schemas.openxmlformats.org/officeDocument/2006/relationships/ctrlProp" Target="../ctrlProps/ctrlProp1017.xml"/><Relationship Id="rId26" Type="http://schemas.openxmlformats.org/officeDocument/2006/relationships/ctrlProp" Target="../ctrlProps/ctrlProp1025.xml"/><Relationship Id="rId39" Type="http://schemas.openxmlformats.org/officeDocument/2006/relationships/ctrlProp" Target="../ctrlProps/ctrlProp1038.xml"/><Relationship Id="rId21" Type="http://schemas.openxmlformats.org/officeDocument/2006/relationships/ctrlProp" Target="../ctrlProps/ctrlProp1020.xml"/><Relationship Id="rId34" Type="http://schemas.openxmlformats.org/officeDocument/2006/relationships/ctrlProp" Target="../ctrlProps/ctrlProp1033.xml"/><Relationship Id="rId7" Type="http://schemas.openxmlformats.org/officeDocument/2006/relationships/ctrlProp" Target="../ctrlProps/ctrlProp1006.xml"/><Relationship Id="rId12" Type="http://schemas.openxmlformats.org/officeDocument/2006/relationships/ctrlProp" Target="../ctrlProps/ctrlProp1011.xml"/><Relationship Id="rId17" Type="http://schemas.openxmlformats.org/officeDocument/2006/relationships/ctrlProp" Target="../ctrlProps/ctrlProp1016.xml"/><Relationship Id="rId25" Type="http://schemas.openxmlformats.org/officeDocument/2006/relationships/ctrlProp" Target="../ctrlProps/ctrlProp1024.xml"/><Relationship Id="rId33" Type="http://schemas.openxmlformats.org/officeDocument/2006/relationships/ctrlProp" Target="../ctrlProps/ctrlProp1032.xml"/><Relationship Id="rId38" Type="http://schemas.openxmlformats.org/officeDocument/2006/relationships/ctrlProp" Target="../ctrlProps/ctrlProp1037.xml"/><Relationship Id="rId2" Type="http://schemas.openxmlformats.org/officeDocument/2006/relationships/drawing" Target="../drawings/drawing16.xml"/><Relationship Id="rId16" Type="http://schemas.openxmlformats.org/officeDocument/2006/relationships/ctrlProp" Target="../ctrlProps/ctrlProp1015.xml"/><Relationship Id="rId20" Type="http://schemas.openxmlformats.org/officeDocument/2006/relationships/ctrlProp" Target="../ctrlProps/ctrlProp1019.xml"/><Relationship Id="rId29" Type="http://schemas.openxmlformats.org/officeDocument/2006/relationships/ctrlProp" Target="../ctrlProps/ctrlProp1028.xml"/><Relationship Id="rId1" Type="http://schemas.openxmlformats.org/officeDocument/2006/relationships/printerSettings" Target="../printerSettings/printerSettings17.bin"/><Relationship Id="rId6" Type="http://schemas.openxmlformats.org/officeDocument/2006/relationships/ctrlProp" Target="../ctrlProps/ctrlProp1005.xml"/><Relationship Id="rId11" Type="http://schemas.openxmlformats.org/officeDocument/2006/relationships/ctrlProp" Target="../ctrlProps/ctrlProp1010.xml"/><Relationship Id="rId24" Type="http://schemas.openxmlformats.org/officeDocument/2006/relationships/ctrlProp" Target="../ctrlProps/ctrlProp1023.xml"/><Relationship Id="rId32" Type="http://schemas.openxmlformats.org/officeDocument/2006/relationships/ctrlProp" Target="../ctrlProps/ctrlProp1031.xml"/><Relationship Id="rId37" Type="http://schemas.openxmlformats.org/officeDocument/2006/relationships/ctrlProp" Target="../ctrlProps/ctrlProp1036.xml"/><Relationship Id="rId40" Type="http://schemas.openxmlformats.org/officeDocument/2006/relationships/ctrlProp" Target="../ctrlProps/ctrlProp1039.xml"/><Relationship Id="rId5" Type="http://schemas.openxmlformats.org/officeDocument/2006/relationships/ctrlProp" Target="../ctrlProps/ctrlProp1004.xml"/><Relationship Id="rId15" Type="http://schemas.openxmlformats.org/officeDocument/2006/relationships/ctrlProp" Target="../ctrlProps/ctrlProp1014.xml"/><Relationship Id="rId23" Type="http://schemas.openxmlformats.org/officeDocument/2006/relationships/ctrlProp" Target="../ctrlProps/ctrlProp1022.xml"/><Relationship Id="rId28" Type="http://schemas.openxmlformats.org/officeDocument/2006/relationships/ctrlProp" Target="../ctrlProps/ctrlProp1027.xml"/><Relationship Id="rId36" Type="http://schemas.openxmlformats.org/officeDocument/2006/relationships/ctrlProp" Target="../ctrlProps/ctrlProp1035.xml"/><Relationship Id="rId10" Type="http://schemas.openxmlformats.org/officeDocument/2006/relationships/ctrlProp" Target="../ctrlProps/ctrlProp1009.xml"/><Relationship Id="rId19" Type="http://schemas.openxmlformats.org/officeDocument/2006/relationships/ctrlProp" Target="../ctrlProps/ctrlProp1018.xml"/><Relationship Id="rId31" Type="http://schemas.openxmlformats.org/officeDocument/2006/relationships/ctrlProp" Target="../ctrlProps/ctrlProp1030.xml"/><Relationship Id="rId4" Type="http://schemas.openxmlformats.org/officeDocument/2006/relationships/ctrlProp" Target="../ctrlProps/ctrlProp1003.xml"/><Relationship Id="rId9" Type="http://schemas.openxmlformats.org/officeDocument/2006/relationships/ctrlProp" Target="../ctrlProps/ctrlProp1008.xml"/><Relationship Id="rId14" Type="http://schemas.openxmlformats.org/officeDocument/2006/relationships/ctrlProp" Target="../ctrlProps/ctrlProp1013.xml"/><Relationship Id="rId22" Type="http://schemas.openxmlformats.org/officeDocument/2006/relationships/ctrlProp" Target="../ctrlProps/ctrlProp1021.xml"/><Relationship Id="rId27" Type="http://schemas.openxmlformats.org/officeDocument/2006/relationships/ctrlProp" Target="../ctrlProps/ctrlProp1026.xml"/><Relationship Id="rId30" Type="http://schemas.openxmlformats.org/officeDocument/2006/relationships/ctrlProp" Target="../ctrlProps/ctrlProp1029.xml"/><Relationship Id="rId35" Type="http://schemas.openxmlformats.org/officeDocument/2006/relationships/ctrlProp" Target="../ctrlProps/ctrlProp1034.xml"/><Relationship Id="rId8" Type="http://schemas.openxmlformats.org/officeDocument/2006/relationships/ctrlProp" Target="../ctrlProps/ctrlProp1007.xml"/><Relationship Id="rId3"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1049.xml"/><Relationship Id="rId18" Type="http://schemas.openxmlformats.org/officeDocument/2006/relationships/ctrlProp" Target="../ctrlProps/ctrlProp1054.xml"/><Relationship Id="rId26" Type="http://schemas.openxmlformats.org/officeDocument/2006/relationships/ctrlProp" Target="../ctrlProps/ctrlProp1062.xml"/><Relationship Id="rId39" Type="http://schemas.openxmlformats.org/officeDocument/2006/relationships/ctrlProp" Target="../ctrlProps/ctrlProp1075.xml"/><Relationship Id="rId21" Type="http://schemas.openxmlformats.org/officeDocument/2006/relationships/ctrlProp" Target="../ctrlProps/ctrlProp1057.xml"/><Relationship Id="rId34" Type="http://schemas.openxmlformats.org/officeDocument/2006/relationships/ctrlProp" Target="../ctrlProps/ctrlProp1070.xml"/><Relationship Id="rId7" Type="http://schemas.openxmlformats.org/officeDocument/2006/relationships/ctrlProp" Target="../ctrlProps/ctrlProp1043.xml"/><Relationship Id="rId12" Type="http://schemas.openxmlformats.org/officeDocument/2006/relationships/ctrlProp" Target="../ctrlProps/ctrlProp1048.xml"/><Relationship Id="rId17" Type="http://schemas.openxmlformats.org/officeDocument/2006/relationships/ctrlProp" Target="../ctrlProps/ctrlProp1053.xml"/><Relationship Id="rId25" Type="http://schemas.openxmlformats.org/officeDocument/2006/relationships/ctrlProp" Target="../ctrlProps/ctrlProp1061.xml"/><Relationship Id="rId33" Type="http://schemas.openxmlformats.org/officeDocument/2006/relationships/ctrlProp" Target="../ctrlProps/ctrlProp1069.xml"/><Relationship Id="rId38" Type="http://schemas.openxmlformats.org/officeDocument/2006/relationships/ctrlProp" Target="../ctrlProps/ctrlProp1074.xml"/><Relationship Id="rId2" Type="http://schemas.openxmlformats.org/officeDocument/2006/relationships/drawing" Target="../drawings/drawing17.xml"/><Relationship Id="rId16" Type="http://schemas.openxmlformats.org/officeDocument/2006/relationships/ctrlProp" Target="../ctrlProps/ctrlProp1052.xml"/><Relationship Id="rId20" Type="http://schemas.openxmlformats.org/officeDocument/2006/relationships/ctrlProp" Target="../ctrlProps/ctrlProp1056.xml"/><Relationship Id="rId29" Type="http://schemas.openxmlformats.org/officeDocument/2006/relationships/ctrlProp" Target="../ctrlProps/ctrlProp1065.xml"/><Relationship Id="rId1" Type="http://schemas.openxmlformats.org/officeDocument/2006/relationships/printerSettings" Target="../printerSettings/printerSettings18.bin"/><Relationship Id="rId6" Type="http://schemas.openxmlformats.org/officeDocument/2006/relationships/ctrlProp" Target="../ctrlProps/ctrlProp1042.xml"/><Relationship Id="rId11" Type="http://schemas.openxmlformats.org/officeDocument/2006/relationships/ctrlProp" Target="../ctrlProps/ctrlProp1047.xml"/><Relationship Id="rId24" Type="http://schemas.openxmlformats.org/officeDocument/2006/relationships/ctrlProp" Target="../ctrlProps/ctrlProp1060.xml"/><Relationship Id="rId32" Type="http://schemas.openxmlformats.org/officeDocument/2006/relationships/ctrlProp" Target="../ctrlProps/ctrlProp1068.xml"/><Relationship Id="rId37" Type="http://schemas.openxmlformats.org/officeDocument/2006/relationships/ctrlProp" Target="../ctrlProps/ctrlProp1073.xml"/><Relationship Id="rId40" Type="http://schemas.openxmlformats.org/officeDocument/2006/relationships/ctrlProp" Target="../ctrlProps/ctrlProp1076.xml"/><Relationship Id="rId5" Type="http://schemas.openxmlformats.org/officeDocument/2006/relationships/ctrlProp" Target="../ctrlProps/ctrlProp1041.xml"/><Relationship Id="rId15" Type="http://schemas.openxmlformats.org/officeDocument/2006/relationships/ctrlProp" Target="../ctrlProps/ctrlProp1051.xml"/><Relationship Id="rId23" Type="http://schemas.openxmlformats.org/officeDocument/2006/relationships/ctrlProp" Target="../ctrlProps/ctrlProp1059.xml"/><Relationship Id="rId28" Type="http://schemas.openxmlformats.org/officeDocument/2006/relationships/ctrlProp" Target="../ctrlProps/ctrlProp1064.xml"/><Relationship Id="rId36" Type="http://schemas.openxmlformats.org/officeDocument/2006/relationships/ctrlProp" Target="../ctrlProps/ctrlProp1072.xml"/><Relationship Id="rId10" Type="http://schemas.openxmlformats.org/officeDocument/2006/relationships/ctrlProp" Target="../ctrlProps/ctrlProp1046.xml"/><Relationship Id="rId19" Type="http://schemas.openxmlformats.org/officeDocument/2006/relationships/ctrlProp" Target="../ctrlProps/ctrlProp1055.xml"/><Relationship Id="rId31" Type="http://schemas.openxmlformats.org/officeDocument/2006/relationships/ctrlProp" Target="../ctrlProps/ctrlProp1067.xml"/><Relationship Id="rId4" Type="http://schemas.openxmlformats.org/officeDocument/2006/relationships/ctrlProp" Target="../ctrlProps/ctrlProp1040.xml"/><Relationship Id="rId9" Type="http://schemas.openxmlformats.org/officeDocument/2006/relationships/ctrlProp" Target="../ctrlProps/ctrlProp1045.xml"/><Relationship Id="rId14" Type="http://schemas.openxmlformats.org/officeDocument/2006/relationships/ctrlProp" Target="../ctrlProps/ctrlProp1050.xml"/><Relationship Id="rId22" Type="http://schemas.openxmlformats.org/officeDocument/2006/relationships/ctrlProp" Target="../ctrlProps/ctrlProp1058.xml"/><Relationship Id="rId27" Type="http://schemas.openxmlformats.org/officeDocument/2006/relationships/ctrlProp" Target="../ctrlProps/ctrlProp1063.xml"/><Relationship Id="rId30" Type="http://schemas.openxmlformats.org/officeDocument/2006/relationships/ctrlProp" Target="../ctrlProps/ctrlProp1066.xml"/><Relationship Id="rId35" Type="http://schemas.openxmlformats.org/officeDocument/2006/relationships/ctrlProp" Target="../ctrlProps/ctrlProp1071.xml"/><Relationship Id="rId8" Type="http://schemas.openxmlformats.org/officeDocument/2006/relationships/ctrlProp" Target="../ctrlProps/ctrlProp1044.xml"/><Relationship Id="rId3"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1086.xml"/><Relationship Id="rId18" Type="http://schemas.openxmlformats.org/officeDocument/2006/relationships/ctrlProp" Target="../ctrlProps/ctrlProp1091.xml"/><Relationship Id="rId26" Type="http://schemas.openxmlformats.org/officeDocument/2006/relationships/ctrlProp" Target="../ctrlProps/ctrlProp1099.xml"/><Relationship Id="rId39" Type="http://schemas.openxmlformats.org/officeDocument/2006/relationships/ctrlProp" Target="../ctrlProps/ctrlProp1112.xml"/><Relationship Id="rId21" Type="http://schemas.openxmlformats.org/officeDocument/2006/relationships/ctrlProp" Target="../ctrlProps/ctrlProp1094.xml"/><Relationship Id="rId34" Type="http://schemas.openxmlformats.org/officeDocument/2006/relationships/ctrlProp" Target="../ctrlProps/ctrlProp1107.xml"/><Relationship Id="rId7" Type="http://schemas.openxmlformats.org/officeDocument/2006/relationships/ctrlProp" Target="../ctrlProps/ctrlProp1080.xml"/><Relationship Id="rId12" Type="http://schemas.openxmlformats.org/officeDocument/2006/relationships/ctrlProp" Target="../ctrlProps/ctrlProp1085.xml"/><Relationship Id="rId17" Type="http://schemas.openxmlformats.org/officeDocument/2006/relationships/ctrlProp" Target="../ctrlProps/ctrlProp1090.xml"/><Relationship Id="rId25" Type="http://schemas.openxmlformats.org/officeDocument/2006/relationships/ctrlProp" Target="../ctrlProps/ctrlProp1098.xml"/><Relationship Id="rId33" Type="http://schemas.openxmlformats.org/officeDocument/2006/relationships/ctrlProp" Target="../ctrlProps/ctrlProp1106.xml"/><Relationship Id="rId38" Type="http://schemas.openxmlformats.org/officeDocument/2006/relationships/ctrlProp" Target="../ctrlProps/ctrlProp1111.xml"/><Relationship Id="rId2" Type="http://schemas.openxmlformats.org/officeDocument/2006/relationships/drawing" Target="../drawings/drawing18.xml"/><Relationship Id="rId16" Type="http://schemas.openxmlformats.org/officeDocument/2006/relationships/ctrlProp" Target="../ctrlProps/ctrlProp1089.xml"/><Relationship Id="rId20" Type="http://schemas.openxmlformats.org/officeDocument/2006/relationships/ctrlProp" Target="../ctrlProps/ctrlProp1093.xml"/><Relationship Id="rId29" Type="http://schemas.openxmlformats.org/officeDocument/2006/relationships/ctrlProp" Target="../ctrlProps/ctrlProp1102.xml"/><Relationship Id="rId1" Type="http://schemas.openxmlformats.org/officeDocument/2006/relationships/printerSettings" Target="../printerSettings/printerSettings19.bin"/><Relationship Id="rId6" Type="http://schemas.openxmlformats.org/officeDocument/2006/relationships/ctrlProp" Target="../ctrlProps/ctrlProp1079.xml"/><Relationship Id="rId11" Type="http://schemas.openxmlformats.org/officeDocument/2006/relationships/ctrlProp" Target="../ctrlProps/ctrlProp1084.xml"/><Relationship Id="rId24" Type="http://schemas.openxmlformats.org/officeDocument/2006/relationships/ctrlProp" Target="../ctrlProps/ctrlProp1097.xml"/><Relationship Id="rId32" Type="http://schemas.openxmlformats.org/officeDocument/2006/relationships/ctrlProp" Target="../ctrlProps/ctrlProp1105.xml"/><Relationship Id="rId37" Type="http://schemas.openxmlformats.org/officeDocument/2006/relationships/ctrlProp" Target="../ctrlProps/ctrlProp1110.xml"/><Relationship Id="rId40" Type="http://schemas.openxmlformats.org/officeDocument/2006/relationships/ctrlProp" Target="../ctrlProps/ctrlProp1113.xml"/><Relationship Id="rId5" Type="http://schemas.openxmlformats.org/officeDocument/2006/relationships/ctrlProp" Target="../ctrlProps/ctrlProp1078.xml"/><Relationship Id="rId15" Type="http://schemas.openxmlformats.org/officeDocument/2006/relationships/ctrlProp" Target="../ctrlProps/ctrlProp1088.xml"/><Relationship Id="rId23" Type="http://schemas.openxmlformats.org/officeDocument/2006/relationships/ctrlProp" Target="../ctrlProps/ctrlProp1096.xml"/><Relationship Id="rId28" Type="http://schemas.openxmlformats.org/officeDocument/2006/relationships/ctrlProp" Target="../ctrlProps/ctrlProp1101.xml"/><Relationship Id="rId36" Type="http://schemas.openxmlformats.org/officeDocument/2006/relationships/ctrlProp" Target="../ctrlProps/ctrlProp1109.xml"/><Relationship Id="rId10" Type="http://schemas.openxmlformats.org/officeDocument/2006/relationships/ctrlProp" Target="../ctrlProps/ctrlProp1083.xml"/><Relationship Id="rId19" Type="http://schemas.openxmlformats.org/officeDocument/2006/relationships/ctrlProp" Target="../ctrlProps/ctrlProp1092.xml"/><Relationship Id="rId31" Type="http://schemas.openxmlformats.org/officeDocument/2006/relationships/ctrlProp" Target="../ctrlProps/ctrlProp1104.xml"/><Relationship Id="rId4" Type="http://schemas.openxmlformats.org/officeDocument/2006/relationships/ctrlProp" Target="../ctrlProps/ctrlProp1077.xml"/><Relationship Id="rId9" Type="http://schemas.openxmlformats.org/officeDocument/2006/relationships/ctrlProp" Target="../ctrlProps/ctrlProp1082.xml"/><Relationship Id="rId14" Type="http://schemas.openxmlformats.org/officeDocument/2006/relationships/ctrlProp" Target="../ctrlProps/ctrlProp1087.xml"/><Relationship Id="rId22" Type="http://schemas.openxmlformats.org/officeDocument/2006/relationships/ctrlProp" Target="../ctrlProps/ctrlProp1095.xml"/><Relationship Id="rId27" Type="http://schemas.openxmlformats.org/officeDocument/2006/relationships/ctrlProp" Target="../ctrlProps/ctrlProp1100.xml"/><Relationship Id="rId30" Type="http://schemas.openxmlformats.org/officeDocument/2006/relationships/ctrlProp" Target="../ctrlProps/ctrlProp1103.xml"/><Relationship Id="rId35" Type="http://schemas.openxmlformats.org/officeDocument/2006/relationships/ctrlProp" Target="../ctrlProps/ctrlProp1108.xml"/><Relationship Id="rId8" Type="http://schemas.openxmlformats.org/officeDocument/2006/relationships/ctrlProp" Target="../ctrlProps/ctrlProp1081.xml"/><Relationship Id="rId3"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1123.xml"/><Relationship Id="rId18" Type="http://schemas.openxmlformats.org/officeDocument/2006/relationships/ctrlProp" Target="../ctrlProps/ctrlProp1128.xml"/><Relationship Id="rId26" Type="http://schemas.openxmlformats.org/officeDocument/2006/relationships/ctrlProp" Target="../ctrlProps/ctrlProp1136.xml"/><Relationship Id="rId39" Type="http://schemas.openxmlformats.org/officeDocument/2006/relationships/ctrlProp" Target="../ctrlProps/ctrlProp1149.xml"/><Relationship Id="rId21" Type="http://schemas.openxmlformats.org/officeDocument/2006/relationships/ctrlProp" Target="../ctrlProps/ctrlProp1131.xml"/><Relationship Id="rId34" Type="http://schemas.openxmlformats.org/officeDocument/2006/relationships/ctrlProp" Target="../ctrlProps/ctrlProp1144.xml"/><Relationship Id="rId7" Type="http://schemas.openxmlformats.org/officeDocument/2006/relationships/ctrlProp" Target="../ctrlProps/ctrlProp1117.xml"/><Relationship Id="rId12" Type="http://schemas.openxmlformats.org/officeDocument/2006/relationships/ctrlProp" Target="../ctrlProps/ctrlProp1122.xml"/><Relationship Id="rId17" Type="http://schemas.openxmlformats.org/officeDocument/2006/relationships/ctrlProp" Target="../ctrlProps/ctrlProp1127.xml"/><Relationship Id="rId25" Type="http://schemas.openxmlformats.org/officeDocument/2006/relationships/ctrlProp" Target="../ctrlProps/ctrlProp1135.xml"/><Relationship Id="rId33" Type="http://schemas.openxmlformats.org/officeDocument/2006/relationships/ctrlProp" Target="../ctrlProps/ctrlProp1143.xml"/><Relationship Id="rId38" Type="http://schemas.openxmlformats.org/officeDocument/2006/relationships/ctrlProp" Target="../ctrlProps/ctrlProp1148.xml"/><Relationship Id="rId2" Type="http://schemas.openxmlformats.org/officeDocument/2006/relationships/drawing" Target="../drawings/drawing19.xml"/><Relationship Id="rId16" Type="http://schemas.openxmlformats.org/officeDocument/2006/relationships/ctrlProp" Target="../ctrlProps/ctrlProp1126.xml"/><Relationship Id="rId20" Type="http://schemas.openxmlformats.org/officeDocument/2006/relationships/ctrlProp" Target="../ctrlProps/ctrlProp1130.xml"/><Relationship Id="rId29" Type="http://schemas.openxmlformats.org/officeDocument/2006/relationships/ctrlProp" Target="../ctrlProps/ctrlProp1139.xml"/><Relationship Id="rId1" Type="http://schemas.openxmlformats.org/officeDocument/2006/relationships/printerSettings" Target="../printerSettings/printerSettings20.bin"/><Relationship Id="rId6" Type="http://schemas.openxmlformats.org/officeDocument/2006/relationships/ctrlProp" Target="../ctrlProps/ctrlProp1116.xml"/><Relationship Id="rId11" Type="http://schemas.openxmlformats.org/officeDocument/2006/relationships/ctrlProp" Target="../ctrlProps/ctrlProp1121.xml"/><Relationship Id="rId24" Type="http://schemas.openxmlformats.org/officeDocument/2006/relationships/ctrlProp" Target="../ctrlProps/ctrlProp1134.xml"/><Relationship Id="rId32" Type="http://schemas.openxmlformats.org/officeDocument/2006/relationships/ctrlProp" Target="../ctrlProps/ctrlProp1142.xml"/><Relationship Id="rId37" Type="http://schemas.openxmlformats.org/officeDocument/2006/relationships/ctrlProp" Target="../ctrlProps/ctrlProp1147.xml"/><Relationship Id="rId40" Type="http://schemas.openxmlformats.org/officeDocument/2006/relationships/ctrlProp" Target="../ctrlProps/ctrlProp1150.xml"/><Relationship Id="rId5" Type="http://schemas.openxmlformats.org/officeDocument/2006/relationships/ctrlProp" Target="../ctrlProps/ctrlProp1115.xml"/><Relationship Id="rId15" Type="http://schemas.openxmlformats.org/officeDocument/2006/relationships/ctrlProp" Target="../ctrlProps/ctrlProp1125.xml"/><Relationship Id="rId23" Type="http://schemas.openxmlformats.org/officeDocument/2006/relationships/ctrlProp" Target="../ctrlProps/ctrlProp1133.xml"/><Relationship Id="rId28" Type="http://schemas.openxmlformats.org/officeDocument/2006/relationships/ctrlProp" Target="../ctrlProps/ctrlProp1138.xml"/><Relationship Id="rId36" Type="http://schemas.openxmlformats.org/officeDocument/2006/relationships/ctrlProp" Target="../ctrlProps/ctrlProp1146.xml"/><Relationship Id="rId10" Type="http://schemas.openxmlformats.org/officeDocument/2006/relationships/ctrlProp" Target="../ctrlProps/ctrlProp1120.xml"/><Relationship Id="rId19" Type="http://schemas.openxmlformats.org/officeDocument/2006/relationships/ctrlProp" Target="../ctrlProps/ctrlProp1129.xml"/><Relationship Id="rId31" Type="http://schemas.openxmlformats.org/officeDocument/2006/relationships/ctrlProp" Target="../ctrlProps/ctrlProp1141.xml"/><Relationship Id="rId4" Type="http://schemas.openxmlformats.org/officeDocument/2006/relationships/ctrlProp" Target="../ctrlProps/ctrlProp1114.xml"/><Relationship Id="rId9" Type="http://schemas.openxmlformats.org/officeDocument/2006/relationships/ctrlProp" Target="../ctrlProps/ctrlProp1119.xml"/><Relationship Id="rId14" Type="http://schemas.openxmlformats.org/officeDocument/2006/relationships/ctrlProp" Target="../ctrlProps/ctrlProp1124.xml"/><Relationship Id="rId22" Type="http://schemas.openxmlformats.org/officeDocument/2006/relationships/ctrlProp" Target="../ctrlProps/ctrlProp1132.xml"/><Relationship Id="rId27" Type="http://schemas.openxmlformats.org/officeDocument/2006/relationships/ctrlProp" Target="../ctrlProps/ctrlProp1137.xml"/><Relationship Id="rId30" Type="http://schemas.openxmlformats.org/officeDocument/2006/relationships/ctrlProp" Target="../ctrlProps/ctrlProp1140.xml"/><Relationship Id="rId35" Type="http://schemas.openxmlformats.org/officeDocument/2006/relationships/ctrlProp" Target="../ctrlProps/ctrlProp1145.xml"/><Relationship Id="rId8" Type="http://schemas.openxmlformats.org/officeDocument/2006/relationships/ctrlProp" Target="../ctrlProps/ctrlProp1118.xml"/><Relationship Id="rId3" Type="http://schemas.openxmlformats.org/officeDocument/2006/relationships/vmlDrawing" Target="../drawings/vmlDrawing19.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1160.xml"/><Relationship Id="rId18" Type="http://schemas.openxmlformats.org/officeDocument/2006/relationships/ctrlProp" Target="../ctrlProps/ctrlProp1165.xml"/><Relationship Id="rId26" Type="http://schemas.openxmlformats.org/officeDocument/2006/relationships/ctrlProp" Target="../ctrlProps/ctrlProp1173.xml"/><Relationship Id="rId39" Type="http://schemas.openxmlformats.org/officeDocument/2006/relationships/ctrlProp" Target="../ctrlProps/ctrlProp1186.xml"/><Relationship Id="rId21" Type="http://schemas.openxmlformats.org/officeDocument/2006/relationships/ctrlProp" Target="../ctrlProps/ctrlProp1168.xml"/><Relationship Id="rId34" Type="http://schemas.openxmlformats.org/officeDocument/2006/relationships/ctrlProp" Target="../ctrlProps/ctrlProp1181.xml"/><Relationship Id="rId7" Type="http://schemas.openxmlformats.org/officeDocument/2006/relationships/ctrlProp" Target="../ctrlProps/ctrlProp1154.xml"/><Relationship Id="rId12" Type="http://schemas.openxmlformats.org/officeDocument/2006/relationships/ctrlProp" Target="../ctrlProps/ctrlProp1159.xml"/><Relationship Id="rId17" Type="http://schemas.openxmlformats.org/officeDocument/2006/relationships/ctrlProp" Target="../ctrlProps/ctrlProp1164.xml"/><Relationship Id="rId25" Type="http://schemas.openxmlformats.org/officeDocument/2006/relationships/ctrlProp" Target="../ctrlProps/ctrlProp1172.xml"/><Relationship Id="rId33" Type="http://schemas.openxmlformats.org/officeDocument/2006/relationships/ctrlProp" Target="../ctrlProps/ctrlProp1180.xml"/><Relationship Id="rId38" Type="http://schemas.openxmlformats.org/officeDocument/2006/relationships/ctrlProp" Target="../ctrlProps/ctrlProp1185.xml"/><Relationship Id="rId2" Type="http://schemas.openxmlformats.org/officeDocument/2006/relationships/drawing" Target="../drawings/drawing20.xml"/><Relationship Id="rId16" Type="http://schemas.openxmlformats.org/officeDocument/2006/relationships/ctrlProp" Target="../ctrlProps/ctrlProp1163.xml"/><Relationship Id="rId20" Type="http://schemas.openxmlformats.org/officeDocument/2006/relationships/ctrlProp" Target="../ctrlProps/ctrlProp1167.xml"/><Relationship Id="rId29" Type="http://schemas.openxmlformats.org/officeDocument/2006/relationships/ctrlProp" Target="../ctrlProps/ctrlProp1176.xml"/><Relationship Id="rId1" Type="http://schemas.openxmlformats.org/officeDocument/2006/relationships/printerSettings" Target="../printerSettings/printerSettings21.bin"/><Relationship Id="rId6" Type="http://schemas.openxmlformats.org/officeDocument/2006/relationships/ctrlProp" Target="../ctrlProps/ctrlProp1153.xml"/><Relationship Id="rId11" Type="http://schemas.openxmlformats.org/officeDocument/2006/relationships/ctrlProp" Target="../ctrlProps/ctrlProp1158.xml"/><Relationship Id="rId24" Type="http://schemas.openxmlformats.org/officeDocument/2006/relationships/ctrlProp" Target="../ctrlProps/ctrlProp1171.xml"/><Relationship Id="rId32" Type="http://schemas.openxmlformats.org/officeDocument/2006/relationships/ctrlProp" Target="../ctrlProps/ctrlProp1179.xml"/><Relationship Id="rId37" Type="http://schemas.openxmlformats.org/officeDocument/2006/relationships/ctrlProp" Target="../ctrlProps/ctrlProp1184.xml"/><Relationship Id="rId40" Type="http://schemas.openxmlformats.org/officeDocument/2006/relationships/ctrlProp" Target="../ctrlProps/ctrlProp1187.xml"/><Relationship Id="rId5" Type="http://schemas.openxmlformats.org/officeDocument/2006/relationships/ctrlProp" Target="../ctrlProps/ctrlProp1152.xml"/><Relationship Id="rId15" Type="http://schemas.openxmlformats.org/officeDocument/2006/relationships/ctrlProp" Target="../ctrlProps/ctrlProp1162.xml"/><Relationship Id="rId23" Type="http://schemas.openxmlformats.org/officeDocument/2006/relationships/ctrlProp" Target="../ctrlProps/ctrlProp1170.xml"/><Relationship Id="rId28" Type="http://schemas.openxmlformats.org/officeDocument/2006/relationships/ctrlProp" Target="../ctrlProps/ctrlProp1175.xml"/><Relationship Id="rId36" Type="http://schemas.openxmlformats.org/officeDocument/2006/relationships/ctrlProp" Target="../ctrlProps/ctrlProp1183.xml"/><Relationship Id="rId10" Type="http://schemas.openxmlformats.org/officeDocument/2006/relationships/ctrlProp" Target="../ctrlProps/ctrlProp1157.xml"/><Relationship Id="rId19" Type="http://schemas.openxmlformats.org/officeDocument/2006/relationships/ctrlProp" Target="../ctrlProps/ctrlProp1166.xml"/><Relationship Id="rId31" Type="http://schemas.openxmlformats.org/officeDocument/2006/relationships/ctrlProp" Target="../ctrlProps/ctrlProp1178.xml"/><Relationship Id="rId4" Type="http://schemas.openxmlformats.org/officeDocument/2006/relationships/ctrlProp" Target="../ctrlProps/ctrlProp1151.xml"/><Relationship Id="rId9" Type="http://schemas.openxmlformats.org/officeDocument/2006/relationships/ctrlProp" Target="../ctrlProps/ctrlProp1156.xml"/><Relationship Id="rId14" Type="http://schemas.openxmlformats.org/officeDocument/2006/relationships/ctrlProp" Target="../ctrlProps/ctrlProp1161.xml"/><Relationship Id="rId22" Type="http://schemas.openxmlformats.org/officeDocument/2006/relationships/ctrlProp" Target="../ctrlProps/ctrlProp1169.xml"/><Relationship Id="rId27" Type="http://schemas.openxmlformats.org/officeDocument/2006/relationships/ctrlProp" Target="../ctrlProps/ctrlProp1174.xml"/><Relationship Id="rId30" Type="http://schemas.openxmlformats.org/officeDocument/2006/relationships/ctrlProp" Target="../ctrlProps/ctrlProp1177.xml"/><Relationship Id="rId35" Type="http://schemas.openxmlformats.org/officeDocument/2006/relationships/ctrlProp" Target="../ctrlProps/ctrlProp1182.xml"/><Relationship Id="rId8" Type="http://schemas.openxmlformats.org/officeDocument/2006/relationships/ctrlProp" Target="../ctrlProps/ctrlProp1155.xml"/><Relationship Id="rId3" Type="http://schemas.openxmlformats.org/officeDocument/2006/relationships/vmlDrawing" Target="../drawings/vmlDrawing20.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1197.xml"/><Relationship Id="rId18" Type="http://schemas.openxmlformats.org/officeDocument/2006/relationships/ctrlProp" Target="../ctrlProps/ctrlProp1202.xml"/><Relationship Id="rId26" Type="http://schemas.openxmlformats.org/officeDocument/2006/relationships/ctrlProp" Target="../ctrlProps/ctrlProp1210.xml"/><Relationship Id="rId39" Type="http://schemas.openxmlformats.org/officeDocument/2006/relationships/ctrlProp" Target="../ctrlProps/ctrlProp1223.xml"/><Relationship Id="rId21" Type="http://schemas.openxmlformats.org/officeDocument/2006/relationships/ctrlProp" Target="../ctrlProps/ctrlProp1205.xml"/><Relationship Id="rId34" Type="http://schemas.openxmlformats.org/officeDocument/2006/relationships/ctrlProp" Target="../ctrlProps/ctrlProp1218.xml"/><Relationship Id="rId7" Type="http://schemas.openxmlformats.org/officeDocument/2006/relationships/ctrlProp" Target="../ctrlProps/ctrlProp1191.xml"/><Relationship Id="rId12" Type="http://schemas.openxmlformats.org/officeDocument/2006/relationships/ctrlProp" Target="../ctrlProps/ctrlProp1196.xml"/><Relationship Id="rId17" Type="http://schemas.openxmlformats.org/officeDocument/2006/relationships/ctrlProp" Target="../ctrlProps/ctrlProp1201.xml"/><Relationship Id="rId25" Type="http://schemas.openxmlformats.org/officeDocument/2006/relationships/ctrlProp" Target="../ctrlProps/ctrlProp1209.xml"/><Relationship Id="rId33" Type="http://schemas.openxmlformats.org/officeDocument/2006/relationships/ctrlProp" Target="../ctrlProps/ctrlProp1217.xml"/><Relationship Id="rId38" Type="http://schemas.openxmlformats.org/officeDocument/2006/relationships/ctrlProp" Target="../ctrlProps/ctrlProp1222.xml"/><Relationship Id="rId2" Type="http://schemas.openxmlformats.org/officeDocument/2006/relationships/drawing" Target="../drawings/drawing21.xml"/><Relationship Id="rId16" Type="http://schemas.openxmlformats.org/officeDocument/2006/relationships/ctrlProp" Target="../ctrlProps/ctrlProp1200.xml"/><Relationship Id="rId20" Type="http://schemas.openxmlformats.org/officeDocument/2006/relationships/ctrlProp" Target="../ctrlProps/ctrlProp1204.xml"/><Relationship Id="rId29" Type="http://schemas.openxmlformats.org/officeDocument/2006/relationships/ctrlProp" Target="../ctrlProps/ctrlProp1213.xml"/><Relationship Id="rId1" Type="http://schemas.openxmlformats.org/officeDocument/2006/relationships/printerSettings" Target="../printerSettings/printerSettings22.bin"/><Relationship Id="rId6" Type="http://schemas.openxmlformats.org/officeDocument/2006/relationships/ctrlProp" Target="../ctrlProps/ctrlProp1190.xml"/><Relationship Id="rId11" Type="http://schemas.openxmlformats.org/officeDocument/2006/relationships/ctrlProp" Target="../ctrlProps/ctrlProp1195.xml"/><Relationship Id="rId24" Type="http://schemas.openxmlformats.org/officeDocument/2006/relationships/ctrlProp" Target="../ctrlProps/ctrlProp1208.xml"/><Relationship Id="rId32" Type="http://schemas.openxmlformats.org/officeDocument/2006/relationships/ctrlProp" Target="../ctrlProps/ctrlProp1216.xml"/><Relationship Id="rId37" Type="http://schemas.openxmlformats.org/officeDocument/2006/relationships/ctrlProp" Target="../ctrlProps/ctrlProp1221.xml"/><Relationship Id="rId40" Type="http://schemas.openxmlformats.org/officeDocument/2006/relationships/ctrlProp" Target="../ctrlProps/ctrlProp1224.xml"/><Relationship Id="rId5" Type="http://schemas.openxmlformats.org/officeDocument/2006/relationships/ctrlProp" Target="../ctrlProps/ctrlProp1189.xml"/><Relationship Id="rId15" Type="http://schemas.openxmlformats.org/officeDocument/2006/relationships/ctrlProp" Target="../ctrlProps/ctrlProp1199.xml"/><Relationship Id="rId23" Type="http://schemas.openxmlformats.org/officeDocument/2006/relationships/ctrlProp" Target="../ctrlProps/ctrlProp1207.xml"/><Relationship Id="rId28" Type="http://schemas.openxmlformats.org/officeDocument/2006/relationships/ctrlProp" Target="../ctrlProps/ctrlProp1212.xml"/><Relationship Id="rId36" Type="http://schemas.openxmlformats.org/officeDocument/2006/relationships/ctrlProp" Target="../ctrlProps/ctrlProp1220.xml"/><Relationship Id="rId10" Type="http://schemas.openxmlformats.org/officeDocument/2006/relationships/ctrlProp" Target="../ctrlProps/ctrlProp1194.xml"/><Relationship Id="rId19" Type="http://schemas.openxmlformats.org/officeDocument/2006/relationships/ctrlProp" Target="../ctrlProps/ctrlProp1203.xml"/><Relationship Id="rId31" Type="http://schemas.openxmlformats.org/officeDocument/2006/relationships/ctrlProp" Target="../ctrlProps/ctrlProp1215.xml"/><Relationship Id="rId4" Type="http://schemas.openxmlformats.org/officeDocument/2006/relationships/ctrlProp" Target="../ctrlProps/ctrlProp1188.xml"/><Relationship Id="rId9" Type="http://schemas.openxmlformats.org/officeDocument/2006/relationships/ctrlProp" Target="../ctrlProps/ctrlProp1193.xml"/><Relationship Id="rId14" Type="http://schemas.openxmlformats.org/officeDocument/2006/relationships/ctrlProp" Target="../ctrlProps/ctrlProp1198.xml"/><Relationship Id="rId22" Type="http://schemas.openxmlformats.org/officeDocument/2006/relationships/ctrlProp" Target="../ctrlProps/ctrlProp1206.xml"/><Relationship Id="rId27" Type="http://schemas.openxmlformats.org/officeDocument/2006/relationships/ctrlProp" Target="../ctrlProps/ctrlProp1211.xml"/><Relationship Id="rId30" Type="http://schemas.openxmlformats.org/officeDocument/2006/relationships/ctrlProp" Target="../ctrlProps/ctrlProp1214.xml"/><Relationship Id="rId35" Type="http://schemas.openxmlformats.org/officeDocument/2006/relationships/ctrlProp" Target="../ctrlProps/ctrlProp1219.xml"/><Relationship Id="rId8" Type="http://schemas.openxmlformats.org/officeDocument/2006/relationships/ctrlProp" Target="../ctrlProps/ctrlProp1192.xml"/><Relationship Id="rId3" Type="http://schemas.openxmlformats.org/officeDocument/2006/relationships/vmlDrawing" Target="../drawings/vmlDrawing21.v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1234.xml"/><Relationship Id="rId18" Type="http://schemas.openxmlformats.org/officeDocument/2006/relationships/ctrlProp" Target="../ctrlProps/ctrlProp1239.xml"/><Relationship Id="rId26" Type="http://schemas.openxmlformats.org/officeDocument/2006/relationships/ctrlProp" Target="../ctrlProps/ctrlProp1247.xml"/><Relationship Id="rId39" Type="http://schemas.openxmlformats.org/officeDocument/2006/relationships/ctrlProp" Target="../ctrlProps/ctrlProp1260.xml"/><Relationship Id="rId21" Type="http://schemas.openxmlformats.org/officeDocument/2006/relationships/ctrlProp" Target="../ctrlProps/ctrlProp1242.xml"/><Relationship Id="rId34" Type="http://schemas.openxmlformats.org/officeDocument/2006/relationships/ctrlProp" Target="../ctrlProps/ctrlProp1255.xml"/><Relationship Id="rId7" Type="http://schemas.openxmlformats.org/officeDocument/2006/relationships/ctrlProp" Target="../ctrlProps/ctrlProp1228.xml"/><Relationship Id="rId12" Type="http://schemas.openxmlformats.org/officeDocument/2006/relationships/ctrlProp" Target="../ctrlProps/ctrlProp1233.xml"/><Relationship Id="rId17" Type="http://schemas.openxmlformats.org/officeDocument/2006/relationships/ctrlProp" Target="../ctrlProps/ctrlProp1238.xml"/><Relationship Id="rId25" Type="http://schemas.openxmlformats.org/officeDocument/2006/relationships/ctrlProp" Target="../ctrlProps/ctrlProp1246.xml"/><Relationship Id="rId33" Type="http://schemas.openxmlformats.org/officeDocument/2006/relationships/ctrlProp" Target="../ctrlProps/ctrlProp1254.xml"/><Relationship Id="rId38" Type="http://schemas.openxmlformats.org/officeDocument/2006/relationships/ctrlProp" Target="../ctrlProps/ctrlProp1259.xml"/><Relationship Id="rId2" Type="http://schemas.openxmlformats.org/officeDocument/2006/relationships/drawing" Target="../drawings/drawing22.xml"/><Relationship Id="rId16" Type="http://schemas.openxmlformats.org/officeDocument/2006/relationships/ctrlProp" Target="../ctrlProps/ctrlProp1237.xml"/><Relationship Id="rId20" Type="http://schemas.openxmlformats.org/officeDocument/2006/relationships/ctrlProp" Target="../ctrlProps/ctrlProp1241.xml"/><Relationship Id="rId29" Type="http://schemas.openxmlformats.org/officeDocument/2006/relationships/ctrlProp" Target="../ctrlProps/ctrlProp1250.xml"/><Relationship Id="rId1" Type="http://schemas.openxmlformats.org/officeDocument/2006/relationships/printerSettings" Target="../printerSettings/printerSettings23.bin"/><Relationship Id="rId6" Type="http://schemas.openxmlformats.org/officeDocument/2006/relationships/ctrlProp" Target="../ctrlProps/ctrlProp1227.xml"/><Relationship Id="rId11" Type="http://schemas.openxmlformats.org/officeDocument/2006/relationships/ctrlProp" Target="../ctrlProps/ctrlProp1232.xml"/><Relationship Id="rId24" Type="http://schemas.openxmlformats.org/officeDocument/2006/relationships/ctrlProp" Target="../ctrlProps/ctrlProp1245.xml"/><Relationship Id="rId32" Type="http://schemas.openxmlformats.org/officeDocument/2006/relationships/ctrlProp" Target="../ctrlProps/ctrlProp1253.xml"/><Relationship Id="rId37" Type="http://schemas.openxmlformats.org/officeDocument/2006/relationships/ctrlProp" Target="../ctrlProps/ctrlProp1258.xml"/><Relationship Id="rId40" Type="http://schemas.openxmlformats.org/officeDocument/2006/relationships/ctrlProp" Target="../ctrlProps/ctrlProp1261.xml"/><Relationship Id="rId5" Type="http://schemas.openxmlformats.org/officeDocument/2006/relationships/ctrlProp" Target="../ctrlProps/ctrlProp1226.xml"/><Relationship Id="rId15" Type="http://schemas.openxmlformats.org/officeDocument/2006/relationships/ctrlProp" Target="../ctrlProps/ctrlProp1236.xml"/><Relationship Id="rId23" Type="http://schemas.openxmlformats.org/officeDocument/2006/relationships/ctrlProp" Target="../ctrlProps/ctrlProp1244.xml"/><Relationship Id="rId28" Type="http://schemas.openxmlformats.org/officeDocument/2006/relationships/ctrlProp" Target="../ctrlProps/ctrlProp1249.xml"/><Relationship Id="rId36" Type="http://schemas.openxmlformats.org/officeDocument/2006/relationships/ctrlProp" Target="../ctrlProps/ctrlProp1257.xml"/><Relationship Id="rId10" Type="http://schemas.openxmlformats.org/officeDocument/2006/relationships/ctrlProp" Target="../ctrlProps/ctrlProp1231.xml"/><Relationship Id="rId19" Type="http://schemas.openxmlformats.org/officeDocument/2006/relationships/ctrlProp" Target="../ctrlProps/ctrlProp1240.xml"/><Relationship Id="rId31" Type="http://schemas.openxmlformats.org/officeDocument/2006/relationships/ctrlProp" Target="../ctrlProps/ctrlProp1252.xml"/><Relationship Id="rId4" Type="http://schemas.openxmlformats.org/officeDocument/2006/relationships/ctrlProp" Target="../ctrlProps/ctrlProp1225.xml"/><Relationship Id="rId9" Type="http://schemas.openxmlformats.org/officeDocument/2006/relationships/ctrlProp" Target="../ctrlProps/ctrlProp1230.xml"/><Relationship Id="rId14" Type="http://schemas.openxmlformats.org/officeDocument/2006/relationships/ctrlProp" Target="../ctrlProps/ctrlProp1235.xml"/><Relationship Id="rId22" Type="http://schemas.openxmlformats.org/officeDocument/2006/relationships/ctrlProp" Target="../ctrlProps/ctrlProp1243.xml"/><Relationship Id="rId27" Type="http://schemas.openxmlformats.org/officeDocument/2006/relationships/ctrlProp" Target="../ctrlProps/ctrlProp1248.xml"/><Relationship Id="rId30" Type="http://schemas.openxmlformats.org/officeDocument/2006/relationships/ctrlProp" Target="../ctrlProps/ctrlProp1251.xml"/><Relationship Id="rId35" Type="http://schemas.openxmlformats.org/officeDocument/2006/relationships/ctrlProp" Target="../ctrlProps/ctrlProp1256.xml"/><Relationship Id="rId8" Type="http://schemas.openxmlformats.org/officeDocument/2006/relationships/ctrlProp" Target="../ctrlProps/ctrlProp1229.xml"/><Relationship Id="rId3" Type="http://schemas.openxmlformats.org/officeDocument/2006/relationships/vmlDrawing" Target="../drawings/vmlDrawing22.vml"/></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1271.xml"/><Relationship Id="rId18" Type="http://schemas.openxmlformats.org/officeDocument/2006/relationships/ctrlProp" Target="../ctrlProps/ctrlProp1276.xml"/><Relationship Id="rId26" Type="http://schemas.openxmlformats.org/officeDocument/2006/relationships/ctrlProp" Target="../ctrlProps/ctrlProp1284.xml"/><Relationship Id="rId39" Type="http://schemas.openxmlformats.org/officeDocument/2006/relationships/ctrlProp" Target="../ctrlProps/ctrlProp1297.xml"/><Relationship Id="rId21" Type="http://schemas.openxmlformats.org/officeDocument/2006/relationships/ctrlProp" Target="../ctrlProps/ctrlProp1279.xml"/><Relationship Id="rId34" Type="http://schemas.openxmlformats.org/officeDocument/2006/relationships/ctrlProp" Target="../ctrlProps/ctrlProp1292.xml"/><Relationship Id="rId7" Type="http://schemas.openxmlformats.org/officeDocument/2006/relationships/ctrlProp" Target="../ctrlProps/ctrlProp1265.xml"/><Relationship Id="rId12" Type="http://schemas.openxmlformats.org/officeDocument/2006/relationships/ctrlProp" Target="../ctrlProps/ctrlProp1270.xml"/><Relationship Id="rId17" Type="http://schemas.openxmlformats.org/officeDocument/2006/relationships/ctrlProp" Target="../ctrlProps/ctrlProp1275.xml"/><Relationship Id="rId25" Type="http://schemas.openxmlformats.org/officeDocument/2006/relationships/ctrlProp" Target="../ctrlProps/ctrlProp1283.xml"/><Relationship Id="rId33" Type="http://schemas.openxmlformats.org/officeDocument/2006/relationships/ctrlProp" Target="../ctrlProps/ctrlProp1291.xml"/><Relationship Id="rId38" Type="http://schemas.openxmlformats.org/officeDocument/2006/relationships/ctrlProp" Target="../ctrlProps/ctrlProp1296.xml"/><Relationship Id="rId2" Type="http://schemas.openxmlformats.org/officeDocument/2006/relationships/drawing" Target="../drawings/drawing23.xml"/><Relationship Id="rId16" Type="http://schemas.openxmlformats.org/officeDocument/2006/relationships/ctrlProp" Target="../ctrlProps/ctrlProp1274.xml"/><Relationship Id="rId20" Type="http://schemas.openxmlformats.org/officeDocument/2006/relationships/ctrlProp" Target="../ctrlProps/ctrlProp1278.xml"/><Relationship Id="rId29" Type="http://schemas.openxmlformats.org/officeDocument/2006/relationships/ctrlProp" Target="../ctrlProps/ctrlProp1287.xml"/><Relationship Id="rId1" Type="http://schemas.openxmlformats.org/officeDocument/2006/relationships/printerSettings" Target="../printerSettings/printerSettings24.bin"/><Relationship Id="rId6" Type="http://schemas.openxmlformats.org/officeDocument/2006/relationships/ctrlProp" Target="../ctrlProps/ctrlProp1264.xml"/><Relationship Id="rId11" Type="http://schemas.openxmlformats.org/officeDocument/2006/relationships/ctrlProp" Target="../ctrlProps/ctrlProp1269.xml"/><Relationship Id="rId24" Type="http://schemas.openxmlformats.org/officeDocument/2006/relationships/ctrlProp" Target="../ctrlProps/ctrlProp1282.xml"/><Relationship Id="rId32" Type="http://schemas.openxmlformats.org/officeDocument/2006/relationships/ctrlProp" Target="../ctrlProps/ctrlProp1290.xml"/><Relationship Id="rId37" Type="http://schemas.openxmlformats.org/officeDocument/2006/relationships/ctrlProp" Target="../ctrlProps/ctrlProp1295.xml"/><Relationship Id="rId40" Type="http://schemas.openxmlformats.org/officeDocument/2006/relationships/ctrlProp" Target="../ctrlProps/ctrlProp1298.xml"/><Relationship Id="rId5" Type="http://schemas.openxmlformats.org/officeDocument/2006/relationships/ctrlProp" Target="../ctrlProps/ctrlProp1263.xml"/><Relationship Id="rId15" Type="http://schemas.openxmlformats.org/officeDocument/2006/relationships/ctrlProp" Target="../ctrlProps/ctrlProp1273.xml"/><Relationship Id="rId23" Type="http://schemas.openxmlformats.org/officeDocument/2006/relationships/ctrlProp" Target="../ctrlProps/ctrlProp1281.xml"/><Relationship Id="rId28" Type="http://schemas.openxmlformats.org/officeDocument/2006/relationships/ctrlProp" Target="../ctrlProps/ctrlProp1286.xml"/><Relationship Id="rId36" Type="http://schemas.openxmlformats.org/officeDocument/2006/relationships/ctrlProp" Target="../ctrlProps/ctrlProp1294.xml"/><Relationship Id="rId10" Type="http://schemas.openxmlformats.org/officeDocument/2006/relationships/ctrlProp" Target="../ctrlProps/ctrlProp1268.xml"/><Relationship Id="rId19" Type="http://schemas.openxmlformats.org/officeDocument/2006/relationships/ctrlProp" Target="../ctrlProps/ctrlProp1277.xml"/><Relationship Id="rId31" Type="http://schemas.openxmlformats.org/officeDocument/2006/relationships/ctrlProp" Target="../ctrlProps/ctrlProp1289.xml"/><Relationship Id="rId4" Type="http://schemas.openxmlformats.org/officeDocument/2006/relationships/ctrlProp" Target="../ctrlProps/ctrlProp1262.xml"/><Relationship Id="rId9" Type="http://schemas.openxmlformats.org/officeDocument/2006/relationships/ctrlProp" Target="../ctrlProps/ctrlProp1267.xml"/><Relationship Id="rId14" Type="http://schemas.openxmlformats.org/officeDocument/2006/relationships/ctrlProp" Target="../ctrlProps/ctrlProp1272.xml"/><Relationship Id="rId22" Type="http://schemas.openxmlformats.org/officeDocument/2006/relationships/ctrlProp" Target="../ctrlProps/ctrlProp1280.xml"/><Relationship Id="rId27" Type="http://schemas.openxmlformats.org/officeDocument/2006/relationships/ctrlProp" Target="../ctrlProps/ctrlProp1285.xml"/><Relationship Id="rId30" Type="http://schemas.openxmlformats.org/officeDocument/2006/relationships/ctrlProp" Target="../ctrlProps/ctrlProp1288.xml"/><Relationship Id="rId35" Type="http://schemas.openxmlformats.org/officeDocument/2006/relationships/ctrlProp" Target="../ctrlProps/ctrlProp1293.xml"/><Relationship Id="rId8" Type="http://schemas.openxmlformats.org/officeDocument/2006/relationships/ctrlProp" Target="../ctrlProps/ctrlProp1266.xml"/><Relationship Id="rId3" Type="http://schemas.openxmlformats.org/officeDocument/2006/relationships/vmlDrawing" Target="../drawings/vmlDrawing23.vml"/></Relationships>
</file>

<file path=xl/worksheets/_rels/sheet27.xml.rels><?xml version="1.0" encoding="UTF-8" standalone="yes"?>
<Relationships xmlns="http://schemas.openxmlformats.org/package/2006/relationships"><Relationship Id="rId13" Type="http://schemas.openxmlformats.org/officeDocument/2006/relationships/ctrlProp" Target="../ctrlProps/ctrlProp1308.xml"/><Relationship Id="rId18" Type="http://schemas.openxmlformats.org/officeDocument/2006/relationships/ctrlProp" Target="../ctrlProps/ctrlProp1313.xml"/><Relationship Id="rId26" Type="http://schemas.openxmlformats.org/officeDocument/2006/relationships/ctrlProp" Target="../ctrlProps/ctrlProp1321.xml"/><Relationship Id="rId39" Type="http://schemas.openxmlformats.org/officeDocument/2006/relationships/ctrlProp" Target="../ctrlProps/ctrlProp1334.xml"/><Relationship Id="rId21" Type="http://schemas.openxmlformats.org/officeDocument/2006/relationships/ctrlProp" Target="../ctrlProps/ctrlProp1316.xml"/><Relationship Id="rId34" Type="http://schemas.openxmlformats.org/officeDocument/2006/relationships/ctrlProp" Target="../ctrlProps/ctrlProp1329.xml"/><Relationship Id="rId7" Type="http://schemas.openxmlformats.org/officeDocument/2006/relationships/ctrlProp" Target="../ctrlProps/ctrlProp1302.xml"/><Relationship Id="rId12" Type="http://schemas.openxmlformats.org/officeDocument/2006/relationships/ctrlProp" Target="../ctrlProps/ctrlProp1307.xml"/><Relationship Id="rId17" Type="http://schemas.openxmlformats.org/officeDocument/2006/relationships/ctrlProp" Target="../ctrlProps/ctrlProp1312.xml"/><Relationship Id="rId25" Type="http://schemas.openxmlformats.org/officeDocument/2006/relationships/ctrlProp" Target="../ctrlProps/ctrlProp1320.xml"/><Relationship Id="rId33" Type="http://schemas.openxmlformats.org/officeDocument/2006/relationships/ctrlProp" Target="../ctrlProps/ctrlProp1328.xml"/><Relationship Id="rId38" Type="http://schemas.openxmlformats.org/officeDocument/2006/relationships/ctrlProp" Target="../ctrlProps/ctrlProp1333.xml"/><Relationship Id="rId2" Type="http://schemas.openxmlformats.org/officeDocument/2006/relationships/drawing" Target="../drawings/drawing24.xml"/><Relationship Id="rId16" Type="http://schemas.openxmlformats.org/officeDocument/2006/relationships/ctrlProp" Target="../ctrlProps/ctrlProp1311.xml"/><Relationship Id="rId20" Type="http://schemas.openxmlformats.org/officeDocument/2006/relationships/ctrlProp" Target="../ctrlProps/ctrlProp1315.xml"/><Relationship Id="rId29" Type="http://schemas.openxmlformats.org/officeDocument/2006/relationships/ctrlProp" Target="../ctrlProps/ctrlProp1324.xml"/><Relationship Id="rId1" Type="http://schemas.openxmlformats.org/officeDocument/2006/relationships/printerSettings" Target="../printerSettings/printerSettings25.bin"/><Relationship Id="rId6" Type="http://schemas.openxmlformats.org/officeDocument/2006/relationships/ctrlProp" Target="../ctrlProps/ctrlProp1301.xml"/><Relationship Id="rId11" Type="http://schemas.openxmlformats.org/officeDocument/2006/relationships/ctrlProp" Target="../ctrlProps/ctrlProp1306.xml"/><Relationship Id="rId24" Type="http://schemas.openxmlformats.org/officeDocument/2006/relationships/ctrlProp" Target="../ctrlProps/ctrlProp1319.xml"/><Relationship Id="rId32" Type="http://schemas.openxmlformats.org/officeDocument/2006/relationships/ctrlProp" Target="../ctrlProps/ctrlProp1327.xml"/><Relationship Id="rId37" Type="http://schemas.openxmlformats.org/officeDocument/2006/relationships/ctrlProp" Target="../ctrlProps/ctrlProp1332.xml"/><Relationship Id="rId40" Type="http://schemas.openxmlformats.org/officeDocument/2006/relationships/ctrlProp" Target="../ctrlProps/ctrlProp1335.xml"/><Relationship Id="rId5" Type="http://schemas.openxmlformats.org/officeDocument/2006/relationships/ctrlProp" Target="../ctrlProps/ctrlProp1300.xml"/><Relationship Id="rId15" Type="http://schemas.openxmlformats.org/officeDocument/2006/relationships/ctrlProp" Target="../ctrlProps/ctrlProp1310.xml"/><Relationship Id="rId23" Type="http://schemas.openxmlformats.org/officeDocument/2006/relationships/ctrlProp" Target="../ctrlProps/ctrlProp1318.xml"/><Relationship Id="rId28" Type="http://schemas.openxmlformats.org/officeDocument/2006/relationships/ctrlProp" Target="../ctrlProps/ctrlProp1323.xml"/><Relationship Id="rId36" Type="http://schemas.openxmlformats.org/officeDocument/2006/relationships/ctrlProp" Target="../ctrlProps/ctrlProp1331.xml"/><Relationship Id="rId10" Type="http://schemas.openxmlformats.org/officeDocument/2006/relationships/ctrlProp" Target="../ctrlProps/ctrlProp1305.xml"/><Relationship Id="rId19" Type="http://schemas.openxmlformats.org/officeDocument/2006/relationships/ctrlProp" Target="../ctrlProps/ctrlProp1314.xml"/><Relationship Id="rId31" Type="http://schemas.openxmlformats.org/officeDocument/2006/relationships/ctrlProp" Target="../ctrlProps/ctrlProp1326.xml"/><Relationship Id="rId4" Type="http://schemas.openxmlformats.org/officeDocument/2006/relationships/ctrlProp" Target="../ctrlProps/ctrlProp1299.xml"/><Relationship Id="rId9" Type="http://schemas.openxmlformats.org/officeDocument/2006/relationships/ctrlProp" Target="../ctrlProps/ctrlProp1304.xml"/><Relationship Id="rId14" Type="http://schemas.openxmlformats.org/officeDocument/2006/relationships/ctrlProp" Target="../ctrlProps/ctrlProp1309.xml"/><Relationship Id="rId22" Type="http://schemas.openxmlformats.org/officeDocument/2006/relationships/ctrlProp" Target="../ctrlProps/ctrlProp1317.xml"/><Relationship Id="rId27" Type="http://schemas.openxmlformats.org/officeDocument/2006/relationships/ctrlProp" Target="../ctrlProps/ctrlProp1322.xml"/><Relationship Id="rId30" Type="http://schemas.openxmlformats.org/officeDocument/2006/relationships/ctrlProp" Target="../ctrlProps/ctrlProp1325.xml"/><Relationship Id="rId35" Type="http://schemas.openxmlformats.org/officeDocument/2006/relationships/ctrlProp" Target="../ctrlProps/ctrlProp1330.xml"/><Relationship Id="rId8" Type="http://schemas.openxmlformats.org/officeDocument/2006/relationships/ctrlProp" Target="../ctrlProps/ctrlProp1303.xml"/><Relationship Id="rId3" Type="http://schemas.openxmlformats.org/officeDocument/2006/relationships/vmlDrawing" Target="../drawings/vmlDrawing24.vml"/></Relationships>
</file>

<file path=xl/worksheets/_rels/sheet28.xml.rels><?xml version="1.0" encoding="UTF-8" standalone="yes"?>
<Relationships xmlns="http://schemas.openxmlformats.org/package/2006/relationships"><Relationship Id="rId13" Type="http://schemas.openxmlformats.org/officeDocument/2006/relationships/ctrlProp" Target="../ctrlProps/ctrlProp1345.xml"/><Relationship Id="rId18" Type="http://schemas.openxmlformats.org/officeDocument/2006/relationships/ctrlProp" Target="../ctrlProps/ctrlProp1350.xml"/><Relationship Id="rId26" Type="http://schemas.openxmlformats.org/officeDocument/2006/relationships/ctrlProp" Target="../ctrlProps/ctrlProp1358.xml"/><Relationship Id="rId39" Type="http://schemas.openxmlformats.org/officeDocument/2006/relationships/ctrlProp" Target="../ctrlProps/ctrlProp1371.xml"/><Relationship Id="rId21" Type="http://schemas.openxmlformats.org/officeDocument/2006/relationships/ctrlProp" Target="../ctrlProps/ctrlProp1353.xml"/><Relationship Id="rId34" Type="http://schemas.openxmlformats.org/officeDocument/2006/relationships/ctrlProp" Target="../ctrlProps/ctrlProp1366.xml"/><Relationship Id="rId7" Type="http://schemas.openxmlformats.org/officeDocument/2006/relationships/ctrlProp" Target="../ctrlProps/ctrlProp1339.xml"/><Relationship Id="rId12" Type="http://schemas.openxmlformats.org/officeDocument/2006/relationships/ctrlProp" Target="../ctrlProps/ctrlProp1344.xml"/><Relationship Id="rId17" Type="http://schemas.openxmlformats.org/officeDocument/2006/relationships/ctrlProp" Target="../ctrlProps/ctrlProp1349.xml"/><Relationship Id="rId25" Type="http://schemas.openxmlformats.org/officeDocument/2006/relationships/ctrlProp" Target="../ctrlProps/ctrlProp1357.xml"/><Relationship Id="rId33" Type="http://schemas.openxmlformats.org/officeDocument/2006/relationships/ctrlProp" Target="../ctrlProps/ctrlProp1365.xml"/><Relationship Id="rId38" Type="http://schemas.openxmlformats.org/officeDocument/2006/relationships/ctrlProp" Target="../ctrlProps/ctrlProp1370.xml"/><Relationship Id="rId2" Type="http://schemas.openxmlformats.org/officeDocument/2006/relationships/drawing" Target="../drawings/drawing25.xml"/><Relationship Id="rId16" Type="http://schemas.openxmlformats.org/officeDocument/2006/relationships/ctrlProp" Target="../ctrlProps/ctrlProp1348.xml"/><Relationship Id="rId20" Type="http://schemas.openxmlformats.org/officeDocument/2006/relationships/ctrlProp" Target="../ctrlProps/ctrlProp1352.xml"/><Relationship Id="rId29" Type="http://schemas.openxmlformats.org/officeDocument/2006/relationships/ctrlProp" Target="../ctrlProps/ctrlProp1361.xml"/><Relationship Id="rId1" Type="http://schemas.openxmlformats.org/officeDocument/2006/relationships/printerSettings" Target="../printerSettings/printerSettings26.bin"/><Relationship Id="rId6" Type="http://schemas.openxmlformats.org/officeDocument/2006/relationships/ctrlProp" Target="../ctrlProps/ctrlProp1338.xml"/><Relationship Id="rId11" Type="http://schemas.openxmlformats.org/officeDocument/2006/relationships/ctrlProp" Target="../ctrlProps/ctrlProp1343.xml"/><Relationship Id="rId24" Type="http://schemas.openxmlformats.org/officeDocument/2006/relationships/ctrlProp" Target="../ctrlProps/ctrlProp1356.xml"/><Relationship Id="rId32" Type="http://schemas.openxmlformats.org/officeDocument/2006/relationships/ctrlProp" Target="../ctrlProps/ctrlProp1364.xml"/><Relationship Id="rId37" Type="http://schemas.openxmlformats.org/officeDocument/2006/relationships/ctrlProp" Target="../ctrlProps/ctrlProp1369.xml"/><Relationship Id="rId40" Type="http://schemas.openxmlformats.org/officeDocument/2006/relationships/ctrlProp" Target="../ctrlProps/ctrlProp1372.xml"/><Relationship Id="rId5" Type="http://schemas.openxmlformats.org/officeDocument/2006/relationships/ctrlProp" Target="../ctrlProps/ctrlProp1337.xml"/><Relationship Id="rId15" Type="http://schemas.openxmlformats.org/officeDocument/2006/relationships/ctrlProp" Target="../ctrlProps/ctrlProp1347.xml"/><Relationship Id="rId23" Type="http://schemas.openxmlformats.org/officeDocument/2006/relationships/ctrlProp" Target="../ctrlProps/ctrlProp1355.xml"/><Relationship Id="rId28" Type="http://schemas.openxmlformats.org/officeDocument/2006/relationships/ctrlProp" Target="../ctrlProps/ctrlProp1360.xml"/><Relationship Id="rId36" Type="http://schemas.openxmlformats.org/officeDocument/2006/relationships/ctrlProp" Target="../ctrlProps/ctrlProp1368.xml"/><Relationship Id="rId10" Type="http://schemas.openxmlformats.org/officeDocument/2006/relationships/ctrlProp" Target="../ctrlProps/ctrlProp1342.xml"/><Relationship Id="rId19" Type="http://schemas.openxmlformats.org/officeDocument/2006/relationships/ctrlProp" Target="../ctrlProps/ctrlProp1351.xml"/><Relationship Id="rId31" Type="http://schemas.openxmlformats.org/officeDocument/2006/relationships/ctrlProp" Target="../ctrlProps/ctrlProp1363.xml"/><Relationship Id="rId4" Type="http://schemas.openxmlformats.org/officeDocument/2006/relationships/ctrlProp" Target="../ctrlProps/ctrlProp1336.xml"/><Relationship Id="rId9" Type="http://schemas.openxmlformats.org/officeDocument/2006/relationships/ctrlProp" Target="../ctrlProps/ctrlProp1341.xml"/><Relationship Id="rId14" Type="http://schemas.openxmlformats.org/officeDocument/2006/relationships/ctrlProp" Target="../ctrlProps/ctrlProp1346.xml"/><Relationship Id="rId22" Type="http://schemas.openxmlformats.org/officeDocument/2006/relationships/ctrlProp" Target="../ctrlProps/ctrlProp1354.xml"/><Relationship Id="rId27" Type="http://schemas.openxmlformats.org/officeDocument/2006/relationships/ctrlProp" Target="../ctrlProps/ctrlProp1359.xml"/><Relationship Id="rId30" Type="http://schemas.openxmlformats.org/officeDocument/2006/relationships/ctrlProp" Target="../ctrlProps/ctrlProp1362.xml"/><Relationship Id="rId35" Type="http://schemas.openxmlformats.org/officeDocument/2006/relationships/ctrlProp" Target="../ctrlProps/ctrlProp1367.xml"/><Relationship Id="rId8" Type="http://schemas.openxmlformats.org/officeDocument/2006/relationships/ctrlProp" Target="../ctrlProps/ctrlProp1340.xml"/><Relationship Id="rId3" Type="http://schemas.openxmlformats.org/officeDocument/2006/relationships/vmlDrawing" Target="../drawings/vmlDrawing25.vml"/></Relationships>
</file>

<file path=xl/worksheets/_rels/sheet29.xml.rels><?xml version="1.0" encoding="UTF-8" standalone="yes"?>
<Relationships xmlns="http://schemas.openxmlformats.org/package/2006/relationships"><Relationship Id="rId13" Type="http://schemas.openxmlformats.org/officeDocument/2006/relationships/ctrlProp" Target="../ctrlProps/ctrlProp1382.xml"/><Relationship Id="rId18" Type="http://schemas.openxmlformats.org/officeDocument/2006/relationships/ctrlProp" Target="../ctrlProps/ctrlProp1387.xml"/><Relationship Id="rId26" Type="http://schemas.openxmlformats.org/officeDocument/2006/relationships/ctrlProp" Target="../ctrlProps/ctrlProp1395.xml"/><Relationship Id="rId39" Type="http://schemas.openxmlformats.org/officeDocument/2006/relationships/ctrlProp" Target="../ctrlProps/ctrlProp1408.xml"/><Relationship Id="rId21" Type="http://schemas.openxmlformats.org/officeDocument/2006/relationships/ctrlProp" Target="../ctrlProps/ctrlProp1390.xml"/><Relationship Id="rId34" Type="http://schemas.openxmlformats.org/officeDocument/2006/relationships/ctrlProp" Target="../ctrlProps/ctrlProp1403.xml"/><Relationship Id="rId7" Type="http://schemas.openxmlformats.org/officeDocument/2006/relationships/ctrlProp" Target="../ctrlProps/ctrlProp1376.xml"/><Relationship Id="rId12" Type="http://schemas.openxmlformats.org/officeDocument/2006/relationships/ctrlProp" Target="../ctrlProps/ctrlProp1381.xml"/><Relationship Id="rId17" Type="http://schemas.openxmlformats.org/officeDocument/2006/relationships/ctrlProp" Target="../ctrlProps/ctrlProp1386.xml"/><Relationship Id="rId25" Type="http://schemas.openxmlformats.org/officeDocument/2006/relationships/ctrlProp" Target="../ctrlProps/ctrlProp1394.xml"/><Relationship Id="rId33" Type="http://schemas.openxmlformats.org/officeDocument/2006/relationships/ctrlProp" Target="../ctrlProps/ctrlProp1402.xml"/><Relationship Id="rId38" Type="http://schemas.openxmlformats.org/officeDocument/2006/relationships/ctrlProp" Target="../ctrlProps/ctrlProp1407.xml"/><Relationship Id="rId2" Type="http://schemas.openxmlformats.org/officeDocument/2006/relationships/drawing" Target="../drawings/drawing26.xml"/><Relationship Id="rId16" Type="http://schemas.openxmlformats.org/officeDocument/2006/relationships/ctrlProp" Target="../ctrlProps/ctrlProp1385.xml"/><Relationship Id="rId20" Type="http://schemas.openxmlformats.org/officeDocument/2006/relationships/ctrlProp" Target="../ctrlProps/ctrlProp1389.xml"/><Relationship Id="rId29" Type="http://schemas.openxmlformats.org/officeDocument/2006/relationships/ctrlProp" Target="../ctrlProps/ctrlProp1398.xml"/><Relationship Id="rId1" Type="http://schemas.openxmlformats.org/officeDocument/2006/relationships/printerSettings" Target="../printerSettings/printerSettings27.bin"/><Relationship Id="rId6" Type="http://schemas.openxmlformats.org/officeDocument/2006/relationships/ctrlProp" Target="../ctrlProps/ctrlProp1375.xml"/><Relationship Id="rId11" Type="http://schemas.openxmlformats.org/officeDocument/2006/relationships/ctrlProp" Target="../ctrlProps/ctrlProp1380.xml"/><Relationship Id="rId24" Type="http://schemas.openxmlformats.org/officeDocument/2006/relationships/ctrlProp" Target="../ctrlProps/ctrlProp1393.xml"/><Relationship Id="rId32" Type="http://schemas.openxmlformats.org/officeDocument/2006/relationships/ctrlProp" Target="../ctrlProps/ctrlProp1401.xml"/><Relationship Id="rId37" Type="http://schemas.openxmlformats.org/officeDocument/2006/relationships/ctrlProp" Target="../ctrlProps/ctrlProp1406.xml"/><Relationship Id="rId40" Type="http://schemas.openxmlformats.org/officeDocument/2006/relationships/ctrlProp" Target="../ctrlProps/ctrlProp1409.xml"/><Relationship Id="rId5" Type="http://schemas.openxmlformats.org/officeDocument/2006/relationships/ctrlProp" Target="../ctrlProps/ctrlProp1374.xml"/><Relationship Id="rId15" Type="http://schemas.openxmlformats.org/officeDocument/2006/relationships/ctrlProp" Target="../ctrlProps/ctrlProp1384.xml"/><Relationship Id="rId23" Type="http://schemas.openxmlformats.org/officeDocument/2006/relationships/ctrlProp" Target="../ctrlProps/ctrlProp1392.xml"/><Relationship Id="rId28" Type="http://schemas.openxmlformats.org/officeDocument/2006/relationships/ctrlProp" Target="../ctrlProps/ctrlProp1397.xml"/><Relationship Id="rId36" Type="http://schemas.openxmlformats.org/officeDocument/2006/relationships/ctrlProp" Target="../ctrlProps/ctrlProp1405.xml"/><Relationship Id="rId10" Type="http://schemas.openxmlformats.org/officeDocument/2006/relationships/ctrlProp" Target="../ctrlProps/ctrlProp1379.xml"/><Relationship Id="rId19" Type="http://schemas.openxmlformats.org/officeDocument/2006/relationships/ctrlProp" Target="../ctrlProps/ctrlProp1388.xml"/><Relationship Id="rId31" Type="http://schemas.openxmlformats.org/officeDocument/2006/relationships/ctrlProp" Target="../ctrlProps/ctrlProp1400.xml"/><Relationship Id="rId4" Type="http://schemas.openxmlformats.org/officeDocument/2006/relationships/ctrlProp" Target="../ctrlProps/ctrlProp1373.xml"/><Relationship Id="rId9" Type="http://schemas.openxmlformats.org/officeDocument/2006/relationships/ctrlProp" Target="../ctrlProps/ctrlProp1378.xml"/><Relationship Id="rId14" Type="http://schemas.openxmlformats.org/officeDocument/2006/relationships/ctrlProp" Target="../ctrlProps/ctrlProp1383.xml"/><Relationship Id="rId22" Type="http://schemas.openxmlformats.org/officeDocument/2006/relationships/ctrlProp" Target="../ctrlProps/ctrlProp1391.xml"/><Relationship Id="rId27" Type="http://schemas.openxmlformats.org/officeDocument/2006/relationships/ctrlProp" Target="../ctrlProps/ctrlProp1396.xml"/><Relationship Id="rId30" Type="http://schemas.openxmlformats.org/officeDocument/2006/relationships/ctrlProp" Target="../ctrlProps/ctrlProp1399.xml"/><Relationship Id="rId35" Type="http://schemas.openxmlformats.org/officeDocument/2006/relationships/ctrlProp" Target="../ctrlProps/ctrlProp1404.xml"/><Relationship Id="rId8" Type="http://schemas.openxmlformats.org/officeDocument/2006/relationships/ctrlProp" Target="../ctrlProps/ctrlProp1377.xml"/><Relationship Id="rId3" Type="http://schemas.openxmlformats.org/officeDocument/2006/relationships/vmlDrawing" Target="../drawings/vmlDrawing26.v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419.xml"/><Relationship Id="rId18" Type="http://schemas.openxmlformats.org/officeDocument/2006/relationships/ctrlProp" Target="../ctrlProps/ctrlProp1424.xml"/><Relationship Id="rId26" Type="http://schemas.openxmlformats.org/officeDocument/2006/relationships/ctrlProp" Target="../ctrlProps/ctrlProp1432.xml"/><Relationship Id="rId39" Type="http://schemas.openxmlformats.org/officeDocument/2006/relationships/ctrlProp" Target="../ctrlProps/ctrlProp1445.xml"/><Relationship Id="rId21" Type="http://schemas.openxmlformats.org/officeDocument/2006/relationships/ctrlProp" Target="../ctrlProps/ctrlProp1427.xml"/><Relationship Id="rId34" Type="http://schemas.openxmlformats.org/officeDocument/2006/relationships/ctrlProp" Target="../ctrlProps/ctrlProp1440.xml"/><Relationship Id="rId7" Type="http://schemas.openxmlformats.org/officeDocument/2006/relationships/ctrlProp" Target="../ctrlProps/ctrlProp1413.xml"/><Relationship Id="rId12" Type="http://schemas.openxmlformats.org/officeDocument/2006/relationships/ctrlProp" Target="../ctrlProps/ctrlProp1418.xml"/><Relationship Id="rId17" Type="http://schemas.openxmlformats.org/officeDocument/2006/relationships/ctrlProp" Target="../ctrlProps/ctrlProp1423.xml"/><Relationship Id="rId25" Type="http://schemas.openxmlformats.org/officeDocument/2006/relationships/ctrlProp" Target="../ctrlProps/ctrlProp1431.xml"/><Relationship Id="rId33" Type="http://schemas.openxmlformats.org/officeDocument/2006/relationships/ctrlProp" Target="../ctrlProps/ctrlProp1439.xml"/><Relationship Id="rId38" Type="http://schemas.openxmlformats.org/officeDocument/2006/relationships/ctrlProp" Target="../ctrlProps/ctrlProp1444.xml"/><Relationship Id="rId2" Type="http://schemas.openxmlformats.org/officeDocument/2006/relationships/drawing" Target="../drawings/drawing27.xml"/><Relationship Id="rId16" Type="http://schemas.openxmlformats.org/officeDocument/2006/relationships/ctrlProp" Target="../ctrlProps/ctrlProp1422.xml"/><Relationship Id="rId20" Type="http://schemas.openxmlformats.org/officeDocument/2006/relationships/ctrlProp" Target="../ctrlProps/ctrlProp1426.xml"/><Relationship Id="rId29" Type="http://schemas.openxmlformats.org/officeDocument/2006/relationships/ctrlProp" Target="../ctrlProps/ctrlProp1435.xml"/><Relationship Id="rId1" Type="http://schemas.openxmlformats.org/officeDocument/2006/relationships/printerSettings" Target="../printerSettings/printerSettings28.bin"/><Relationship Id="rId6" Type="http://schemas.openxmlformats.org/officeDocument/2006/relationships/ctrlProp" Target="../ctrlProps/ctrlProp1412.xml"/><Relationship Id="rId11" Type="http://schemas.openxmlformats.org/officeDocument/2006/relationships/ctrlProp" Target="../ctrlProps/ctrlProp1417.xml"/><Relationship Id="rId24" Type="http://schemas.openxmlformats.org/officeDocument/2006/relationships/ctrlProp" Target="../ctrlProps/ctrlProp1430.xml"/><Relationship Id="rId32" Type="http://schemas.openxmlformats.org/officeDocument/2006/relationships/ctrlProp" Target="../ctrlProps/ctrlProp1438.xml"/><Relationship Id="rId37" Type="http://schemas.openxmlformats.org/officeDocument/2006/relationships/ctrlProp" Target="../ctrlProps/ctrlProp1443.xml"/><Relationship Id="rId40" Type="http://schemas.openxmlformats.org/officeDocument/2006/relationships/ctrlProp" Target="../ctrlProps/ctrlProp1446.xml"/><Relationship Id="rId5" Type="http://schemas.openxmlformats.org/officeDocument/2006/relationships/ctrlProp" Target="../ctrlProps/ctrlProp1411.xml"/><Relationship Id="rId15" Type="http://schemas.openxmlformats.org/officeDocument/2006/relationships/ctrlProp" Target="../ctrlProps/ctrlProp1421.xml"/><Relationship Id="rId23" Type="http://schemas.openxmlformats.org/officeDocument/2006/relationships/ctrlProp" Target="../ctrlProps/ctrlProp1429.xml"/><Relationship Id="rId28" Type="http://schemas.openxmlformats.org/officeDocument/2006/relationships/ctrlProp" Target="../ctrlProps/ctrlProp1434.xml"/><Relationship Id="rId36" Type="http://schemas.openxmlformats.org/officeDocument/2006/relationships/ctrlProp" Target="../ctrlProps/ctrlProp1442.xml"/><Relationship Id="rId10" Type="http://schemas.openxmlformats.org/officeDocument/2006/relationships/ctrlProp" Target="../ctrlProps/ctrlProp1416.xml"/><Relationship Id="rId19" Type="http://schemas.openxmlformats.org/officeDocument/2006/relationships/ctrlProp" Target="../ctrlProps/ctrlProp1425.xml"/><Relationship Id="rId31" Type="http://schemas.openxmlformats.org/officeDocument/2006/relationships/ctrlProp" Target="../ctrlProps/ctrlProp1437.xml"/><Relationship Id="rId4" Type="http://schemas.openxmlformats.org/officeDocument/2006/relationships/ctrlProp" Target="../ctrlProps/ctrlProp1410.xml"/><Relationship Id="rId9" Type="http://schemas.openxmlformats.org/officeDocument/2006/relationships/ctrlProp" Target="../ctrlProps/ctrlProp1415.xml"/><Relationship Id="rId14" Type="http://schemas.openxmlformats.org/officeDocument/2006/relationships/ctrlProp" Target="../ctrlProps/ctrlProp1420.xml"/><Relationship Id="rId22" Type="http://schemas.openxmlformats.org/officeDocument/2006/relationships/ctrlProp" Target="../ctrlProps/ctrlProp1428.xml"/><Relationship Id="rId27" Type="http://schemas.openxmlformats.org/officeDocument/2006/relationships/ctrlProp" Target="../ctrlProps/ctrlProp1433.xml"/><Relationship Id="rId30" Type="http://schemas.openxmlformats.org/officeDocument/2006/relationships/ctrlProp" Target="../ctrlProps/ctrlProp1436.xml"/><Relationship Id="rId35" Type="http://schemas.openxmlformats.org/officeDocument/2006/relationships/ctrlProp" Target="../ctrlProps/ctrlProp1441.xml"/><Relationship Id="rId8" Type="http://schemas.openxmlformats.org/officeDocument/2006/relationships/ctrlProp" Target="../ctrlProps/ctrlProp1414.xml"/><Relationship Id="rId3" Type="http://schemas.openxmlformats.org/officeDocument/2006/relationships/vmlDrawing" Target="../drawings/vmlDrawing27.v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1456.xml"/><Relationship Id="rId18" Type="http://schemas.openxmlformats.org/officeDocument/2006/relationships/ctrlProp" Target="../ctrlProps/ctrlProp1461.xml"/><Relationship Id="rId26" Type="http://schemas.openxmlformats.org/officeDocument/2006/relationships/ctrlProp" Target="../ctrlProps/ctrlProp1469.xml"/><Relationship Id="rId39" Type="http://schemas.openxmlformats.org/officeDocument/2006/relationships/ctrlProp" Target="../ctrlProps/ctrlProp1482.xml"/><Relationship Id="rId21" Type="http://schemas.openxmlformats.org/officeDocument/2006/relationships/ctrlProp" Target="../ctrlProps/ctrlProp1464.xml"/><Relationship Id="rId34" Type="http://schemas.openxmlformats.org/officeDocument/2006/relationships/ctrlProp" Target="../ctrlProps/ctrlProp1477.xml"/><Relationship Id="rId7" Type="http://schemas.openxmlformats.org/officeDocument/2006/relationships/ctrlProp" Target="../ctrlProps/ctrlProp1450.xml"/><Relationship Id="rId12" Type="http://schemas.openxmlformats.org/officeDocument/2006/relationships/ctrlProp" Target="../ctrlProps/ctrlProp1455.xml"/><Relationship Id="rId17" Type="http://schemas.openxmlformats.org/officeDocument/2006/relationships/ctrlProp" Target="../ctrlProps/ctrlProp1460.xml"/><Relationship Id="rId25" Type="http://schemas.openxmlformats.org/officeDocument/2006/relationships/ctrlProp" Target="../ctrlProps/ctrlProp1468.xml"/><Relationship Id="rId33" Type="http://schemas.openxmlformats.org/officeDocument/2006/relationships/ctrlProp" Target="../ctrlProps/ctrlProp1476.xml"/><Relationship Id="rId38" Type="http://schemas.openxmlformats.org/officeDocument/2006/relationships/ctrlProp" Target="../ctrlProps/ctrlProp1481.xml"/><Relationship Id="rId2" Type="http://schemas.openxmlformats.org/officeDocument/2006/relationships/drawing" Target="../drawings/drawing28.xml"/><Relationship Id="rId16" Type="http://schemas.openxmlformats.org/officeDocument/2006/relationships/ctrlProp" Target="../ctrlProps/ctrlProp1459.xml"/><Relationship Id="rId20" Type="http://schemas.openxmlformats.org/officeDocument/2006/relationships/ctrlProp" Target="../ctrlProps/ctrlProp1463.xml"/><Relationship Id="rId29" Type="http://schemas.openxmlformats.org/officeDocument/2006/relationships/ctrlProp" Target="../ctrlProps/ctrlProp1472.xml"/><Relationship Id="rId1" Type="http://schemas.openxmlformats.org/officeDocument/2006/relationships/printerSettings" Target="../printerSettings/printerSettings29.bin"/><Relationship Id="rId6" Type="http://schemas.openxmlformats.org/officeDocument/2006/relationships/ctrlProp" Target="../ctrlProps/ctrlProp1449.xml"/><Relationship Id="rId11" Type="http://schemas.openxmlformats.org/officeDocument/2006/relationships/ctrlProp" Target="../ctrlProps/ctrlProp1454.xml"/><Relationship Id="rId24" Type="http://schemas.openxmlformats.org/officeDocument/2006/relationships/ctrlProp" Target="../ctrlProps/ctrlProp1467.xml"/><Relationship Id="rId32" Type="http://schemas.openxmlformats.org/officeDocument/2006/relationships/ctrlProp" Target="../ctrlProps/ctrlProp1475.xml"/><Relationship Id="rId37" Type="http://schemas.openxmlformats.org/officeDocument/2006/relationships/ctrlProp" Target="../ctrlProps/ctrlProp1480.xml"/><Relationship Id="rId40" Type="http://schemas.openxmlformats.org/officeDocument/2006/relationships/ctrlProp" Target="../ctrlProps/ctrlProp1483.xml"/><Relationship Id="rId5" Type="http://schemas.openxmlformats.org/officeDocument/2006/relationships/ctrlProp" Target="../ctrlProps/ctrlProp1448.xml"/><Relationship Id="rId15" Type="http://schemas.openxmlformats.org/officeDocument/2006/relationships/ctrlProp" Target="../ctrlProps/ctrlProp1458.xml"/><Relationship Id="rId23" Type="http://schemas.openxmlformats.org/officeDocument/2006/relationships/ctrlProp" Target="../ctrlProps/ctrlProp1466.xml"/><Relationship Id="rId28" Type="http://schemas.openxmlformats.org/officeDocument/2006/relationships/ctrlProp" Target="../ctrlProps/ctrlProp1471.xml"/><Relationship Id="rId36" Type="http://schemas.openxmlformats.org/officeDocument/2006/relationships/ctrlProp" Target="../ctrlProps/ctrlProp1479.xml"/><Relationship Id="rId10" Type="http://schemas.openxmlformats.org/officeDocument/2006/relationships/ctrlProp" Target="../ctrlProps/ctrlProp1453.xml"/><Relationship Id="rId19" Type="http://schemas.openxmlformats.org/officeDocument/2006/relationships/ctrlProp" Target="../ctrlProps/ctrlProp1462.xml"/><Relationship Id="rId31" Type="http://schemas.openxmlformats.org/officeDocument/2006/relationships/ctrlProp" Target="../ctrlProps/ctrlProp1474.xml"/><Relationship Id="rId4" Type="http://schemas.openxmlformats.org/officeDocument/2006/relationships/ctrlProp" Target="../ctrlProps/ctrlProp1447.xml"/><Relationship Id="rId9" Type="http://schemas.openxmlformats.org/officeDocument/2006/relationships/ctrlProp" Target="../ctrlProps/ctrlProp1452.xml"/><Relationship Id="rId14" Type="http://schemas.openxmlformats.org/officeDocument/2006/relationships/ctrlProp" Target="../ctrlProps/ctrlProp1457.xml"/><Relationship Id="rId22" Type="http://schemas.openxmlformats.org/officeDocument/2006/relationships/ctrlProp" Target="../ctrlProps/ctrlProp1465.xml"/><Relationship Id="rId27" Type="http://schemas.openxmlformats.org/officeDocument/2006/relationships/ctrlProp" Target="../ctrlProps/ctrlProp1470.xml"/><Relationship Id="rId30" Type="http://schemas.openxmlformats.org/officeDocument/2006/relationships/ctrlProp" Target="../ctrlProps/ctrlProp1473.xml"/><Relationship Id="rId35" Type="http://schemas.openxmlformats.org/officeDocument/2006/relationships/ctrlProp" Target="../ctrlProps/ctrlProp1478.xml"/><Relationship Id="rId8" Type="http://schemas.openxmlformats.org/officeDocument/2006/relationships/ctrlProp" Target="../ctrlProps/ctrlProp1451.xml"/><Relationship Id="rId3" Type="http://schemas.openxmlformats.org/officeDocument/2006/relationships/vmlDrawing" Target="../drawings/vmlDrawing28.vml"/></Relationships>
</file>

<file path=xl/worksheets/_rels/sheet32.xml.rels><?xml version="1.0" encoding="UTF-8" standalone="yes"?>
<Relationships xmlns="http://schemas.openxmlformats.org/package/2006/relationships"><Relationship Id="rId13" Type="http://schemas.openxmlformats.org/officeDocument/2006/relationships/ctrlProp" Target="../ctrlProps/ctrlProp1493.xml"/><Relationship Id="rId18" Type="http://schemas.openxmlformats.org/officeDocument/2006/relationships/ctrlProp" Target="../ctrlProps/ctrlProp1498.xml"/><Relationship Id="rId26" Type="http://schemas.openxmlformats.org/officeDocument/2006/relationships/ctrlProp" Target="../ctrlProps/ctrlProp1506.xml"/><Relationship Id="rId39" Type="http://schemas.openxmlformats.org/officeDocument/2006/relationships/ctrlProp" Target="../ctrlProps/ctrlProp1519.xml"/><Relationship Id="rId21" Type="http://schemas.openxmlformats.org/officeDocument/2006/relationships/ctrlProp" Target="../ctrlProps/ctrlProp1501.xml"/><Relationship Id="rId34" Type="http://schemas.openxmlformats.org/officeDocument/2006/relationships/ctrlProp" Target="../ctrlProps/ctrlProp1514.xml"/><Relationship Id="rId7" Type="http://schemas.openxmlformats.org/officeDocument/2006/relationships/ctrlProp" Target="../ctrlProps/ctrlProp1487.xml"/><Relationship Id="rId12" Type="http://schemas.openxmlformats.org/officeDocument/2006/relationships/ctrlProp" Target="../ctrlProps/ctrlProp1492.xml"/><Relationship Id="rId17" Type="http://schemas.openxmlformats.org/officeDocument/2006/relationships/ctrlProp" Target="../ctrlProps/ctrlProp1497.xml"/><Relationship Id="rId25" Type="http://schemas.openxmlformats.org/officeDocument/2006/relationships/ctrlProp" Target="../ctrlProps/ctrlProp1505.xml"/><Relationship Id="rId33" Type="http://schemas.openxmlformats.org/officeDocument/2006/relationships/ctrlProp" Target="../ctrlProps/ctrlProp1513.xml"/><Relationship Id="rId38" Type="http://schemas.openxmlformats.org/officeDocument/2006/relationships/ctrlProp" Target="../ctrlProps/ctrlProp1518.xml"/><Relationship Id="rId2" Type="http://schemas.openxmlformats.org/officeDocument/2006/relationships/drawing" Target="../drawings/drawing29.xml"/><Relationship Id="rId16" Type="http://schemas.openxmlformats.org/officeDocument/2006/relationships/ctrlProp" Target="../ctrlProps/ctrlProp1496.xml"/><Relationship Id="rId20" Type="http://schemas.openxmlformats.org/officeDocument/2006/relationships/ctrlProp" Target="../ctrlProps/ctrlProp1500.xml"/><Relationship Id="rId29" Type="http://schemas.openxmlformats.org/officeDocument/2006/relationships/ctrlProp" Target="../ctrlProps/ctrlProp1509.xml"/><Relationship Id="rId1" Type="http://schemas.openxmlformats.org/officeDocument/2006/relationships/printerSettings" Target="../printerSettings/printerSettings30.bin"/><Relationship Id="rId6" Type="http://schemas.openxmlformats.org/officeDocument/2006/relationships/ctrlProp" Target="../ctrlProps/ctrlProp1486.xml"/><Relationship Id="rId11" Type="http://schemas.openxmlformats.org/officeDocument/2006/relationships/ctrlProp" Target="../ctrlProps/ctrlProp1491.xml"/><Relationship Id="rId24" Type="http://schemas.openxmlformats.org/officeDocument/2006/relationships/ctrlProp" Target="../ctrlProps/ctrlProp1504.xml"/><Relationship Id="rId32" Type="http://schemas.openxmlformats.org/officeDocument/2006/relationships/ctrlProp" Target="../ctrlProps/ctrlProp1512.xml"/><Relationship Id="rId37" Type="http://schemas.openxmlformats.org/officeDocument/2006/relationships/ctrlProp" Target="../ctrlProps/ctrlProp1517.xml"/><Relationship Id="rId40" Type="http://schemas.openxmlformats.org/officeDocument/2006/relationships/ctrlProp" Target="../ctrlProps/ctrlProp1520.xml"/><Relationship Id="rId5" Type="http://schemas.openxmlformats.org/officeDocument/2006/relationships/ctrlProp" Target="../ctrlProps/ctrlProp1485.xml"/><Relationship Id="rId15" Type="http://schemas.openxmlformats.org/officeDocument/2006/relationships/ctrlProp" Target="../ctrlProps/ctrlProp1495.xml"/><Relationship Id="rId23" Type="http://schemas.openxmlformats.org/officeDocument/2006/relationships/ctrlProp" Target="../ctrlProps/ctrlProp1503.xml"/><Relationship Id="rId28" Type="http://schemas.openxmlformats.org/officeDocument/2006/relationships/ctrlProp" Target="../ctrlProps/ctrlProp1508.xml"/><Relationship Id="rId36" Type="http://schemas.openxmlformats.org/officeDocument/2006/relationships/ctrlProp" Target="../ctrlProps/ctrlProp1516.xml"/><Relationship Id="rId10" Type="http://schemas.openxmlformats.org/officeDocument/2006/relationships/ctrlProp" Target="../ctrlProps/ctrlProp1490.xml"/><Relationship Id="rId19" Type="http://schemas.openxmlformats.org/officeDocument/2006/relationships/ctrlProp" Target="../ctrlProps/ctrlProp1499.xml"/><Relationship Id="rId31" Type="http://schemas.openxmlformats.org/officeDocument/2006/relationships/ctrlProp" Target="../ctrlProps/ctrlProp1511.xml"/><Relationship Id="rId4" Type="http://schemas.openxmlformats.org/officeDocument/2006/relationships/ctrlProp" Target="../ctrlProps/ctrlProp1484.xml"/><Relationship Id="rId9" Type="http://schemas.openxmlformats.org/officeDocument/2006/relationships/ctrlProp" Target="../ctrlProps/ctrlProp1489.xml"/><Relationship Id="rId14" Type="http://schemas.openxmlformats.org/officeDocument/2006/relationships/ctrlProp" Target="../ctrlProps/ctrlProp1494.xml"/><Relationship Id="rId22" Type="http://schemas.openxmlformats.org/officeDocument/2006/relationships/ctrlProp" Target="../ctrlProps/ctrlProp1502.xml"/><Relationship Id="rId27" Type="http://schemas.openxmlformats.org/officeDocument/2006/relationships/ctrlProp" Target="../ctrlProps/ctrlProp1507.xml"/><Relationship Id="rId30" Type="http://schemas.openxmlformats.org/officeDocument/2006/relationships/ctrlProp" Target="../ctrlProps/ctrlProp1510.xml"/><Relationship Id="rId35" Type="http://schemas.openxmlformats.org/officeDocument/2006/relationships/ctrlProp" Target="../ctrlProps/ctrlProp1515.xml"/><Relationship Id="rId8" Type="http://schemas.openxmlformats.org/officeDocument/2006/relationships/ctrlProp" Target="../ctrlProps/ctrlProp1488.xml"/><Relationship Id="rId3" Type="http://schemas.openxmlformats.org/officeDocument/2006/relationships/vmlDrawing" Target="../drawings/vmlDrawing29.vml"/></Relationships>
</file>

<file path=xl/worksheets/_rels/sheet33.xml.rels><?xml version="1.0" encoding="UTF-8" standalone="yes"?>
<Relationships xmlns="http://schemas.openxmlformats.org/package/2006/relationships"><Relationship Id="rId13" Type="http://schemas.openxmlformats.org/officeDocument/2006/relationships/ctrlProp" Target="../ctrlProps/ctrlProp1530.xml"/><Relationship Id="rId18" Type="http://schemas.openxmlformats.org/officeDocument/2006/relationships/ctrlProp" Target="../ctrlProps/ctrlProp1535.xml"/><Relationship Id="rId26" Type="http://schemas.openxmlformats.org/officeDocument/2006/relationships/ctrlProp" Target="../ctrlProps/ctrlProp1543.xml"/><Relationship Id="rId39" Type="http://schemas.openxmlformats.org/officeDocument/2006/relationships/ctrlProp" Target="../ctrlProps/ctrlProp1556.xml"/><Relationship Id="rId21" Type="http://schemas.openxmlformats.org/officeDocument/2006/relationships/ctrlProp" Target="../ctrlProps/ctrlProp1538.xml"/><Relationship Id="rId34" Type="http://schemas.openxmlformats.org/officeDocument/2006/relationships/ctrlProp" Target="../ctrlProps/ctrlProp1551.xml"/><Relationship Id="rId7" Type="http://schemas.openxmlformats.org/officeDocument/2006/relationships/ctrlProp" Target="../ctrlProps/ctrlProp1524.xml"/><Relationship Id="rId12" Type="http://schemas.openxmlformats.org/officeDocument/2006/relationships/ctrlProp" Target="../ctrlProps/ctrlProp1529.xml"/><Relationship Id="rId17" Type="http://schemas.openxmlformats.org/officeDocument/2006/relationships/ctrlProp" Target="../ctrlProps/ctrlProp1534.xml"/><Relationship Id="rId25" Type="http://schemas.openxmlformats.org/officeDocument/2006/relationships/ctrlProp" Target="../ctrlProps/ctrlProp1542.xml"/><Relationship Id="rId33" Type="http://schemas.openxmlformats.org/officeDocument/2006/relationships/ctrlProp" Target="../ctrlProps/ctrlProp1550.xml"/><Relationship Id="rId38" Type="http://schemas.openxmlformats.org/officeDocument/2006/relationships/ctrlProp" Target="../ctrlProps/ctrlProp1555.xml"/><Relationship Id="rId2" Type="http://schemas.openxmlformats.org/officeDocument/2006/relationships/drawing" Target="../drawings/drawing30.xml"/><Relationship Id="rId16" Type="http://schemas.openxmlformats.org/officeDocument/2006/relationships/ctrlProp" Target="../ctrlProps/ctrlProp1533.xml"/><Relationship Id="rId20" Type="http://schemas.openxmlformats.org/officeDocument/2006/relationships/ctrlProp" Target="../ctrlProps/ctrlProp1537.xml"/><Relationship Id="rId29" Type="http://schemas.openxmlformats.org/officeDocument/2006/relationships/ctrlProp" Target="../ctrlProps/ctrlProp1546.xml"/><Relationship Id="rId1" Type="http://schemas.openxmlformats.org/officeDocument/2006/relationships/printerSettings" Target="../printerSettings/printerSettings31.bin"/><Relationship Id="rId6" Type="http://schemas.openxmlformats.org/officeDocument/2006/relationships/ctrlProp" Target="../ctrlProps/ctrlProp1523.xml"/><Relationship Id="rId11" Type="http://schemas.openxmlformats.org/officeDocument/2006/relationships/ctrlProp" Target="../ctrlProps/ctrlProp1528.xml"/><Relationship Id="rId24" Type="http://schemas.openxmlformats.org/officeDocument/2006/relationships/ctrlProp" Target="../ctrlProps/ctrlProp1541.xml"/><Relationship Id="rId32" Type="http://schemas.openxmlformats.org/officeDocument/2006/relationships/ctrlProp" Target="../ctrlProps/ctrlProp1549.xml"/><Relationship Id="rId37" Type="http://schemas.openxmlformats.org/officeDocument/2006/relationships/ctrlProp" Target="../ctrlProps/ctrlProp1554.xml"/><Relationship Id="rId40" Type="http://schemas.openxmlformats.org/officeDocument/2006/relationships/ctrlProp" Target="../ctrlProps/ctrlProp1557.xml"/><Relationship Id="rId5" Type="http://schemas.openxmlformats.org/officeDocument/2006/relationships/ctrlProp" Target="../ctrlProps/ctrlProp1522.xml"/><Relationship Id="rId15" Type="http://schemas.openxmlformats.org/officeDocument/2006/relationships/ctrlProp" Target="../ctrlProps/ctrlProp1532.xml"/><Relationship Id="rId23" Type="http://schemas.openxmlformats.org/officeDocument/2006/relationships/ctrlProp" Target="../ctrlProps/ctrlProp1540.xml"/><Relationship Id="rId28" Type="http://schemas.openxmlformats.org/officeDocument/2006/relationships/ctrlProp" Target="../ctrlProps/ctrlProp1545.xml"/><Relationship Id="rId36" Type="http://schemas.openxmlformats.org/officeDocument/2006/relationships/ctrlProp" Target="../ctrlProps/ctrlProp1553.xml"/><Relationship Id="rId10" Type="http://schemas.openxmlformats.org/officeDocument/2006/relationships/ctrlProp" Target="../ctrlProps/ctrlProp1527.xml"/><Relationship Id="rId19" Type="http://schemas.openxmlformats.org/officeDocument/2006/relationships/ctrlProp" Target="../ctrlProps/ctrlProp1536.xml"/><Relationship Id="rId31" Type="http://schemas.openxmlformats.org/officeDocument/2006/relationships/ctrlProp" Target="../ctrlProps/ctrlProp1548.xml"/><Relationship Id="rId4" Type="http://schemas.openxmlformats.org/officeDocument/2006/relationships/ctrlProp" Target="../ctrlProps/ctrlProp1521.xml"/><Relationship Id="rId9" Type="http://schemas.openxmlformats.org/officeDocument/2006/relationships/ctrlProp" Target="../ctrlProps/ctrlProp1526.xml"/><Relationship Id="rId14" Type="http://schemas.openxmlformats.org/officeDocument/2006/relationships/ctrlProp" Target="../ctrlProps/ctrlProp1531.xml"/><Relationship Id="rId22" Type="http://schemas.openxmlformats.org/officeDocument/2006/relationships/ctrlProp" Target="../ctrlProps/ctrlProp1539.xml"/><Relationship Id="rId27" Type="http://schemas.openxmlformats.org/officeDocument/2006/relationships/ctrlProp" Target="../ctrlProps/ctrlProp1544.xml"/><Relationship Id="rId30" Type="http://schemas.openxmlformats.org/officeDocument/2006/relationships/ctrlProp" Target="../ctrlProps/ctrlProp1547.xml"/><Relationship Id="rId35" Type="http://schemas.openxmlformats.org/officeDocument/2006/relationships/ctrlProp" Target="../ctrlProps/ctrlProp1552.xml"/><Relationship Id="rId8" Type="http://schemas.openxmlformats.org/officeDocument/2006/relationships/ctrlProp" Target="../ctrlProps/ctrlProp1525.xml"/><Relationship Id="rId3" Type="http://schemas.openxmlformats.org/officeDocument/2006/relationships/vmlDrawing" Target="../drawings/vmlDrawing30.vml"/></Relationships>
</file>

<file path=xl/worksheets/_rels/sheet34.xml.rels><?xml version="1.0" encoding="UTF-8" standalone="yes"?>
<Relationships xmlns="http://schemas.openxmlformats.org/package/2006/relationships"><Relationship Id="rId13" Type="http://schemas.openxmlformats.org/officeDocument/2006/relationships/ctrlProp" Target="../ctrlProps/ctrlProp1567.xml"/><Relationship Id="rId18" Type="http://schemas.openxmlformats.org/officeDocument/2006/relationships/ctrlProp" Target="../ctrlProps/ctrlProp1572.xml"/><Relationship Id="rId26" Type="http://schemas.openxmlformats.org/officeDocument/2006/relationships/ctrlProp" Target="../ctrlProps/ctrlProp1580.xml"/><Relationship Id="rId39" Type="http://schemas.openxmlformats.org/officeDocument/2006/relationships/ctrlProp" Target="../ctrlProps/ctrlProp1593.xml"/><Relationship Id="rId21" Type="http://schemas.openxmlformats.org/officeDocument/2006/relationships/ctrlProp" Target="../ctrlProps/ctrlProp1575.xml"/><Relationship Id="rId34" Type="http://schemas.openxmlformats.org/officeDocument/2006/relationships/ctrlProp" Target="../ctrlProps/ctrlProp1588.xml"/><Relationship Id="rId7" Type="http://schemas.openxmlformats.org/officeDocument/2006/relationships/ctrlProp" Target="../ctrlProps/ctrlProp1561.xml"/><Relationship Id="rId12" Type="http://schemas.openxmlformats.org/officeDocument/2006/relationships/ctrlProp" Target="../ctrlProps/ctrlProp1566.xml"/><Relationship Id="rId17" Type="http://schemas.openxmlformats.org/officeDocument/2006/relationships/ctrlProp" Target="../ctrlProps/ctrlProp1571.xml"/><Relationship Id="rId25" Type="http://schemas.openxmlformats.org/officeDocument/2006/relationships/ctrlProp" Target="../ctrlProps/ctrlProp1579.xml"/><Relationship Id="rId33" Type="http://schemas.openxmlformats.org/officeDocument/2006/relationships/ctrlProp" Target="../ctrlProps/ctrlProp1587.xml"/><Relationship Id="rId38" Type="http://schemas.openxmlformats.org/officeDocument/2006/relationships/ctrlProp" Target="../ctrlProps/ctrlProp1592.xml"/><Relationship Id="rId2" Type="http://schemas.openxmlformats.org/officeDocument/2006/relationships/drawing" Target="../drawings/drawing31.xml"/><Relationship Id="rId16" Type="http://schemas.openxmlformats.org/officeDocument/2006/relationships/ctrlProp" Target="../ctrlProps/ctrlProp1570.xml"/><Relationship Id="rId20" Type="http://schemas.openxmlformats.org/officeDocument/2006/relationships/ctrlProp" Target="../ctrlProps/ctrlProp1574.xml"/><Relationship Id="rId29" Type="http://schemas.openxmlformats.org/officeDocument/2006/relationships/ctrlProp" Target="../ctrlProps/ctrlProp1583.xml"/><Relationship Id="rId1" Type="http://schemas.openxmlformats.org/officeDocument/2006/relationships/printerSettings" Target="../printerSettings/printerSettings32.bin"/><Relationship Id="rId6" Type="http://schemas.openxmlformats.org/officeDocument/2006/relationships/ctrlProp" Target="../ctrlProps/ctrlProp1560.xml"/><Relationship Id="rId11" Type="http://schemas.openxmlformats.org/officeDocument/2006/relationships/ctrlProp" Target="../ctrlProps/ctrlProp1565.xml"/><Relationship Id="rId24" Type="http://schemas.openxmlformats.org/officeDocument/2006/relationships/ctrlProp" Target="../ctrlProps/ctrlProp1578.xml"/><Relationship Id="rId32" Type="http://schemas.openxmlformats.org/officeDocument/2006/relationships/ctrlProp" Target="../ctrlProps/ctrlProp1586.xml"/><Relationship Id="rId37" Type="http://schemas.openxmlformats.org/officeDocument/2006/relationships/ctrlProp" Target="../ctrlProps/ctrlProp1591.xml"/><Relationship Id="rId40" Type="http://schemas.openxmlformats.org/officeDocument/2006/relationships/ctrlProp" Target="../ctrlProps/ctrlProp1594.xml"/><Relationship Id="rId5" Type="http://schemas.openxmlformats.org/officeDocument/2006/relationships/ctrlProp" Target="../ctrlProps/ctrlProp1559.xml"/><Relationship Id="rId15" Type="http://schemas.openxmlformats.org/officeDocument/2006/relationships/ctrlProp" Target="../ctrlProps/ctrlProp1569.xml"/><Relationship Id="rId23" Type="http://schemas.openxmlformats.org/officeDocument/2006/relationships/ctrlProp" Target="../ctrlProps/ctrlProp1577.xml"/><Relationship Id="rId28" Type="http://schemas.openxmlformats.org/officeDocument/2006/relationships/ctrlProp" Target="../ctrlProps/ctrlProp1582.xml"/><Relationship Id="rId36" Type="http://schemas.openxmlformats.org/officeDocument/2006/relationships/ctrlProp" Target="../ctrlProps/ctrlProp1590.xml"/><Relationship Id="rId10" Type="http://schemas.openxmlformats.org/officeDocument/2006/relationships/ctrlProp" Target="../ctrlProps/ctrlProp1564.xml"/><Relationship Id="rId19" Type="http://schemas.openxmlformats.org/officeDocument/2006/relationships/ctrlProp" Target="../ctrlProps/ctrlProp1573.xml"/><Relationship Id="rId31" Type="http://schemas.openxmlformats.org/officeDocument/2006/relationships/ctrlProp" Target="../ctrlProps/ctrlProp1585.xml"/><Relationship Id="rId4" Type="http://schemas.openxmlformats.org/officeDocument/2006/relationships/ctrlProp" Target="../ctrlProps/ctrlProp1558.xml"/><Relationship Id="rId9" Type="http://schemas.openxmlformats.org/officeDocument/2006/relationships/ctrlProp" Target="../ctrlProps/ctrlProp1563.xml"/><Relationship Id="rId14" Type="http://schemas.openxmlformats.org/officeDocument/2006/relationships/ctrlProp" Target="../ctrlProps/ctrlProp1568.xml"/><Relationship Id="rId22" Type="http://schemas.openxmlformats.org/officeDocument/2006/relationships/ctrlProp" Target="../ctrlProps/ctrlProp1576.xml"/><Relationship Id="rId27" Type="http://schemas.openxmlformats.org/officeDocument/2006/relationships/ctrlProp" Target="../ctrlProps/ctrlProp1581.xml"/><Relationship Id="rId30" Type="http://schemas.openxmlformats.org/officeDocument/2006/relationships/ctrlProp" Target="../ctrlProps/ctrlProp1584.xml"/><Relationship Id="rId35" Type="http://schemas.openxmlformats.org/officeDocument/2006/relationships/ctrlProp" Target="../ctrlProps/ctrlProp1589.xml"/><Relationship Id="rId8" Type="http://schemas.openxmlformats.org/officeDocument/2006/relationships/ctrlProp" Target="../ctrlProps/ctrlProp1562.xml"/><Relationship Id="rId3" Type="http://schemas.openxmlformats.org/officeDocument/2006/relationships/vmlDrawing" Target="../drawings/vmlDrawing31.vml"/></Relationships>
</file>

<file path=xl/worksheets/_rels/sheet35.xml.rels><?xml version="1.0" encoding="UTF-8" standalone="yes"?>
<Relationships xmlns="http://schemas.openxmlformats.org/package/2006/relationships"><Relationship Id="rId13" Type="http://schemas.openxmlformats.org/officeDocument/2006/relationships/ctrlProp" Target="../ctrlProps/ctrlProp1604.xml"/><Relationship Id="rId18" Type="http://schemas.openxmlformats.org/officeDocument/2006/relationships/ctrlProp" Target="../ctrlProps/ctrlProp1609.xml"/><Relationship Id="rId26" Type="http://schemas.openxmlformats.org/officeDocument/2006/relationships/ctrlProp" Target="../ctrlProps/ctrlProp1617.xml"/><Relationship Id="rId39" Type="http://schemas.openxmlformats.org/officeDocument/2006/relationships/ctrlProp" Target="../ctrlProps/ctrlProp1630.xml"/><Relationship Id="rId21" Type="http://schemas.openxmlformats.org/officeDocument/2006/relationships/ctrlProp" Target="../ctrlProps/ctrlProp1612.xml"/><Relationship Id="rId34" Type="http://schemas.openxmlformats.org/officeDocument/2006/relationships/ctrlProp" Target="../ctrlProps/ctrlProp1625.xml"/><Relationship Id="rId7" Type="http://schemas.openxmlformats.org/officeDocument/2006/relationships/ctrlProp" Target="../ctrlProps/ctrlProp1598.xml"/><Relationship Id="rId12" Type="http://schemas.openxmlformats.org/officeDocument/2006/relationships/ctrlProp" Target="../ctrlProps/ctrlProp1603.xml"/><Relationship Id="rId17" Type="http://schemas.openxmlformats.org/officeDocument/2006/relationships/ctrlProp" Target="../ctrlProps/ctrlProp1608.xml"/><Relationship Id="rId25" Type="http://schemas.openxmlformats.org/officeDocument/2006/relationships/ctrlProp" Target="../ctrlProps/ctrlProp1616.xml"/><Relationship Id="rId33" Type="http://schemas.openxmlformats.org/officeDocument/2006/relationships/ctrlProp" Target="../ctrlProps/ctrlProp1624.xml"/><Relationship Id="rId38" Type="http://schemas.openxmlformats.org/officeDocument/2006/relationships/ctrlProp" Target="../ctrlProps/ctrlProp1629.xml"/><Relationship Id="rId2" Type="http://schemas.openxmlformats.org/officeDocument/2006/relationships/drawing" Target="../drawings/drawing32.xml"/><Relationship Id="rId16" Type="http://schemas.openxmlformats.org/officeDocument/2006/relationships/ctrlProp" Target="../ctrlProps/ctrlProp1607.xml"/><Relationship Id="rId20" Type="http://schemas.openxmlformats.org/officeDocument/2006/relationships/ctrlProp" Target="../ctrlProps/ctrlProp1611.xml"/><Relationship Id="rId29" Type="http://schemas.openxmlformats.org/officeDocument/2006/relationships/ctrlProp" Target="../ctrlProps/ctrlProp1620.xml"/><Relationship Id="rId1" Type="http://schemas.openxmlformats.org/officeDocument/2006/relationships/printerSettings" Target="../printerSettings/printerSettings33.bin"/><Relationship Id="rId6" Type="http://schemas.openxmlformats.org/officeDocument/2006/relationships/ctrlProp" Target="../ctrlProps/ctrlProp1597.xml"/><Relationship Id="rId11" Type="http://schemas.openxmlformats.org/officeDocument/2006/relationships/ctrlProp" Target="../ctrlProps/ctrlProp1602.xml"/><Relationship Id="rId24" Type="http://schemas.openxmlformats.org/officeDocument/2006/relationships/ctrlProp" Target="../ctrlProps/ctrlProp1615.xml"/><Relationship Id="rId32" Type="http://schemas.openxmlformats.org/officeDocument/2006/relationships/ctrlProp" Target="../ctrlProps/ctrlProp1623.xml"/><Relationship Id="rId37" Type="http://schemas.openxmlformats.org/officeDocument/2006/relationships/ctrlProp" Target="../ctrlProps/ctrlProp1628.xml"/><Relationship Id="rId40" Type="http://schemas.openxmlformats.org/officeDocument/2006/relationships/ctrlProp" Target="../ctrlProps/ctrlProp1631.xml"/><Relationship Id="rId5" Type="http://schemas.openxmlformats.org/officeDocument/2006/relationships/ctrlProp" Target="../ctrlProps/ctrlProp1596.xml"/><Relationship Id="rId15" Type="http://schemas.openxmlformats.org/officeDocument/2006/relationships/ctrlProp" Target="../ctrlProps/ctrlProp1606.xml"/><Relationship Id="rId23" Type="http://schemas.openxmlformats.org/officeDocument/2006/relationships/ctrlProp" Target="../ctrlProps/ctrlProp1614.xml"/><Relationship Id="rId28" Type="http://schemas.openxmlformats.org/officeDocument/2006/relationships/ctrlProp" Target="../ctrlProps/ctrlProp1619.xml"/><Relationship Id="rId36" Type="http://schemas.openxmlformats.org/officeDocument/2006/relationships/ctrlProp" Target="../ctrlProps/ctrlProp1627.xml"/><Relationship Id="rId10" Type="http://schemas.openxmlformats.org/officeDocument/2006/relationships/ctrlProp" Target="../ctrlProps/ctrlProp1601.xml"/><Relationship Id="rId19" Type="http://schemas.openxmlformats.org/officeDocument/2006/relationships/ctrlProp" Target="../ctrlProps/ctrlProp1610.xml"/><Relationship Id="rId31" Type="http://schemas.openxmlformats.org/officeDocument/2006/relationships/ctrlProp" Target="../ctrlProps/ctrlProp1622.xml"/><Relationship Id="rId4" Type="http://schemas.openxmlformats.org/officeDocument/2006/relationships/ctrlProp" Target="../ctrlProps/ctrlProp1595.xml"/><Relationship Id="rId9" Type="http://schemas.openxmlformats.org/officeDocument/2006/relationships/ctrlProp" Target="../ctrlProps/ctrlProp1600.xml"/><Relationship Id="rId14" Type="http://schemas.openxmlformats.org/officeDocument/2006/relationships/ctrlProp" Target="../ctrlProps/ctrlProp1605.xml"/><Relationship Id="rId22" Type="http://schemas.openxmlformats.org/officeDocument/2006/relationships/ctrlProp" Target="../ctrlProps/ctrlProp1613.xml"/><Relationship Id="rId27" Type="http://schemas.openxmlformats.org/officeDocument/2006/relationships/ctrlProp" Target="../ctrlProps/ctrlProp1618.xml"/><Relationship Id="rId30" Type="http://schemas.openxmlformats.org/officeDocument/2006/relationships/ctrlProp" Target="../ctrlProps/ctrlProp1621.xml"/><Relationship Id="rId35" Type="http://schemas.openxmlformats.org/officeDocument/2006/relationships/ctrlProp" Target="../ctrlProps/ctrlProp1626.xml"/><Relationship Id="rId8" Type="http://schemas.openxmlformats.org/officeDocument/2006/relationships/ctrlProp" Target="../ctrlProps/ctrlProp1599.xml"/><Relationship Id="rId3" Type="http://schemas.openxmlformats.org/officeDocument/2006/relationships/vmlDrawing" Target="../drawings/vmlDrawing32.vml"/></Relationships>
</file>

<file path=xl/worksheets/_rels/sheet36.xml.rels><?xml version="1.0" encoding="UTF-8" standalone="yes"?>
<Relationships xmlns="http://schemas.openxmlformats.org/package/2006/relationships"><Relationship Id="rId13" Type="http://schemas.openxmlformats.org/officeDocument/2006/relationships/ctrlProp" Target="../ctrlProps/ctrlProp1641.xml"/><Relationship Id="rId18" Type="http://schemas.openxmlformats.org/officeDocument/2006/relationships/ctrlProp" Target="../ctrlProps/ctrlProp1646.xml"/><Relationship Id="rId26" Type="http://schemas.openxmlformats.org/officeDocument/2006/relationships/ctrlProp" Target="../ctrlProps/ctrlProp1654.xml"/><Relationship Id="rId39" Type="http://schemas.openxmlformats.org/officeDocument/2006/relationships/ctrlProp" Target="../ctrlProps/ctrlProp1667.xml"/><Relationship Id="rId21" Type="http://schemas.openxmlformats.org/officeDocument/2006/relationships/ctrlProp" Target="../ctrlProps/ctrlProp1649.xml"/><Relationship Id="rId34" Type="http://schemas.openxmlformats.org/officeDocument/2006/relationships/ctrlProp" Target="../ctrlProps/ctrlProp1662.xml"/><Relationship Id="rId7" Type="http://schemas.openxmlformats.org/officeDocument/2006/relationships/ctrlProp" Target="../ctrlProps/ctrlProp1635.xml"/><Relationship Id="rId12" Type="http://schemas.openxmlformats.org/officeDocument/2006/relationships/ctrlProp" Target="../ctrlProps/ctrlProp1640.xml"/><Relationship Id="rId17" Type="http://schemas.openxmlformats.org/officeDocument/2006/relationships/ctrlProp" Target="../ctrlProps/ctrlProp1645.xml"/><Relationship Id="rId25" Type="http://schemas.openxmlformats.org/officeDocument/2006/relationships/ctrlProp" Target="../ctrlProps/ctrlProp1653.xml"/><Relationship Id="rId33" Type="http://schemas.openxmlformats.org/officeDocument/2006/relationships/ctrlProp" Target="../ctrlProps/ctrlProp1661.xml"/><Relationship Id="rId38" Type="http://schemas.openxmlformats.org/officeDocument/2006/relationships/ctrlProp" Target="../ctrlProps/ctrlProp1666.xml"/><Relationship Id="rId2" Type="http://schemas.openxmlformats.org/officeDocument/2006/relationships/drawing" Target="../drawings/drawing33.xml"/><Relationship Id="rId16" Type="http://schemas.openxmlformats.org/officeDocument/2006/relationships/ctrlProp" Target="../ctrlProps/ctrlProp1644.xml"/><Relationship Id="rId20" Type="http://schemas.openxmlformats.org/officeDocument/2006/relationships/ctrlProp" Target="../ctrlProps/ctrlProp1648.xml"/><Relationship Id="rId29" Type="http://schemas.openxmlformats.org/officeDocument/2006/relationships/ctrlProp" Target="../ctrlProps/ctrlProp1657.xml"/><Relationship Id="rId1" Type="http://schemas.openxmlformats.org/officeDocument/2006/relationships/printerSettings" Target="../printerSettings/printerSettings34.bin"/><Relationship Id="rId6" Type="http://schemas.openxmlformats.org/officeDocument/2006/relationships/ctrlProp" Target="../ctrlProps/ctrlProp1634.xml"/><Relationship Id="rId11" Type="http://schemas.openxmlformats.org/officeDocument/2006/relationships/ctrlProp" Target="../ctrlProps/ctrlProp1639.xml"/><Relationship Id="rId24" Type="http://schemas.openxmlformats.org/officeDocument/2006/relationships/ctrlProp" Target="../ctrlProps/ctrlProp1652.xml"/><Relationship Id="rId32" Type="http://schemas.openxmlformats.org/officeDocument/2006/relationships/ctrlProp" Target="../ctrlProps/ctrlProp1660.xml"/><Relationship Id="rId37" Type="http://schemas.openxmlformats.org/officeDocument/2006/relationships/ctrlProp" Target="../ctrlProps/ctrlProp1665.xml"/><Relationship Id="rId40" Type="http://schemas.openxmlformats.org/officeDocument/2006/relationships/ctrlProp" Target="../ctrlProps/ctrlProp1668.xml"/><Relationship Id="rId5" Type="http://schemas.openxmlformats.org/officeDocument/2006/relationships/ctrlProp" Target="../ctrlProps/ctrlProp1633.xml"/><Relationship Id="rId15" Type="http://schemas.openxmlformats.org/officeDocument/2006/relationships/ctrlProp" Target="../ctrlProps/ctrlProp1643.xml"/><Relationship Id="rId23" Type="http://schemas.openxmlformats.org/officeDocument/2006/relationships/ctrlProp" Target="../ctrlProps/ctrlProp1651.xml"/><Relationship Id="rId28" Type="http://schemas.openxmlformats.org/officeDocument/2006/relationships/ctrlProp" Target="../ctrlProps/ctrlProp1656.xml"/><Relationship Id="rId36" Type="http://schemas.openxmlformats.org/officeDocument/2006/relationships/ctrlProp" Target="../ctrlProps/ctrlProp1664.xml"/><Relationship Id="rId10" Type="http://schemas.openxmlformats.org/officeDocument/2006/relationships/ctrlProp" Target="../ctrlProps/ctrlProp1638.xml"/><Relationship Id="rId19" Type="http://schemas.openxmlformats.org/officeDocument/2006/relationships/ctrlProp" Target="../ctrlProps/ctrlProp1647.xml"/><Relationship Id="rId31" Type="http://schemas.openxmlformats.org/officeDocument/2006/relationships/ctrlProp" Target="../ctrlProps/ctrlProp1659.xml"/><Relationship Id="rId4" Type="http://schemas.openxmlformats.org/officeDocument/2006/relationships/ctrlProp" Target="../ctrlProps/ctrlProp1632.xml"/><Relationship Id="rId9" Type="http://schemas.openxmlformats.org/officeDocument/2006/relationships/ctrlProp" Target="../ctrlProps/ctrlProp1637.xml"/><Relationship Id="rId14" Type="http://schemas.openxmlformats.org/officeDocument/2006/relationships/ctrlProp" Target="../ctrlProps/ctrlProp1642.xml"/><Relationship Id="rId22" Type="http://schemas.openxmlformats.org/officeDocument/2006/relationships/ctrlProp" Target="../ctrlProps/ctrlProp1650.xml"/><Relationship Id="rId27" Type="http://schemas.openxmlformats.org/officeDocument/2006/relationships/ctrlProp" Target="../ctrlProps/ctrlProp1655.xml"/><Relationship Id="rId30" Type="http://schemas.openxmlformats.org/officeDocument/2006/relationships/ctrlProp" Target="../ctrlProps/ctrlProp1658.xml"/><Relationship Id="rId35" Type="http://schemas.openxmlformats.org/officeDocument/2006/relationships/ctrlProp" Target="../ctrlProps/ctrlProp1663.xml"/><Relationship Id="rId8" Type="http://schemas.openxmlformats.org/officeDocument/2006/relationships/ctrlProp" Target="../ctrlProps/ctrlProp1636.xml"/><Relationship Id="rId3" Type="http://schemas.openxmlformats.org/officeDocument/2006/relationships/vmlDrawing" Target="../drawings/vmlDrawing33.vml"/></Relationships>
</file>

<file path=xl/worksheets/_rels/sheet37.xml.rels><?xml version="1.0" encoding="UTF-8" standalone="yes"?>
<Relationships xmlns="http://schemas.openxmlformats.org/package/2006/relationships"><Relationship Id="rId13" Type="http://schemas.openxmlformats.org/officeDocument/2006/relationships/ctrlProp" Target="../ctrlProps/ctrlProp1678.xml"/><Relationship Id="rId18" Type="http://schemas.openxmlformats.org/officeDocument/2006/relationships/ctrlProp" Target="../ctrlProps/ctrlProp1683.xml"/><Relationship Id="rId26" Type="http://schemas.openxmlformats.org/officeDocument/2006/relationships/ctrlProp" Target="../ctrlProps/ctrlProp1691.xml"/><Relationship Id="rId39" Type="http://schemas.openxmlformats.org/officeDocument/2006/relationships/ctrlProp" Target="../ctrlProps/ctrlProp1704.xml"/><Relationship Id="rId21" Type="http://schemas.openxmlformats.org/officeDocument/2006/relationships/ctrlProp" Target="../ctrlProps/ctrlProp1686.xml"/><Relationship Id="rId34" Type="http://schemas.openxmlformats.org/officeDocument/2006/relationships/ctrlProp" Target="../ctrlProps/ctrlProp1699.xml"/><Relationship Id="rId7" Type="http://schemas.openxmlformats.org/officeDocument/2006/relationships/ctrlProp" Target="../ctrlProps/ctrlProp1672.xml"/><Relationship Id="rId12" Type="http://schemas.openxmlformats.org/officeDocument/2006/relationships/ctrlProp" Target="../ctrlProps/ctrlProp1677.xml"/><Relationship Id="rId17" Type="http://schemas.openxmlformats.org/officeDocument/2006/relationships/ctrlProp" Target="../ctrlProps/ctrlProp1682.xml"/><Relationship Id="rId25" Type="http://schemas.openxmlformats.org/officeDocument/2006/relationships/ctrlProp" Target="../ctrlProps/ctrlProp1690.xml"/><Relationship Id="rId33" Type="http://schemas.openxmlformats.org/officeDocument/2006/relationships/ctrlProp" Target="../ctrlProps/ctrlProp1698.xml"/><Relationship Id="rId38" Type="http://schemas.openxmlformats.org/officeDocument/2006/relationships/ctrlProp" Target="../ctrlProps/ctrlProp1703.xml"/><Relationship Id="rId2" Type="http://schemas.openxmlformats.org/officeDocument/2006/relationships/drawing" Target="../drawings/drawing34.xml"/><Relationship Id="rId16" Type="http://schemas.openxmlformats.org/officeDocument/2006/relationships/ctrlProp" Target="../ctrlProps/ctrlProp1681.xml"/><Relationship Id="rId20" Type="http://schemas.openxmlformats.org/officeDocument/2006/relationships/ctrlProp" Target="../ctrlProps/ctrlProp1685.xml"/><Relationship Id="rId29" Type="http://schemas.openxmlformats.org/officeDocument/2006/relationships/ctrlProp" Target="../ctrlProps/ctrlProp1694.xml"/><Relationship Id="rId1" Type="http://schemas.openxmlformats.org/officeDocument/2006/relationships/printerSettings" Target="../printerSettings/printerSettings35.bin"/><Relationship Id="rId6" Type="http://schemas.openxmlformats.org/officeDocument/2006/relationships/ctrlProp" Target="../ctrlProps/ctrlProp1671.xml"/><Relationship Id="rId11" Type="http://schemas.openxmlformats.org/officeDocument/2006/relationships/ctrlProp" Target="../ctrlProps/ctrlProp1676.xml"/><Relationship Id="rId24" Type="http://schemas.openxmlformats.org/officeDocument/2006/relationships/ctrlProp" Target="../ctrlProps/ctrlProp1689.xml"/><Relationship Id="rId32" Type="http://schemas.openxmlformats.org/officeDocument/2006/relationships/ctrlProp" Target="../ctrlProps/ctrlProp1697.xml"/><Relationship Id="rId37" Type="http://schemas.openxmlformats.org/officeDocument/2006/relationships/ctrlProp" Target="../ctrlProps/ctrlProp1702.xml"/><Relationship Id="rId40" Type="http://schemas.openxmlformats.org/officeDocument/2006/relationships/ctrlProp" Target="../ctrlProps/ctrlProp1705.xml"/><Relationship Id="rId5" Type="http://schemas.openxmlformats.org/officeDocument/2006/relationships/ctrlProp" Target="../ctrlProps/ctrlProp1670.xml"/><Relationship Id="rId15" Type="http://schemas.openxmlformats.org/officeDocument/2006/relationships/ctrlProp" Target="../ctrlProps/ctrlProp1680.xml"/><Relationship Id="rId23" Type="http://schemas.openxmlformats.org/officeDocument/2006/relationships/ctrlProp" Target="../ctrlProps/ctrlProp1688.xml"/><Relationship Id="rId28" Type="http://schemas.openxmlformats.org/officeDocument/2006/relationships/ctrlProp" Target="../ctrlProps/ctrlProp1693.xml"/><Relationship Id="rId36" Type="http://schemas.openxmlformats.org/officeDocument/2006/relationships/ctrlProp" Target="../ctrlProps/ctrlProp1701.xml"/><Relationship Id="rId10" Type="http://schemas.openxmlformats.org/officeDocument/2006/relationships/ctrlProp" Target="../ctrlProps/ctrlProp1675.xml"/><Relationship Id="rId19" Type="http://schemas.openxmlformats.org/officeDocument/2006/relationships/ctrlProp" Target="../ctrlProps/ctrlProp1684.xml"/><Relationship Id="rId31" Type="http://schemas.openxmlformats.org/officeDocument/2006/relationships/ctrlProp" Target="../ctrlProps/ctrlProp1696.xml"/><Relationship Id="rId4" Type="http://schemas.openxmlformats.org/officeDocument/2006/relationships/ctrlProp" Target="../ctrlProps/ctrlProp1669.xml"/><Relationship Id="rId9" Type="http://schemas.openxmlformats.org/officeDocument/2006/relationships/ctrlProp" Target="../ctrlProps/ctrlProp1674.xml"/><Relationship Id="rId14" Type="http://schemas.openxmlformats.org/officeDocument/2006/relationships/ctrlProp" Target="../ctrlProps/ctrlProp1679.xml"/><Relationship Id="rId22" Type="http://schemas.openxmlformats.org/officeDocument/2006/relationships/ctrlProp" Target="../ctrlProps/ctrlProp1687.xml"/><Relationship Id="rId27" Type="http://schemas.openxmlformats.org/officeDocument/2006/relationships/ctrlProp" Target="../ctrlProps/ctrlProp1692.xml"/><Relationship Id="rId30" Type="http://schemas.openxmlformats.org/officeDocument/2006/relationships/ctrlProp" Target="../ctrlProps/ctrlProp1695.xml"/><Relationship Id="rId35" Type="http://schemas.openxmlformats.org/officeDocument/2006/relationships/ctrlProp" Target="../ctrlProps/ctrlProp1700.xml"/><Relationship Id="rId8" Type="http://schemas.openxmlformats.org/officeDocument/2006/relationships/ctrlProp" Target="../ctrlProps/ctrlProp1673.xml"/><Relationship Id="rId3" Type="http://schemas.openxmlformats.org/officeDocument/2006/relationships/vmlDrawing" Target="../drawings/vmlDrawing34.vml"/></Relationships>
</file>

<file path=xl/worksheets/_rels/sheet38.xml.rels><?xml version="1.0" encoding="UTF-8" standalone="yes"?>
<Relationships xmlns="http://schemas.openxmlformats.org/package/2006/relationships"><Relationship Id="rId13" Type="http://schemas.openxmlformats.org/officeDocument/2006/relationships/ctrlProp" Target="../ctrlProps/ctrlProp1714.xml"/><Relationship Id="rId18" Type="http://schemas.openxmlformats.org/officeDocument/2006/relationships/ctrlProp" Target="../ctrlProps/ctrlProp1719.xml"/><Relationship Id="rId26" Type="http://schemas.openxmlformats.org/officeDocument/2006/relationships/ctrlProp" Target="../ctrlProps/ctrlProp1727.xml"/><Relationship Id="rId39" Type="http://schemas.openxmlformats.org/officeDocument/2006/relationships/ctrlProp" Target="../ctrlProps/ctrlProp1740.xml"/><Relationship Id="rId21" Type="http://schemas.openxmlformats.org/officeDocument/2006/relationships/ctrlProp" Target="../ctrlProps/ctrlProp1722.xml"/><Relationship Id="rId34" Type="http://schemas.openxmlformats.org/officeDocument/2006/relationships/ctrlProp" Target="../ctrlProps/ctrlProp1735.xml"/><Relationship Id="rId7" Type="http://schemas.openxmlformats.org/officeDocument/2006/relationships/ctrlProp" Target="../ctrlProps/ctrlProp1708.xml"/><Relationship Id="rId2" Type="http://schemas.openxmlformats.org/officeDocument/2006/relationships/printerSettings" Target="../printerSettings/printerSettings36.bin"/><Relationship Id="rId16" Type="http://schemas.openxmlformats.org/officeDocument/2006/relationships/ctrlProp" Target="../ctrlProps/ctrlProp1717.xml"/><Relationship Id="rId20" Type="http://schemas.openxmlformats.org/officeDocument/2006/relationships/ctrlProp" Target="../ctrlProps/ctrlProp1721.xml"/><Relationship Id="rId29" Type="http://schemas.openxmlformats.org/officeDocument/2006/relationships/ctrlProp" Target="../ctrlProps/ctrlProp1730.xml"/><Relationship Id="rId41" Type="http://schemas.openxmlformats.org/officeDocument/2006/relationships/ctrlProp" Target="../ctrlProps/ctrlProp1742.xml"/><Relationship Id="rId1" Type="http://schemas.openxmlformats.org/officeDocument/2006/relationships/hyperlink" Target="mailto:david.ramlu@bigpond.com" TargetMode="External"/><Relationship Id="rId6" Type="http://schemas.openxmlformats.org/officeDocument/2006/relationships/ctrlProp" Target="../ctrlProps/ctrlProp1707.xml"/><Relationship Id="rId11" Type="http://schemas.openxmlformats.org/officeDocument/2006/relationships/ctrlProp" Target="../ctrlProps/ctrlProp1712.xml"/><Relationship Id="rId24" Type="http://schemas.openxmlformats.org/officeDocument/2006/relationships/ctrlProp" Target="../ctrlProps/ctrlProp1725.xml"/><Relationship Id="rId32" Type="http://schemas.openxmlformats.org/officeDocument/2006/relationships/ctrlProp" Target="../ctrlProps/ctrlProp1733.xml"/><Relationship Id="rId37" Type="http://schemas.openxmlformats.org/officeDocument/2006/relationships/ctrlProp" Target="../ctrlProps/ctrlProp1738.xml"/><Relationship Id="rId40" Type="http://schemas.openxmlformats.org/officeDocument/2006/relationships/ctrlProp" Target="../ctrlProps/ctrlProp1741.xml"/><Relationship Id="rId5" Type="http://schemas.openxmlformats.org/officeDocument/2006/relationships/ctrlProp" Target="../ctrlProps/ctrlProp1706.xml"/><Relationship Id="rId15" Type="http://schemas.openxmlformats.org/officeDocument/2006/relationships/ctrlProp" Target="../ctrlProps/ctrlProp1716.xml"/><Relationship Id="rId23" Type="http://schemas.openxmlformats.org/officeDocument/2006/relationships/ctrlProp" Target="../ctrlProps/ctrlProp1724.xml"/><Relationship Id="rId28" Type="http://schemas.openxmlformats.org/officeDocument/2006/relationships/ctrlProp" Target="../ctrlProps/ctrlProp1729.xml"/><Relationship Id="rId36" Type="http://schemas.openxmlformats.org/officeDocument/2006/relationships/ctrlProp" Target="../ctrlProps/ctrlProp1737.xml"/><Relationship Id="rId10" Type="http://schemas.openxmlformats.org/officeDocument/2006/relationships/ctrlProp" Target="../ctrlProps/ctrlProp1711.xml"/><Relationship Id="rId19" Type="http://schemas.openxmlformats.org/officeDocument/2006/relationships/ctrlProp" Target="../ctrlProps/ctrlProp1720.xml"/><Relationship Id="rId31" Type="http://schemas.openxmlformats.org/officeDocument/2006/relationships/ctrlProp" Target="../ctrlProps/ctrlProp1732.xml"/><Relationship Id="rId4" Type="http://schemas.openxmlformats.org/officeDocument/2006/relationships/vmlDrawing" Target="../drawings/vmlDrawing35.vml"/><Relationship Id="rId9" Type="http://schemas.openxmlformats.org/officeDocument/2006/relationships/ctrlProp" Target="../ctrlProps/ctrlProp1710.xml"/><Relationship Id="rId14" Type="http://schemas.openxmlformats.org/officeDocument/2006/relationships/ctrlProp" Target="../ctrlProps/ctrlProp1715.xml"/><Relationship Id="rId22" Type="http://schemas.openxmlformats.org/officeDocument/2006/relationships/ctrlProp" Target="../ctrlProps/ctrlProp1723.xml"/><Relationship Id="rId27" Type="http://schemas.openxmlformats.org/officeDocument/2006/relationships/ctrlProp" Target="../ctrlProps/ctrlProp1728.xml"/><Relationship Id="rId30" Type="http://schemas.openxmlformats.org/officeDocument/2006/relationships/ctrlProp" Target="../ctrlProps/ctrlProp1731.xml"/><Relationship Id="rId35" Type="http://schemas.openxmlformats.org/officeDocument/2006/relationships/ctrlProp" Target="../ctrlProps/ctrlProp1736.xml"/><Relationship Id="rId8" Type="http://schemas.openxmlformats.org/officeDocument/2006/relationships/ctrlProp" Target="../ctrlProps/ctrlProp1709.xml"/><Relationship Id="rId3" Type="http://schemas.openxmlformats.org/officeDocument/2006/relationships/drawing" Target="../drawings/drawing35.xml"/><Relationship Id="rId12" Type="http://schemas.openxmlformats.org/officeDocument/2006/relationships/ctrlProp" Target="../ctrlProps/ctrlProp1713.xml"/><Relationship Id="rId17" Type="http://schemas.openxmlformats.org/officeDocument/2006/relationships/ctrlProp" Target="../ctrlProps/ctrlProp1718.xml"/><Relationship Id="rId25" Type="http://schemas.openxmlformats.org/officeDocument/2006/relationships/ctrlProp" Target="../ctrlProps/ctrlProp1726.xml"/><Relationship Id="rId33" Type="http://schemas.openxmlformats.org/officeDocument/2006/relationships/ctrlProp" Target="../ctrlProps/ctrlProp1734.xml"/><Relationship Id="rId38" Type="http://schemas.openxmlformats.org/officeDocument/2006/relationships/ctrlProp" Target="../ctrlProps/ctrlProp1739.xml"/></Relationships>
</file>

<file path=xl/worksheets/_rels/sheet39.xml.rels><?xml version="1.0" encoding="UTF-8" standalone="yes"?>
<Relationships xmlns="http://schemas.openxmlformats.org/package/2006/relationships"><Relationship Id="rId13" Type="http://schemas.openxmlformats.org/officeDocument/2006/relationships/ctrlProp" Target="../ctrlProps/ctrlProp1752.xml"/><Relationship Id="rId18" Type="http://schemas.openxmlformats.org/officeDocument/2006/relationships/ctrlProp" Target="../ctrlProps/ctrlProp1757.xml"/><Relationship Id="rId26" Type="http://schemas.openxmlformats.org/officeDocument/2006/relationships/ctrlProp" Target="../ctrlProps/ctrlProp1765.xml"/><Relationship Id="rId39" Type="http://schemas.openxmlformats.org/officeDocument/2006/relationships/ctrlProp" Target="../ctrlProps/ctrlProp1778.xml"/><Relationship Id="rId21" Type="http://schemas.openxmlformats.org/officeDocument/2006/relationships/ctrlProp" Target="../ctrlProps/ctrlProp1760.xml"/><Relationship Id="rId34" Type="http://schemas.openxmlformats.org/officeDocument/2006/relationships/ctrlProp" Target="../ctrlProps/ctrlProp1773.xml"/><Relationship Id="rId7" Type="http://schemas.openxmlformats.org/officeDocument/2006/relationships/ctrlProp" Target="../ctrlProps/ctrlProp1746.xml"/><Relationship Id="rId12" Type="http://schemas.openxmlformats.org/officeDocument/2006/relationships/ctrlProp" Target="../ctrlProps/ctrlProp1751.xml"/><Relationship Id="rId17" Type="http://schemas.openxmlformats.org/officeDocument/2006/relationships/ctrlProp" Target="../ctrlProps/ctrlProp1756.xml"/><Relationship Id="rId25" Type="http://schemas.openxmlformats.org/officeDocument/2006/relationships/ctrlProp" Target="../ctrlProps/ctrlProp1764.xml"/><Relationship Id="rId33" Type="http://schemas.openxmlformats.org/officeDocument/2006/relationships/ctrlProp" Target="../ctrlProps/ctrlProp1772.xml"/><Relationship Id="rId38" Type="http://schemas.openxmlformats.org/officeDocument/2006/relationships/ctrlProp" Target="../ctrlProps/ctrlProp1777.xml"/><Relationship Id="rId2" Type="http://schemas.openxmlformats.org/officeDocument/2006/relationships/drawing" Target="../drawings/drawing36.xml"/><Relationship Id="rId16" Type="http://schemas.openxmlformats.org/officeDocument/2006/relationships/ctrlProp" Target="../ctrlProps/ctrlProp1755.xml"/><Relationship Id="rId20" Type="http://schemas.openxmlformats.org/officeDocument/2006/relationships/ctrlProp" Target="../ctrlProps/ctrlProp1759.xml"/><Relationship Id="rId29" Type="http://schemas.openxmlformats.org/officeDocument/2006/relationships/ctrlProp" Target="../ctrlProps/ctrlProp1768.xml"/><Relationship Id="rId1" Type="http://schemas.openxmlformats.org/officeDocument/2006/relationships/printerSettings" Target="../printerSettings/printerSettings37.bin"/><Relationship Id="rId6" Type="http://schemas.openxmlformats.org/officeDocument/2006/relationships/ctrlProp" Target="../ctrlProps/ctrlProp1745.xml"/><Relationship Id="rId11" Type="http://schemas.openxmlformats.org/officeDocument/2006/relationships/ctrlProp" Target="../ctrlProps/ctrlProp1750.xml"/><Relationship Id="rId24" Type="http://schemas.openxmlformats.org/officeDocument/2006/relationships/ctrlProp" Target="../ctrlProps/ctrlProp1763.xml"/><Relationship Id="rId32" Type="http://schemas.openxmlformats.org/officeDocument/2006/relationships/ctrlProp" Target="../ctrlProps/ctrlProp1771.xml"/><Relationship Id="rId37" Type="http://schemas.openxmlformats.org/officeDocument/2006/relationships/ctrlProp" Target="../ctrlProps/ctrlProp1776.xml"/><Relationship Id="rId40" Type="http://schemas.openxmlformats.org/officeDocument/2006/relationships/ctrlProp" Target="../ctrlProps/ctrlProp1779.xml"/><Relationship Id="rId5" Type="http://schemas.openxmlformats.org/officeDocument/2006/relationships/ctrlProp" Target="../ctrlProps/ctrlProp1744.xml"/><Relationship Id="rId15" Type="http://schemas.openxmlformats.org/officeDocument/2006/relationships/ctrlProp" Target="../ctrlProps/ctrlProp1754.xml"/><Relationship Id="rId23" Type="http://schemas.openxmlformats.org/officeDocument/2006/relationships/ctrlProp" Target="../ctrlProps/ctrlProp1762.xml"/><Relationship Id="rId28" Type="http://schemas.openxmlformats.org/officeDocument/2006/relationships/ctrlProp" Target="../ctrlProps/ctrlProp1767.xml"/><Relationship Id="rId36" Type="http://schemas.openxmlformats.org/officeDocument/2006/relationships/ctrlProp" Target="../ctrlProps/ctrlProp1775.xml"/><Relationship Id="rId10" Type="http://schemas.openxmlformats.org/officeDocument/2006/relationships/ctrlProp" Target="../ctrlProps/ctrlProp1749.xml"/><Relationship Id="rId19" Type="http://schemas.openxmlformats.org/officeDocument/2006/relationships/ctrlProp" Target="../ctrlProps/ctrlProp1758.xml"/><Relationship Id="rId31" Type="http://schemas.openxmlformats.org/officeDocument/2006/relationships/ctrlProp" Target="../ctrlProps/ctrlProp1770.xml"/><Relationship Id="rId4" Type="http://schemas.openxmlformats.org/officeDocument/2006/relationships/ctrlProp" Target="../ctrlProps/ctrlProp1743.xml"/><Relationship Id="rId9" Type="http://schemas.openxmlformats.org/officeDocument/2006/relationships/ctrlProp" Target="../ctrlProps/ctrlProp1748.xml"/><Relationship Id="rId14" Type="http://schemas.openxmlformats.org/officeDocument/2006/relationships/ctrlProp" Target="../ctrlProps/ctrlProp1753.xml"/><Relationship Id="rId22" Type="http://schemas.openxmlformats.org/officeDocument/2006/relationships/ctrlProp" Target="../ctrlProps/ctrlProp1761.xml"/><Relationship Id="rId27" Type="http://schemas.openxmlformats.org/officeDocument/2006/relationships/ctrlProp" Target="../ctrlProps/ctrlProp1766.xml"/><Relationship Id="rId30" Type="http://schemas.openxmlformats.org/officeDocument/2006/relationships/ctrlProp" Target="../ctrlProps/ctrlProp1769.xml"/><Relationship Id="rId35" Type="http://schemas.openxmlformats.org/officeDocument/2006/relationships/ctrlProp" Target="../ctrlProps/ctrlProp1774.xml"/><Relationship Id="rId8" Type="http://schemas.openxmlformats.org/officeDocument/2006/relationships/ctrlProp" Target="../ctrlProps/ctrlProp1747.xml"/><Relationship Id="rId3" Type="http://schemas.openxmlformats.org/officeDocument/2006/relationships/vmlDrawing" Target="../drawings/vmlDrawing36.vml"/></Relationships>
</file>

<file path=xl/worksheets/_rels/sheet40.xml.rels><?xml version="1.0" encoding="UTF-8" standalone="yes"?>
<Relationships xmlns="http://schemas.openxmlformats.org/package/2006/relationships"><Relationship Id="rId13" Type="http://schemas.openxmlformats.org/officeDocument/2006/relationships/ctrlProp" Target="../ctrlProps/ctrlProp1788.xml"/><Relationship Id="rId18" Type="http://schemas.openxmlformats.org/officeDocument/2006/relationships/ctrlProp" Target="../ctrlProps/ctrlProp1793.xml"/><Relationship Id="rId26" Type="http://schemas.openxmlformats.org/officeDocument/2006/relationships/ctrlProp" Target="../ctrlProps/ctrlProp1801.xml"/><Relationship Id="rId39" Type="http://schemas.openxmlformats.org/officeDocument/2006/relationships/ctrlProp" Target="../ctrlProps/ctrlProp1814.xml"/><Relationship Id="rId21" Type="http://schemas.openxmlformats.org/officeDocument/2006/relationships/ctrlProp" Target="../ctrlProps/ctrlProp1796.xml"/><Relationship Id="rId34" Type="http://schemas.openxmlformats.org/officeDocument/2006/relationships/ctrlProp" Target="../ctrlProps/ctrlProp1809.xml"/><Relationship Id="rId7" Type="http://schemas.openxmlformats.org/officeDocument/2006/relationships/ctrlProp" Target="../ctrlProps/ctrlProp1782.xml"/><Relationship Id="rId2" Type="http://schemas.openxmlformats.org/officeDocument/2006/relationships/printerSettings" Target="../printerSettings/printerSettings38.bin"/><Relationship Id="rId16" Type="http://schemas.openxmlformats.org/officeDocument/2006/relationships/ctrlProp" Target="../ctrlProps/ctrlProp1791.xml"/><Relationship Id="rId20" Type="http://schemas.openxmlformats.org/officeDocument/2006/relationships/ctrlProp" Target="../ctrlProps/ctrlProp1795.xml"/><Relationship Id="rId29" Type="http://schemas.openxmlformats.org/officeDocument/2006/relationships/ctrlProp" Target="../ctrlProps/ctrlProp1804.xml"/><Relationship Id="rId41" Type="http://schemas.openxmlformats.org/officeDocument/2006/relationships/ctrlProp" Target="../ctrlProps/ctrlProp1816.xml"/><Relationship Id="rId1" Type="http://schemas.openxmlformats.org/officeDocument/2006/relationships/hyperlink" Target="mailto:xsep97@yahoo.com.au" TargetMode="External"/><Relationship Id="rId6" Type="http://schemas.openxmlformats.org/officeDocument/2006/relationships/ctrlProp" Target="../ctrlProps/ctrlProp1781.xml"/><Relationship Id="rId11" Type="http://schemas.openxmlformats.org/officeDocument/2006/relationships/ctrlProp" Target="../ctrlProps/ctrlProp1786.xml"/><Relationship Id="rId24" Type="http://schemas.openxmlformats.org/officeDocument/2006/relationships/ctrlProp" Target="../ctrlProps/ctrlProp1799.xml"/><Relationship Id="rId32" Type="http://schemas.openxmlformats.org/officeDocument/2006/relationships/ctrlProp" Target="../ctrlProps/ctrlProp1807.xml"/><Relationship Id="rId37" Type="http://schemas.openxmlformats.org/officeDocument/2006/relationships/ctrlProp" Target="../ctrlProps/ctrlProp1812.xml"/><Relationship Id="rId40" Type="http://schemas.openxmlformats.org/officeDocument/2006/relationships/ctrlProp" Target="../ctrlProps/ctrlProp1815.xml"/><Relationship Id="rId5" Type="http://schemas.openxmlformats.org/officeDocument/2006/relationships/ctrlProp" Target="../ctrlProps/ctrlProp1780.xml"/><Relationship Id="rId15" Type="http://schemas.openxmlformats.org/officeDocument/2006/relationships/ctrlProp" Target="../ctrlProps/ctrlProp1790.xml"/><Relationship Id="rId23" Type="http://schemas.openxmlformats.org/officeDocument/2006/relationships/ctrlProp" Target="../ctrlProps/ctrlProp1798.xml"/><Relationship Id="rId28" Type="http://schemas.openxmlformats.org/officeDocument/2006/relationships/ctrlProp" Target="../ctrlProps/ctrlProp1803.xml"/><Relationship Id="rId36" Type="http://schemas.openxmlformats.org/officeDocument/2006/relationships/ctrlProp" Target="../ctrlProps/ctrlProp1811.xml"/><Relationship Id="rId10" Type="http://schemas.openxmlformats.org/officeDocument/2006/relationships/ctrlProp" Target="../ctrlProps/ctrlProp1785.xml"/><Relationship Id="rId19" Type="http://schemas.openxmlformats.org/officeDocument/2006/relationships/ctrlProp" Target="../ctrlProps/ctrlProp1794.xml"/><Relationship Id="rId31" Type="http://schemas.openxmlformats.org/officeDocument/2006/relationships/ctrlProp" Target="../ctrlProps/ctrlProp1806.xml"/><Relationship Id="rId4" Type="http://schemas.openxmlformats.org/officeDocument/2006/relationships/vmlDrawing" Target="../drawings/vmlDrawing37.vml"/><Relationship Id="rId9" Type="http://schemas.openxmlformats.org/officeDocument/2006/relationships/ctrlProp" Target="../ctrlProps/ctrlProp1784.xml"/><Relationship Id="rId14" Type="http://schemas.openxmlformats.org/officeDocument/2006/relationships/ctrlProp" Target="../ctrlProps/ctrlProp1789.xml"/><Relationship Id="rId22" Type="http://schemas.openxmlformats.org/officeDocument/2006/relationships/ctrlProp" Target="../ctrlProps/ctrlProp1797.xml"/><Relationship Id="rId27" Type="http://schemas.openxmlformats.org/officeDocument/2006/relationships/ctrlProp" Target="../ctrlProps/ctrlProp1802.xml"/><Relationship Id="rId30" Type="http://schemas.openxmlformats.org/officeDocument/2006/relationships/ctrlProp" Target="../ctrlProps/ctrlProp1805.xml"/><Relationship Id="rId35" Type="http://schemas.openxmlformats.org/officeDocument/2006/relationships/ctrlProp" Target="../ctrlProps/ctrlProp1810.xml"/><Relationship Id="rId8" Type="http://schemas.openxmlformats.org/officeDocument/2006/relationships/ctrlProp" Target="../ctrlProps/ctrlProp1783.xml"/><Relationship Id="rId3" Type="http://schemas.openxmlformats.org/officeDocument/2006/relationships/drawing" Target="../drawings/drawing37.xml"/><Relationship Id="rId12" Type="http://schemas.openxmlformats.org/officeDocument/2006/relationships/ctrlProp" Target="../ctrlProps/ctrlProp1787.xml"/><Relationship Id="rId17" Type="http://schemas.openxmlformats.org/officeDocument/2006/relationships/ctrlProp" Target="../ctrlProps/ctrlProp1792.xml"/><Relationship Id="rId25" Type="http://schemas.openxmlformats.org/officeDocument/2006/relationships/ctrlProp" Target="../ctrlProps/ctrlProp1800.xml"/><Relationship Id="rId33" Type="http://schemas.openxmlformats.org/officeDocument/2006/relationships/ctrlProp" Target="../ctrlProps/ctrlProp1808.xml"/><Relationship Id="rId38" Type="http://schemas.openxmlformats.org/officeDocument/2006/relationships/ctrlProp" Target="../ctrlProps/ctrlProp1813.xml"/></Relationships>
</file>

<file path=xl/worksheets/_rels/sheet41.xml.rels><?xml version="1.0" encoding="UTF-8" standalone="yes"?>
<Relationships xmlns="http://schemas.openxmlformats.org/package/2006/relationships"><Relationship Id="rId13" Type="http://schemas.openxmlformats.org/officeDocument/2006/relationships/ctrlProp" Target="../ctrlProps/ctrlProp1825.xml"/><Relationship Id="rId18" Type="http://schemas.openxmlformats.org/officeDocument/2006/relationships/ctrlProp" Target="../ctrlProps/ctrlProp1830.xml"/><Relationship Id="rId26" Type="http://schemas.openxmlformats.org/officeDocument/2006/relationships/ctrlProp" Target="../ctrlProps/ctrlProp1838.xml"/><Relationship Id="rId39" Type="http://schemas.openxmlformats.org/officeDocument/2006/relationships/ctrlProp" Target="../ctrlProps/ctrlProp1851.xml"/><Relationship Id="rId21" Type="http://schemas.openxmlformats.org/officeDocument/2006/relationships/ctrlProp" Target="../ctrlProps/ctrlProp1833.xml"/><Relationship Id="rId34" Type="http://schemas.openxmlformats.org/officeDocument/2006/relationships/ctrlProp" Target="../ctrlProps/ctrlProp1846.xml"/><Relationship Id="rId7" Type="http://schemas.openxmlformats.org/officeDocument/2006/relationships/ctrlProp" Target="../ctrlProps/ctrlProp1819.xml"/><Relationship Id="rId2" Type="http://schemas.openxmlformats.org/officeDocument/2006/relationships/printerSettings" Target="../printerSettings/printerSettings39.bin"/><Relationship Id="rId16" Type="http://schemas.openxmlformats.org/officeDocument/2006/relationships/ctrlProp" Target="../ctrlProps/ctrlProp1828.xml"/><Relationship Id="rId20" Type="http://schemas.openxmlformats.org/officeDocument/2006/relationships/ctrlProp" Target="../ctrlProps/ctrlProp1832.xml"/><Relationship Id="rId29" Type="http://schemas.openxmlformats.org/officeDocument/2006/relationships/ctrlProp" Target="../ctrlProps/ctrlProp1841.xml"/><Relationship Id="rId41" Type="http://schemas.openxmlformats.org/officeDocument/2006/relationships/ctrlProp" Target="../ctrlProps/ctrlProp1853.xml"/><Relationship Id="rId1" Type="http://schemas.openxmlformats.org/officeDocument/2006/relationships/hyperlink" Target="mailto:ivan.waight@bigpond.com" TargetMode="External"/><Relationship Id="rId6" Type="http://schemas.openxmlformats.org/officeDocument/2006/relationships/ctrlProp" Target="../ctrlProps/ctrlProp1818.xml"/><Relationship Id="rId11" Type="http://schemas.openxmlformats.org/officeDocument/2006/relationships/ctrlProp" Target="../ctrlProps/ctrlProp1823.xml"/><Relationship Id="rId24" Type="http://schemas.openxmlformats.org/officeDocument/2006/relationships/ctrlProp" Target="../ctrlProps/ctrlProp1836.xml"/><Relationship Id="rId32" Type="http://schemas.openxmlformats.org/officeDocument/2006/relationships/ctrlProp" Target="../ctrlProps/ctrlProp1844.xml"/><Relationship Id="rId37" Type="http://schemas.openxmlformats.org/officeDocument/2006/relationships/ctrlProp" Target="../ctrlProps/ctrlProp1849.xml"/><Relationship Id="rId40" Type="http://schemas.openxmlformats.org/officeDocument/2006/relationships/ctrlProp" Target="../ctrlProps/ctrlProp1852.xml"/><Relationship Id="rId5" Type="http://schemas.openxmlformats.org/officeDocument/2006/relationships/ctrlProp" Target="../ctrlProps/ctrlProp1817.xml"/><Relationship Id="rId15" Type="http://schemas.openxmlformats.org/officeDocument/2006/relationships/ctrlProp" Target="../ctrlProps/ctrlProp1827.xml"/><Relationship Id="rId23" Type="http://schemas.openxmlformats.org/officeDocument/2006/relationships/ctrlProp" Target="../ctrlProps/ctrlProp1835.xml"/><Relationship Id="rId28" Type="http://schemas.openxmlformats.org/officeDocument/2006/relationships/ctrlProp" Target="../ctrlProps/ctrlProp1840.xml"/><Relationship Id="rId36" Type="http://schemas.openxmlformats.org/officeDocument/2006/relationships/ctrlProp" Target="../ctrlProps/ctrlProp1848.xml"/><Relationship Id="rId10" Type="http://schemas.openxmlformats.org/officeDocument/2006/relationships/ctrlProp" Target="../ctrlProps/ctrlProp1822.xml"/><Relationship Id="rId19" Type="http://schemas.openxmlformats.org/officeDocument/2006/relationships/ctrlProp" Target="../ctrlProps/ctrlProp1831.xml"/><Relationship Id="rId31" Type="http://schemas.openxmlformats.org/officeDocument/2006/relationships/ctrlProp" Target="../ctrlProps/ctrlProp1843.xml"/><Relationship Id="rId4" Type="http://schemas.openxmlformats.org/officeDocument/2006/relationships/vmlDrawing" Target="../drawings/vmlDrawing38.vml"/><Relationship Id="rId9" Type="http://schemas.openxmlformats.org/officeDocument/2006/relationships/ctrlProp" Target="../ctrlProps/ctrlProp1821.xml"/><Relationship Id="rId14" Type="http://schemas.openxmlformats.org/officeDocument/2006/relationships/ctrlProp" Target="../ctrlProps/ctrlProp1826.xml"/><Relationship Id="rId22" Type="http://schemas.openxmlformats.org/officeDocument/2006/relationships/ctrlProp" Target="../ctrlProps/ctrlProp1834.xml"/><Relationship Id="rId27" Type="http://schemas.openxmlformats.org/officeDocument/2006/relationships/ctrlProp" Target="../ctrlProps/ctrlProp1839.xml"/><Relationship Id="rId30" Type="http://schemas.openxmlformats.org/officeDocument/2006/relationships/ctrlProp" Target="../ctrlProps/ctrlProp1842.xml"/><Relationship Id="rId35" Type="http://schemas.openxmlformats.org/officeDocument/2006/relationships/ctrlProp" Target="../ctrlProps/ctrlProp1847.xml"/><Relationship Id="rId8" Type="http://schemas.openxmlformats.org/officeDocument/2006/relationships/ctrlProp" Target="../ctrlProps/ctrlProp1820.xml"/><Relationship Id="rId3" Type="http://schemas.openxmlformats.org/officeDocument/2006/relationships/drawing" Target="../drawings/drawing38.xml"/><Relationship Id="rId12" Type="http://schemas.openxmlformats.org/officeDocument/2006/relationships/ctrlProp" Target="../ctrlProps/ctrlProp1824.xml"/><Relationship Id="rId17" Type="http://schemas.openxmlformats.org/officeDocument/2006/relationships/ctrlProp" Target="../ctrlProps/ctrlProp1829.xml"/><Relationship Id="rId25" Type="http://schemas.openxmlformats.org/officeDocument/2006/relationships/ctrlProp" Target="../ctrlProps/ctrlProp1837.xml"/><Relationship Id="rId33" Type="http://schemas.openxmlformats.org/officeDocument/2006/relationships/ctrlProp" Target="../ctrlProps/ctrlProp1845.xml"/><Relationship Id="rId38" Type="http://schemas.openxmlformats.org/officeDocument/2006/relationships/ctrlProp" Target="../ctrlProps/ctrlProp1850.xml"/></Relationships>
</file>

<file path=xl/worksheets/_rels/sheet42.xml.rels><?xml version="1.0" encoding="UTF-8" standalone="yes"?>
<Relationships xmlns="http://schemas.openxmlformats.org/package/2006/relationships"><Relationship Id="rId13" Type="http://schemas.openxmlformats.org/officeDocument/2006/relationships/ctrlProp" Target="../ctrlProps/ctrlProp1863.xml"/><Relationship Id="rId18" Type="http://schemas.openxmlformats.org/officeDocument/2006/relationships/ctrlProp" Target="../ctrlProps/ctrlProp1868.xml"/><Relationship Id="rId26" Type="http://schemas.openxmlformats.org/officeDocument/2006/relationships/ctrlProp" Target="../ctrlProps/ctrlProp1876.xml"/><Relationship Id="rId39" Type="http://schemas.openxmlformats.org/officeDocument/2006/relationships/ctrlProp" Target="../ctrlProps/ctrlProp1889.xml"/><Relationship Id="rId21" Type="http://schemas.openxmlformats.org/officeDocument/2006/relationships/ctrlProp" Target="../ctrlProps/ctrlProp1871.xml"/><Relationship Id="rId34" Type="http://schemas.openxmlformats.org/officeDocument/2006/relationships/ctrlProp" Target="../ctrlProps/ctrlProp1884.xml"/><Relationship Id="rId7" Type="http://schemas.openxmlformats.org/officeDocument/2006/relationships/ctrlProp" Target="../ctrlProps/ctrlProp1857.xml"/><Relationship Id="rId12" Type="http://schemas.openxmlformats.org/officeDocument/2006/relationships/ctrlProp" Target="../ctrlProps/ctrlProp1862.xml"/><Relationship Id="rId17" Type="http://schemas.openxmlformats.org/officeDocument/2006/relationships/ctrlProp" Target="../ctrlProps/ctrlProp1867.xml"/><Relationship Id="rId25" Type="http://schemas.openxmlformats.org/officeDocument/2006/relationships/ctrlProp" Target="../ctrlProps/ctrlProp1875.xml"/><Relationship Id="rId33" Type="http://schemas.openxmlformats.org/officeDocument/2006/relationships/ctrlProp" Target="../ctrlProps/ctrlProp1883.xml"/><Relationship Id="rId38" Type="http://schemas.openxmlformats.org/officeDocument/2006/relationships/ctrlProp" Target="../ctrlProps/ctrlProp1888.xml"/><Relationship Id="rId2" Type="http://schemas.openxmlformats.org/officeDocument/2006/relationships/drawing" Target="../drawings/drawing39.xml"/><Relationship Id="rId16" Type="http://schemas.openxmlformats.org/officeDocument/2006/relationships/ctrlProp" Target="../ctrlProps/ctrlProp1866.xml"/><Relationship Id="rId20" Type="http://schemas.openxmlformats.org/officeDocument/2006/relationships/ctrlProp" Target="../ctrlProps/ctrlProp1870.xml"/><Relationship Id="rId29" Type="http://schemas.openxmlformats.org/officeDocument/2006/relationships/ctrlProp" Target="../ctrlProps/ctrlProp1879.xml"/><Relationship Id="rId1" Type="http://schemas.openxmlformats.org/officeDocument/2006/relationships/printerSettings" Target="../printerSettings/printerSettings40.bin"/><Relationship Id="rId6" Type="http://schemas.openxmlformats.org/officeDocument/2006/relationships/ctrlProp" Target="../ctrlProps/ctrlProp1856.xml"/><Relationship Id="rId11" Type="http://schemas.openxmlformats.org/officeDocument/2006/relationships/ctrlProp" Target="../ctrlProps/ctrlProp1861.xml"/><Relationship Id="rId24" Type="http://schemas.openxmlformats.org/officeDocument/2006/relationships/ctrlProp" Target="../ctrlProps/ctrlProp1874.xml"/><Relationship Id="rId32" Type="http://schemas.openxmlformats.org/officeDocument/2006/relationships/ctrlProp" Target="../ctrlProps/ctrlProp1882.xml"/><Relationship Id="rId37" Type="http://schemas.openxmlformats.org/officeDocument/2006/relationships/ctrlProp" Target="../ctrlProps/ctrlProp1887.xml"/><Relationship Id="rId40" Type="http://schemas.openxmlformats.org/officeDocument/2006/relationships/ctrlProp" Target="../ctrlProps/ctrlProp1890.xml"/><Relationship Id="rId5" Type="http://schemas.openxmlformats.org/officeDocument/2006/relationships/ctrlProp" Target="../ctrlProps/ctrlProp1855.xml"/><Relationship Id="rId15" Type="http://schemas.openxmlformats.org/officeDocument/2006/relationships/ctrlProp" Target="../ctrlProps/ctrlProp1865.xml"/><Relationship Id="rId23" Type="http://schemas.openxmlformats.org/officeDocument/2006/relationships/ctrlProp" Target="../ctrlProps/ctrlProp1873.xml"/><Relationship Id="rId28" Type="http://schemas.openxmlformats.org/officeDocument/2006/relationships/ctrlProp" Target="../ctrlProps/ctrlProp1878.xml"/><Relationship Id="rId36" Type="http://schemas.openxmlformats.org/officeDocument/2006/relationships/ctrlProp" Target="../ctrlProps/ctrlProp1886.xml"/><Relationship Id="rId10" Type="http://schemas.openxmlformats.org/officeDocument/2006/relationships/ctrlProp" Target="../ctrlProps/ctrlProp1860.xml"/><Relationship Id="rId19" Type="http://schemas.openxmlformats.org/officeDocument/2006/relationships/ctrlProp" Target="../ctrlProps/ctrlProp1869.xml"/><Relationship Id="rId31" Type="http://schemas.openxmlformats.org/officeDocument/2006/relationships/ctrlProp" Target="../ctrlProps/ctrlProp1881.xml"/><Relationship Id="rId4" Type="http://schemas.openxmlformats.org/officeDocument/2006/relationships/ctrlProp" Target="../ctrlProps/ctrlProp1854.xml"/><Relationship Id="rId9" Type="http://schemas.openxmlformats.org/officeDocument/2006/relationships/ctrlProp" Target="../ctrlProps/ctrlProp1859.xml"/><Relationship Id="rId14" Type="http://schemas.openxmlformats.org/officeDocument/2006/relationships/ctrlProp" Target="../ctrlProps/ctrlProp1864.xml"/><Relationship Id="rId22" Type="http://schemas.openxmlformats.org/officeDocument/2006/relationships/ctrlProp" Target="../ctrlProps/ctrlProp1872.xml"/><Relationship Id="rId27" Type="http://schemas.openxmlformats.org/officeDocument/2006/relationships/ctrlProp" Target="../ctrlProps/ctrlProp1877.xml"/><Relationship Id="rId30" Type="http://schemas.openxmlformats.org/officeDocument/2006/relationships/ctrlProp" Target="../ctrlProps/ctrlProp1880.xml"/><Relationship Id="rId35" Type="http://schemas.openxmlformats.org/officeDocument/2006/relationships/ctrlProp" Target="../ctrlProps/ctrlProp1885.xml"/><Relationship Id="rId8" Type="http://schemas.openxmlformats.org/officeDocument/2006/relationships/ctrlProp" Target="../ctrlProps/ctrlProp1858.xml"/><Relationship Id="rId3" Type="http://schemas.openxmlformats.org/officeDocument/2006/relationships/vmlDrawing" Target="../drawings/vmlDrawing39.vml"/></Relationships>
</file>

<file path=xl/worksheets/_rels/sheet43.xml.rels><?xml version="1.0" encoding="UTF-8" standalone="yes"?>
<Relationships xmlns="http://schemas.openxmlformats.org/package/2006/relationships"><Relationship Id="rId13" Type="http://schemas.openxmlformats.org/officeDocument/2006/relationships/ctrlProp" Target="../ctrlProps/ctrlProp1899.xml"/><Relationship Id="rId18" Type="http://schemas.openxmlformats.org/officeDocument/2006/relationships/ctrlProp" Target="../ctrlProps/ctrlProp1904.xml"/><Relationship Id="rId26" Type="http://schemas.openxmlformats.org/officeDocument/2006/relationships/ctrlProp" Target="../ctrlProps/ctrlProp1912.xml"/><Relationship Id="rId39" Type="http://schemas.openxmlformats.org/officeDocument/2006/relationships/ctrlProp" Target="../ctrlProps/ctrlProp1925.xml"/><Relationship Id="rId21" Type="http://schemas.openxmlformats.org/officeDocument/2006/relationships/ctrlProp" Target="../ctrlProps/ctrlProp1907.xml"/><Relationship Id="rId34" Type="http://schemas.openxmlformats.org/officeDocument/2006/relationships/ctrlProp" Target="../ctrlProps/ctrlProp1920.xml"/><Relationship Id="rId7" Type="http://schemas.openxmlformats.org/officeDocument/2006/relationships/ctrlProp" Target="../ctrlProps/ctrlProp1893.xml"/><Relationship Id="rId2" Type="http://schemas.openxmlformats.org/officeDocument/2006/relationships/printerSettings" Target="../printerSettings/printerSettings41.bin"/><Relationship Id="rId16" Type="http://schemas.openxmlformats.org/officeDocument/2006/relationships/ctrlProp" Target="../ctrlProps/ctrlProp1902.xml"/><Relationship Id="rId20" Type="http://schemas.openxmlformats.org/officeDocument/2006/relationships/ctrlProp" Target="../ctrlProps/ctrlProp1906.xml"/><Relationship Id="rId29" Type="http://schemas.openxmlformats.org/officeDocument/2006/relationships/ctrlProp" Target="../ctrlProps/ctrlProp1915.xml"/><Relationship Id="rId41" Type="http://schemas.openxmlformats.org/officeDocument/2006/relationships/ctrlProp" Target="../ctrlProps/ctrlProp1927.xml"/><Relationship Id="rId1" Type="http://schemas.openxmlformats.org/officeDocument/2006/relationships/hyperlink" Target="mailto:bilmah@hotmail.com" TargetMode="External"/><Relationship Id="rId6" Type="http://schemas.openxmlformats.org/officeDocument/2006/relationships/ctrlProp" Target="../ctrlProps/ctrlProp1892.xml"/><Relationship Id="rId11" Type="http://schemas.openxmlformats.org/officeDocument/2006/relationships/ctrlProp" Target="../ctrlProps/ctrlProp1897.xml"/><Relationship Id="rId24" Type="http://schemas.openxmlformats.org/officeDocument/2006/relationships/ctrlProp" Target="../ctrlProps/ctrlProp1910.xml"/><Relationship Id="rId32" Type="http://schemas.openxmlformats.org/officeDocument/2006/relationships/ctrlProp" Target="../ctrlProps/ctrlProp1918.xml"/><Relationship Id="rId37" Type="http://schemas.openxmlformats.org/officeDocument/2006/relationships/ctrlProp" Target="../ctrlProps/ctrlProp1923.xml"/><Relationship Id="rId40" Type="http://schemas.openxmlformats.org/officeDocument/2006/relationships/ctrlProp" Target="../ctrlProps/ctrlProp1926.xml"/><Relationship Id="rId5" Type="http://schemas.openxmlformats.org/officeDocument/2006/relationships/ctrlProp" Target="../ctrlProps/ctrlProp1891.xml"/><Relationship Id="rId15" Type="http://schemas.openxmlformats.org/officeDocument/2006/relationships/ctrlProp" Target="../ctrlProps/ctrlProp1901.xml"/><Relationship Id="rId23" Type="http://schemas.openxmlformats.org/officeDocument/2006/relationships/ctrlProp" Target="../ctrlProps/ctrlProp1909.xml"/><Relationship Id="rId28" Type="http://schemas.openxmlformats.org/officeDocument/2006/relationships/ctrlProp" Target="../ctrlProps/ctrlProp1914.xml"/><Relationship Id="rId36" Type="http://schemas.openxmlformats.org/officeDocument/2006/relationships/ctrlProp" Target="../ctrlProps/ctrlProp1922.xml"/><Relationship Id="rId10" Type="http://schemas.openxmlformats.org/officeDocument/2006/relationships/ctrlProp" Target="../ctrlProps/ctrlProp1896.xml"/><Relationship Id="rId19" Type="http://schemas.openxmlformats.org/officeDocument/2006/relationships/ctrlProp" Target="../ctrlProps/ctrlProp1905.xml"/><Relationship Id="rId31" Type="http://schemas.openxmlformats.org/officeDocument/2006/relationships/ctrlProp" Target="../ctrlProps/ctrlProp1917.xml"/><Relationship Id="rId4" Type="http://schemas.openxmlformats.org/officeDocument/2006/relationships/vmlDrawing" Target="../drawings/vmlDrawing40.vml"/><Relationship Id="rId9" Type="http://schemas.openxmlformats.org/officeDocument/2006/relationships/ctrlProp" Target="../ctrlProps/ctrlProp1895.xml"/><Relationship Id="rId14" Type="http://schemas.openxmlformats.org/officeDocument/2006/relationships/ctrlProp" Target="../ctrlProps/ctrlProp1900.xml"/><Relationship Id="rId22" Type="http://schemas.openxmlformats.org/officeDocument/2006/relationships/ctrlProp" Target="../ctrlProps/ctrlProp1908.xml"/><Relationship Id="rId27" Type="http://schemas.openxmlformats.org/officeDocument/2006/relationships/ctrlProp" Target="../ctrlProps/ctrlProp1913.xml"/><Relationship Id="rId30" Type="http://schemas.openxmlformats.org/officeDocument/2006/relationships/ctrlProp" Target="../ctrlProps/ctrlProp1916.xml"/><Relationship Id="rId35" Type="http://schemas.openxmlformats.org/officeDocument/2006/relationships/ctrlProp" Target="../ctrlProps/ctrlProp1921.xml"/><Relationship Id="rId8" Type="http://schemas.openxmlformats.org/officeDocument/2006/relationships/ctrlProp" Target="../ctrlProps/ctrlProp1894.xml"/><Relationship Id="rId3" Type="http://schemas.openxmlformats.org/officeDocument/2006/relationships/drawing" Target="../drawings/drawing40.xml"/><Relationship Id="rId12" Type="http://schemas.openxmlformats.org/officeDocument/2006/relationships/ctrlProp" Target="../ctrlProps/ctrlProp1898.xml"/><Relationship Id="rId17" Type="http://schemas.openxmlformats.org/officeDocument/2006/relationships/ctrlProp" Target="../ctrlProps/ctrlProp1903.xml"/><Relationship Id="rId25" Type="http://schemas.openxmlformats.org/officeDocument/2006/relationships/ctrlProp" Target="../ctrlProps/ctrlProp1911.xml"/><Relationship Id="rId33" Type="http://schemas.openxmlformats.org/officeDocument/2006/relationships/ctrlProp" Target="../ctrlProps/ctrlProp1919.xml"/><Relationship Id="rId38" Type="http://schemas.openxmlformats.org/officeDocument/2006/relationships/ctrlProp" Target="../ctrlProps/ctrlProp1924.xml"/></Relationships>
</file>

<file path=xl/worksheets/_rels/sheet44.xml.rels><?xml version="1.0" encoding="UTF-8" standalone="yes"?>
<Relationships xmlns="http://schemas.openxmlformats.org/package/2006/relationships"><Relationship Id="rId13" Type="http://schemas.openxmlformats.org/officeDocument/2006/relationships/ctrlProp" Target="../ctrlProps/ctrlProp1937.xml"/><Relationship Id="rId18" Type="http://schemas.openxmlformats.org/officeDocument/2006/relationships/ctrlProp" Target="../ctrlProps/ctrlProp1942.xml"/><Relationship Id="rId26" Type="http://schemas.openxmlformats.org/officeDocument/2006/relationships/ctrlProp" Target="../ctrlProps/ctrlProp1950.xml"/><Relationship Id="rId39" Type="http://schemas.openxmlformats.org/officeDocument/2006/relationships/ctrlProp" Target="../ctrlProps/ctrlProp1963.xml"/><Relationship Id="rId21" Type="http://schemas.openxmlformats.org/officeDocument/2006/relationships/ctrlProp" Target="../ctrlProps/ctrlProp1945.xml"/><Relationship Id="rId34" Type="http://schemas.openxmlformats.org/officeDocument/2006/relationships/ctrlProp" Target="../ctrlProps/ctrlProp1958.xml"/><Relationship Id="rId7" Type="http://schemas.openxmlformats.org/officeDocument/2006/relationships/ctrlProp" Target="../ctrlProps/ctrlProp1931.xml"/><Relationship Id="rId12" Type="http://schemas.openxmlformats.org/officeDocument/2006/relationships/ctrlProp" Target="../ctrlProps/ctrlProp1936.xml"/><Relationship Id="rId17" Type="http://schemas.openxmlformats.org/officeDocument/2006/relationships/ctrlProp" Target="../ctrlProps/ctrlProp1941.xml"/><Relationship Id="rId25" Type="http://schemas.openxmlformats.org/officeDocument/2006/relationships/ctrlProp" Target="../ctrlProps/ctrlProp1949.xml"/><Relationship Id="rId33" Type="http://schemas.openxmlformats.org/officeDocument/2006/relationships/ctrlProp" Target="../ctrlProps/ctrlProp1957.xml"/><Relationship Id="rId38" Type="http://schemas.openxmlformats.org/officeDocument/2006/relationships/ctrlProp" Target="../ctrlProps/ctrlProp1962.xml"/><Relationship Id="rId2" Type="http://schemas.openxmlformats.org/officeDocument/2006/relationships/drawing" Target="../drawings/drawing41.xml"/><Relationship Id="rId16" Type="http://schemas.openxmlformats.org/officeDocument/2006/relationships/ctrlProp" Target="../ctrlProps/ctrlProp1940.xml"/><Relationship Id="rId20" Type="http://schemas.openxmlformats.org/officeDocument/2006/relationships/ctrlProp" Target="../ctrlProps/ctrlProp1944.xml"/><Relationship Id="rId29" Type="http://schemas.openxmlformats.org/officeDocument/2006/relationships/ctrlProp" Target="../ctrlProps/ctrlProp1953.xml"/><Relationship Id="rId1" Type="http://schemas.openxmlformats.org/officeDocument/2006/relationships/printerSettings" Target="../printerSettings/printerSettings42.bin"/><Relationship Id="rId6" Type="http://schemas.openxmlformats.org/officeDocument/2006/relationships/ctrlProp" Target="../ctrlProps/ctrlProp1930.xml"/><Relationship Id="rId11" Type="http://schemas.openxmlformats.org/officeDocument/2006/relationships/ctrlProp" Target="../ctrlProps/ctrlProp1935.xml"/><Relationship Id="rId24" Type="http://schemas.openxmlformats.org/officeDocument/2006/relationships/ctrlProp" Target="../ctrlProps/ctrlProp1948.xml"/><Relationship Id="rId32" Type="http://schemas.openxmlformats.org/officeDocument/2006/relationships/ctrlProp" Target="../ctrlProps/ctrlProp1956.xml"/><Relationship Id="rId37" Type="http://schemas.openxmlformats.org/officeDocument/2006/relationships/ctrlProp" Target="../ctrlProps/ctrlProp1961.xml"/><Relationship Id="rId40" Type="http://schemas.openxmlformats.org/officeDocument/2006/relationships/ctrlProp" Target="../ctrlProps/ctrlProp1964.xml"/><Relationship Id="rId5" Type="http://schemas.openxmlformats.org/officeDocument/2006/relationships/ctrlProp" Target="../ctrlProps/ctrlProp1929.xml"/><Relationship Id="rId15" Type="http://schemas.openxmlformats.org/officeDocument/2006/relationships/ctrlProp" Target="../ctrlProps/ctrlProp1939.xml"/><Relationship Id="rId23" Type="http://schemas.openxmlformats.org/officeDocument/2006/relationships/ctrlProp" Target="../ctrlProps/ctrlProp1947.xml"/><Relationship Id="rId28" Type="http://schemas.openxmlformats.org/officeDocument/2006/relationships/ctrlProp" Target="../ctrlProps/ctrlProp1952.xml"/><Relationship Id="rId36" Type="http://schemas.openxmlformats.org/officeDocument/2006/relationships/ctrlProp" Target="../ctrlProps/ctrlProp1960.xml"/><Relationship Id="rId10" Type="http://schemas.openxmlformats.org/officeDocument/2006/relationships/ctrlProp" Target="../ctrlProps/ctrlProp1934.xml"/><Relationship Id="rId19" Type="http://schemas.openxmlformats.org/officeDocument/2006/relationships/ctrlProp" Target="../ctrlProps/ctrlProp1943.xml"/><Relationship Id="rId31" Type="http://schemas.openxmlformats.org/officeDocument/2006/relationships/ctrlProp" Target="../ctrlProps/ctrlProp1955.xml"/><Relationship Id="rId4" Type="http://schemas.openxmlformats.org/officeDocument/2006/relationships/ctrlProp" Target="../ctrlProps/ctrlProp1928.xml"/><Relationship Id="rId9" Type="http://schemas.openxmlformats.org/officeDocument/2006/relationships/ctrlProp" Target="../ctrlProps/ctrlProp1933.xml"/><Relationship Id="rId14" Type="http://schemas.openxmlformats.org/officeDocument/2006/relationships/ctrlProp" Target="../ctrlProps/ctrlProp1938.xml"/><Relationship Id="rId22" Type="http://schemas.openxmlformats.org/officeDocument/2006/relationships/ctrlProp" Target="../ctrlProps/ctrlProp1946.xml"/><Relationship Id="rId27" Type="http://schemas.openxmlformats.org/officeDocument/2006/relationships/ctrlProp" Target="../ctrlProps/ctrlProp1951.xml"/><Relationship Id="rId30" Type="http://schemas.openxmlformats.org/officeDocument/2006/relationships/ctrlProp" Target="../ctrlProps/ctrlProp1954.xml"/><Relationship Id="rId35" Type="http://schemas.openxmlformats.org/officeDocument/2006/relationships/ctrlProp" Target="../ctrlProps/ctrlProp1959.xml"/><Relationship Id="rId8" Type="http://schemas.openxmlformats.org/officeDocument/2006/relationships/ctrlProp" Target="../ctrlProps/ctrlProp1932.xml"/><Relationship Id="rId3" Type="http://schemas.openxmlformats.org/officeDocument/2006/relationships/vmlDrawing" Target="../drawings/vmlDrawing41.vml"/></Relationships>
</file>

<file path=xl/worksheets/_rels/sheet45.xml.rels><?xml version="1.0" encoding="UTF-8" standalone="yes"?>
<Relationships xmlns="http://schemas.openxmlformats.org/package/2006/relationships"><Relationship Id="rId13" Type="http://schemas.openxmlformats.org/officeDocument/2006/relationships/ctrlProp" Target="../ctrlProps/ctrlProp1973.xml"/><Relationship Id="rId18" Type="http://schemas.openxmlformats.org/officeDocument/2006/relationships/ctrlProp" Target="../ctrlProps/ctrlProp1978.xml"/><Relationship Id="rId26" Type="http://schemas.openxmlformats.org/officeDocument/2006/relationships/ctrlProp" Target="../ctrlProps/ctrlProp1986.xml"/><Relationship Id="rId39" Type="http://schemas.openxmlformats.org/officeDocument/2006/relationships/ctrlProp" Target="../ctrlProps/ctrlProp1999.xml"/><Relationship Id="rId21" Type="http://schemas.openxmlformats.org/officeDocument/2006/relationships/ctrlProp" Target="../ctrlProps/ctrlProp1981.xml"/><Relationship Id="rId34" Type="http://schemas.openxmlformats.org/officeDocument/2006/relationships/ctrlProp" Target="../ctrlProps/ctrlProp1994.xml"/><Relationship Id="rId7" Type="http://schemas.openxmlformats.org/officeDocument/2006/relationships/ctrlProp" Target="../ctrlProps/ctrlProp1967.xml"/><Relationship Id="rId2" Type="http://schemas.openxmlformats.org/officeDocument/2006/relationships/printerSettings" Target="../printerSettings/printerSettings43.bin"/><Relationship Id="rId16" Type="http://schemas.openxmlformats.org/officeDocument/2006/relationships/ctrlProp" Target="../ctrlProps/ctrlProp1976.xml"/><Relationship Id="rId20" Type="http://schemas.openxmlformats.org/officeDocument/2006/relationships/ctrlProp" Target="../ctrlProps/ctrlProp1980.xml"/><Relationship Id="rId29" Type="http://schemas.openxmlformats.org/officeDocument/2006/relationships/ctrlProp" Target="../ctrlProps/ctrlProp1989.xml"/><Relationship Id="rId41" Type="http://schemas.openxmlformats.org/officeDocument/2006/relationships/ctrlProp" Target="../ctrlProps/ctrlProp2001.xml"/><Relationship Id="rId1" Type="http://schemas.openxmlformats.org/officeDocument/2006/relationships/hyperlink" Target="mailto:bbrooka@hotmail.com" TargetMode="External"/><Relationship Id="rId6" Type="http://schemas.openxmlformats.org/officeDocument/2006/relationships/ctrlProp" Target="../ctrlProps/ctrlProp1966.xml"/><Relationship Id="rId11" Type="http://schemas.openxmlformats.org/officeDocument/2006/relationships/ctrlProp" Target="../ctrlProps/ctrlProp1971.xml"/><Relationship Id="rId24" Type="http://schemas.openxmlformats.org/officeDocument/2006/relationships/ctrlProp" Target="../ctrlProps/ctrlProp1984.xml"/><Relationship Id="rId32" Type="http://schemas.openxmlformats.org/officeDocument/2006/relationships/ctrlProp" Target="../ctrlProps/ctrlProp1992.xml"/><Relationship Id="rId37" Type="http://schemas.openxmlformats.org/officeDocument/2006/relationships/ctrlProp" Target="../ctrlProps/ctrlProp1997.xml"/><Relationship Id="rId40" Type="http://schemas.openxmlformats.org/officeDocument/2006/relationships/ctrlProp" Target="../ctrlProps/ctrlProp2000.xml"/><Relationship Id="rId5" Type="http://schemas.openxmlformats.org/officeDocument/2006/relationships/ctrlProp" Target="../ctrlProps/ctrlProp1965.xml"/><Relationship Id="rId15" Type="http://schemas.openxmlformats.org/officeDocument/2006/relationships/ctrlProp" Target="../ctrlProps/ctrlProp1975.xml"/><Relationship Id="rId23" Type="http://schemas.openxmlformats.org/officeDocument/2006/relationships/ctrlProp" Target="../ctrlProps/ctrlProp1983.xml"/><Relationship Id="rId28" Type="http://schemas.openxmlformats.org/officeDocument/2006/relationships/ctrlProp" Target="../ctrlProps/ctrlProp1988.xml"/><Relationship Id="rId36" Type="http://schemas.openxmlformats.org/officeDocument/2006/relationships/ctrlProp" Target="../ctrlProps/ctrlProp1996.xml"/><Relationship Id="rId10" Type="http://schemas.openxmlformats.org/officeDocument/2006/relationships/ctrlProp" Target="../ctrlProps/ctrlProp1970.xml"/><Relationship Id="rId19" Type="http://schemas.openxmlformats.org/officeDocument/2006/relationships/ctrlProp" Target="../ctrlProps/ctrlProp1979.xml"/><Relationship Id="rId31" Type="http://schemas.openxmlformats.org/officeDocument/2006/relationships/ctrlProp" Target="../ctrlProps/ctrlProp1991.xml"/><Relationship Id="rId4" Type="http://schemas.openxmlformats.org/officeDocument/2006/relationships/vmlDrawing" Target="../drawings/vmlDrawing42.vml"/><Relationship Id="rId9" Type="http://schemas.openxmlformats.org/officeDocument/2006/relationships/ctrlProp" Target="../ctrlProps/ctrlProp1969.xml"/><Relationship Id="rId14" Type="http://schemas.openxmlformats.org/officeDocument/2006/relationships/ctrlProp" Target="../ctrlProps/ctrlProp1974.xml"/><Relationship Id="rId22" Type="http://schemas.openxmlformats.org/officeDocument/2006/relationships/ctrlProp" Target="../ctrlProps/ctrlProp1982.xml"/><Relationship Id="rId27" Type="http://schemas.openxmlformats.org/officeDocument/2006/relationships/ctrlProp" Target="../ctrlProps/ctrlProp1987.xml"/><Relationship Id="rId30" Type="http://schemas.openxmlformats.org/officeDocument/2006/relationships/ctrlProp" Target="../ctrlProps/ctrlProp1990.xml"/><Relationship Id="rId35" Type="http://schemas.openxmlformats.org/officeDocument/2006/relationships/ctrlProp" Target="../ctrlProps/ctrlProp1995.xml"/><Relationship Id="rId8" Type="http://schemas.openxmlformats.org/officeDocument/2006/relationships/ctrlProp" Target="../ctrlProps/ctrlProp1968.xml"/><Relationship Id="rId3" Type="http://schemas.openxmlformats.org/officeDocument/2006/relationships/drawing" Target="../drawings/drawing42.xml"/><Relationship Id="rId12" Type="http://schemas.openxmlformats.org/officeDocument/2006/relationships/ctrlProp" Target="../ctrlProps/ctrlProp1972.xml"/><Relationship Id="rId17" Type="http://schemas.openxmlformats.org/officeDocument/2006/relationships/ctrlProp" Target="../ctrlProps/ctrlProp1977.xml"/><Relationship Id="rId25" Type="http://schemas.openxmlformats.org/officeDocument/2006/relationships/ctrlProp" Target="../ctrlProps/ctrlProp1985.xml"/><Relationship Id="rId33" Type="http://schemas.openxmlformats.org/officeDocument/2006/relationships/ctrlProp" Target="../ctrlProps/ctrlProp1993.xml"/><Relationship Id="rId38" Type="http://schemas.openxmlformats.org/officeDocument/2006/relationships/ctrlProp" Target="../ctrlProps/ctrlProp1998.xml"/></Relationships>
</file>

<file path=xl/worksheets/_rels/sheet46.xml.rels><?xml version="1.0" encoding="UTF-8" standalone="yes"?>
<Relationships xmlns="http://schemas.openxmlformats.org/package/2006/relationships"><Relationship Id="rId13" Type="http://schemas.openxmlformats.org/officeDocument/2006/relationships/ctrlProp" Target="../ctrlProps/ctrlProp2011.xml"/><Relationship Id="rId18" Type="http://schemas.openxmlformats.org/officeDocument/2006/relationships/ctrlProp" Target="../ctrlProps/ctrlProp2016.xml"/><Relationship Id="rId26" Type="http://schemas.openxmlformats.org/officeDocument/2006/relationships/ctrlProp" Target="../ctrlProps/ctrlProp2024.xml"/><Relationship Id="rId39" Type="http://schemas.openxmlformats.org/officeDocument/2006/relationships/ctrlProp" Target="../ctrlProps/ctrlProp2037.xml"/><Relationship Id="rId21" Type="http://schemas.openxmlformats.org/officeDocument/2006/relationships/ctrlProp" Target="../ctrlProps/ctrlProp2019.xml"/><Relationship Id="rId34" Type="http://schemas.openxmlformats.org/officeDocument/2006/relationships/ctrlProp" Target="../ctrlProps/ctrlProp2032.xml"/><Relationship Id="rId7" Type="http://schemas.openxmlformats.org/officeDocument/2006/relationships/ctrlProp" Target="../ctrlProps/ctrlProp2005.xml"/><Relationship Id="rId12" Type="http://schemas.openxmlformats.org/officeDocument/2006/relationships/ctrlProp" Target="../ctrlProps/ctrlProp2010.xml"/><Relationship Id="rId17" Type="http://schemas.openxmlformats.org/officeDocument/2006/relationships/ctrlProp" Target="../ctrlProps/ctrlProp2015.xml"/><Relationship Id="rId25" Type="http://schemas.openxmlformats.org/officeDocument/2006/relationships/ctrlProp" Target="../ctrlProps/ctrlProp2023.xml"/><Relationship Id="rId33" Type="http://schemas.openxmlformats.org/officeDocument/2006/relationships/ctrlProp" Target="../ctrlProps/ctrlProp2031.xml"/><Relationship Id="rId38" Type="http://schemas.openxmlformats.org/officeDocument/2006/relationships/ctrlProp" Target="../ctrlProps/ctrlProp2036.xml"/><Relationship Id="rId2" Type="http://schemas.openxmlformats.org/officeDocument/2006/relationships/drawing" Target="../drawings/drawing43.xml"/><Relationship Id="rId16" Type="http://schemas.openxmlformats.org/officeDocument/2006/relationships/ctrlProp" Target="../ctrlProps/ctrlProp2014.xml"/><Relationship Id="rId20" Type="http://schemas.openxmlformats.org/officeDocument/2006/relationships/ctrlProp" Target="../ctrlProps/ctrlProp2018.xml"/><Relationship Id="rId29" Type="http://schemas.openxmlformats.org/officeDocument/2006/relationships/ctrlProp" Target="../ctrlProps/ctrlProp2027.xml"/><Relationship Id="rId1" Type="http://schemas.openxmlformats.org/officeDocument/2006/relationships/printerSettings" Target="../printerSettings/printerSettings44.bin"/><Relationship Id="rId6" Type="http://schemas.openxmlformats.org/officeDocument/2006/relationships/ctrlProp" Target="../ctrlProps/ctrlProp2004.xml"/><Relationship Id="rId11" Type="http://schemas.openxmlformats.org/officeDocument/2006/relationships/ctrlProp" Target="../ctrlProps/ctrlProp2009.xml"/><Relationship Id="rId24" Type="http://schemas.openxmlformats.org/officeDocument/2006/relationships/ctrlProp" Target="../ctrlProps/ctrlProp2022.xml"/><Relationship Id="rId32" Type="http://schemas.openxmlformats.org/officeDocument/2006/relationships/ctrlProp" Target="../ctrlProps/ctrlProp2030.xml"/><Relationship Id="rId37" Type="http://schemas.openxmlformats.org/officeDocument/2006/relationships/ctrlProp" Target="../ctrlProps/ctrlProp2035.xml"/><Relationship Id="rId40" Type="http://schemas.openxmlformats.org/officeDocument/2006/relationships/ctrlProp" Target="../ctrlProps/ctrlProp2038.xml"/><Relationship Id="rId5" Type="http://schemas.openxmlformats.org/officeDocument/2006/relationships/ctrlProp" Target="../ctrlProps/ctrlProp2003.xml"/><Relationship Id="rId15" Type="http://schemas.openxmlformats.org/officeDocument/2006/relationships/ctrlProp" Target="../ctrlProps/ctrlProp2013.xml"/><Relationship Id="rId23" Type="http://schemas.openxmlformats.org/officeDocument/2006/relationships/ctrlProp" Target="../ctrlProps/ctrlProp2021.xml"/><Relationship Id="rId28" Type="http://schemas.openxmlformats.org/officeDocument/2006/relationships/ctrlProp" Target="../ctrlProps/ctrlProp2026.xml"/><Relationship Id="rId36" Type="http://schemas.openxmlformats.org/officeDocument/2006/relationships/ctrlProp" Target="../ctrlProps/ctrlProp2034.xml"/><Relationship Id="rId10" Type="http://schemas.openxmlformats.org/officeDocument/2006/relationships/ctrlProp" Target="../ctrlProps/ctrlProp2008.xml"/><Relationship Id="rId19" Type="http://schemas.openxmlformats.org/officeDocument/2006/relationships/ctrlProp" Target="../ctrlProps/ctrlProp2017.xml"/><Relationship Id="rId31" Type="http://schemas.openxmlformats.org/officeDocument/2006/relationships/ctrlProp" Target="../ctrlProps/ctrlProp2029.xml"/><Relationship Id="rId4" Type="http://schemas.openxmlformats.org/officeDocument/2006/relationships/ctrlProp" Target="../ctrlProps/ctrlProp2002.xml"/><Relationship Id="rId9" Type="http://schemas.openxmlformats.org/officeDocument/2006/relationships/ctrlProp" Target="../ctrlProps/ctrlProp2007.xml"/><Relationship Id="rId14" Type="http://schemas.openxmlformats.org/officeDocument/2006/relationships/ctrlProp" Target="../ctrlProps/ctrlProp2012.xml"/><Relationship Id="rId22" Type="http://schemas.openxmlformats.org/officeDocument/2006/relationships/ctrlProp" Target="../ctrlProps/ctrlProp2020.xml"/><Relationship Id="rId27" Type="http://schemas.openxmlformats.org/officeDocument/2006/relationships/ctrlProp" Target="../ctrlProps/ctrlProp2025.xml"/><Relationship Id="rId30" Type="http://schemas.openxmlformats.org/officeDocument/2006/relationships/ctrlProp" Target="../ctrlProps/ctrlProp2028.xml"/><Relationship Id="rId35" Type="http://schemas.openxmlformats.org/officeDocument/2006/relationships/ctrlProp" Target="../ctrlProps/ctrlProp2033.xml"/><Relationship Id="rId8" Type="http://schemas.openxmlformats.org/officeDocument/2006/relationships/ctrlProp" Target="../ctrlProps/ctrlProp2006.xml"/><Relationship Id="rId3" Type="http://schemas.openxmlformats.org/officeDocument/2006/relationships/vmlDrawing" Target="../drawings/vmlDrawing43.vml"/></Relationships>
</file>

<file path=xl/worksheets/_rels/sheet47.xml.rels><?xml version="1.0" encoding="UTF-8" standalone="yes"?>
<Relationships xmlns="http://schemas.openxmlformats.org/package/2006/relationships"><Relationship Id="rId13" Type="http://schemas.openxmlformats.org/officeDocument/2006/relationships/ctrlProp" Target="../ctrlProps/ctrlProp2048.xml"/><Relationship Id="rId18" Type="http://schemas.openxmlformats.org/officeDocument/2006/relationships/ctrlProp" Target="../ctrlProps/ctrlProp2053.xml"/><Relationship Id="rId26" Type="http://schemas.openxmlformats.org/officeDocument/2006/relationships/ctrlProp" Target="../ctrlProps/ctrlProp2061.xml"/><Relationship Id="rId39" Type="http://schemas.openxmlformats.org/officeDocument/2006/relationships/ctrlProp" Target="../ctrlProps/ctrlProp2074.xml"/><Relationship Id="rId21" Type="http://schemas.openxmlformats.org/officeDocument/2006/relationships/ctrlProp" Target="../ctrlProps/ctrlProp2056.xml"/><Relationship Id="rId34" Type="http://schemas.openxmlformats.org/officeDocument/2006/relationships/ctrlProp" Target="../ctrlProps/ctrlProp2069.xml"/><Relationship Id="rId7" Type="http://schemas.openxmlformats.org/officeDocument/2006/relationships/ctrlProp" Target="../ctrlProps/ctrlProp2042.xml"/><Relationship Id="rId12" Type="http://schemas.openxmlformats.org/officeDocument/2006/relationships/ctrlProp" Target="../ctrlProps/ctrlProp2047.xml"/><Relationship Id="rId17" Type="http://schemas.openxmlformats.org/officeDocument/2006/relationships/ctrlProp" Target="../ctrlProps/ctrlProp2052.xml"/><Relationship Id="rId25" Type="http://schemas.openxmlformats.org/officeDocument/2006/relationships/ctrlProp" Target="../ctrlProps/ctrlProp2060.xml"/><Relationship Id="rId33" Type="http://schemas.openxmlformats.org/officeDocument/2006/relationships/ctrlProp" Target="../ctrlProps/ctrlProp2068.xml"/><Relationship Id="rId38" Type="http://schemas.openxmlformats.org/officeDocument/2006/relationships/ctrlProp" Target="../ctrlProps/ctrlProp2073.xml"/><Relationship Id="rId2" Type="http://schemas.openxmlformats.org/officeDocument/2006/relationships/drawing" Target="../drawings/drawing44.xml"/><Relationship Id="rId16" Type="http://schemas.openxmlformats.org/officeDocument/2006/relationships/ctrlProp" Target="../ctrlProps/ctrlProp2051.xml"/><Relationship Id="rId20" Type="http://schemas.openxmlformats.org/officeDocument/2006/relationships/ctrlProp" Target="../ctrlProps/ctrlProp2055.xml"/><Relationship Id="rId29" Type="http://schemas.openxmlformats.org/officeDocument/2006/relationships/ctrlProp" Target="../ctrlProps/ctrlProp2064.xml"/><Relationship Id="rId1" Type="http://schemas.openxmlformats.org/officeDocument/2006/relationships/printerSettings" Target="../printerSettings/printerSettings45.bin"/><Relationship Id="rId6" Type="http://schemas.openxmlformats.org/officeDocument/2006/relationships/ctrlProp" Target="../ctrlProps/ctrlProp2041.xml"/><Relationship Id="rId11" Type="http://schemas.openxmlformats.org/officeDocument/2006/relationships/ctrlProp" Target="../ctrlProps/ctrlProp2046.xml"/><Relationship Id="rId24" Type="http://schemas.openxmlformats.org/officeDocument/2006/relationships/ctrlProp" Target="../ctrlProps/ctrlProp2059.xml"/><Relationship Id="rId32" Type="http://schemas.openxmlformats.org/officeDocument/2006/relationships/ctrlProp" Target="../ctrlProps/ctrlProp2067.xml"/><Relationship Id="rId37" Type="http://schemas.openxmlformats.org/officeDocument/2006/relationships/ctrlProp" Target="../ctrlProps/ctrlProp2072.xml"/><Relationship Id="rId40" Type="http://schemas.openxmlformats.org/officeDocument/2006/relationships/ctrlProp" Target="../ctrlProps/ctrlProp2075.xml"/><Relationship Id="rId5" Type="http://schemas.openxmlformats.org/officeDocument/2006/relationships/ctrlProp" Target="../ctrlProps/ctrlProp2040.xml"/><Relationship Id="rId15" Type="http://schemas.openxmlformats.org/officeDocument/2006/relationships/ctrlProp" Target="../ctrlProps/ctrlProp2050.xml"/><Relationship Id="rId23" Type="http://schemas.openxmlformats.org/officeDocument/2006/relationships/ctrlProp" Target="../ctrlProps/ctrlProp2058.xml"/><Relationship Id="rId28" Type="http://schemas.openxmlformats.org/officeDocument/2006/relationships/ctrlProp" Target="../ctrlProps/ctrlProp2063.xml"/><Relationship Id="rId36" Type="http://schemas.openxmlformats.org/officeDocument/2006/relationships/ctrlProp" Target="../ctrlProps/ctrlProp2071.xml"/><Relationship Id="rId10" Type="http://schemas.openxmlformats.org/officeDocument/2006/relationships/ctrlProp" Target="../ctrlProps/ctrlProp2045.xml"/><Relationship Id="rId19" Type="http://schemas.openxmlformats.org/officeDocument/2006/relationships/ctrlProp" Target="../ctrlProps/ctrlProp2054.xml"/><Relationship Id="rId31" Type="http://schemas.openxmlformats.org/officeDocument/2006/relationships/ctrlProp" Target="../ctrlProps/ctrlProp2066.xml"/><Relationship Id="rId4" Type="http://schemas.openxmlformats.org/officeDocument/2006/relationships/ctrlProp" Target="../ctrlProps/ctrlProp2039.xml"/><Relationship Id="rId9" Type="http://schemas.openxmlformats.org/officeDocument/2006/relationships/ctrlProp" Target="../ctrlProps/ctrlProp2044.xml"/><Relationship Id="rId14" Type="http://schemas.openxmlformats.org/officeDocument/2006/relationships/ctrlProp" Target="../ctrlProps/ctrlProp2049.xml"/><Relationship Id="rId22" Type="http://schemas.openxmlformats.org/officeDocument/2006/relationships/ctrlProp" Target="../ctrlProps/ctrlProp2057.xml"/><Relationship Id="rId27" Type="http://schemas.openxmlformats.org/officeDocument/2006/relationships/ctrlProp" Target="../ctrlProps/ctrlProp2062.xml"/><Relationship Id="rId30" Type="http://schemas.openxmlformats.org/officeDocument/2006/relationships/ctrlProp" Target="../ctrlProps/ctrlProp2065.xml"/><Relationship Id="rId35" Type="http://schemas.openxmlformats.org/officeDocument/2006/relationships/ctrlProp" Target="../ctrlProps/ctrlProp2070.xml"/><Relationship Id="rId8" Type="http://schemas.openxmlformats.org/officeDocument/2006/relationships/ctrlProp" Target="../ctrlProps/ctrlProp2043.xml"/><Relationship Id="rId3" Type="http://schemas.openxmlformats.org/officeDocument/2006/relationships/vmlDrawing" Target="../drawings/vmlDrawing44.vml"/></Relationships>
</file>

<file path=xl/worksheets/_rels/sheet48.xml.rels><?xml version="1.0" encoding="UTF-8" standalone="yes"?>
<Relationships xmlns="http://schemas.openxmlformats.org/package/2006/relationships"><Relationship Id="rId13" Type="http://schemas.openxmlformats.org/officeDocument/2006/relationships/ctrlProp" Target="../ctrlProps/ctrlProp2085.xml"/><Relationship Id="rId18" Type="http://schemas.openxmlformats.org/officeDocument/2006/relationships/ctrlProp" Target="../ctrlProps/ctrlProp2090.xml"/><Relationship Id="rId26" Type="http://schemas.openxmlformats.org/officeDocument/2006/relationships/ctrlProp" Target="../ctrlProps/ctrlProp2098.xml"/><Relationship Id="rId39" Type="http://schemas.openxmlformats.org/officeDocument/2006/relationships/ctrlProp" Target="../ctrlProps/ctrlProp2111.xml"/><Relationship Id="rId21" Type="http://schemas.openxmlformats.org/officeDocument/2006/relationships/ctrlProp" Target="../ctrlProps/ctrlProp2093.xml"/><Relationship Id="rId34" Type="http://schemas.openxmlformats.org/officeDocument/2006/relationships/ctrlProp" Target="../ctrlProps/ctrlProp2106.xml"/><Relationship Id="rId7" Type="http://schemas.openxmlformats.org/officeDocument/2006/relationships/ctrlProp" Target="../ctrlProps/ctrlProp2079.xml"/><Relationship Id="rId12" Type="http://schemas.openxmlformats.org/officeDocument/2006/relationships/ctrlProp" Target="../ctrlProps/ctrlProp2084.xml"/><Relationship Id="rId17" Type="http://schemas.openxmlformats.org/officeDocument/2006/relationships/ctrlProp" Target="../ctrlProps/ctrlProp2089.xml"/><Relationship Id="rId25" Type="http://schemas.openxmlformats.org/officeDocument/2006/relationships/ctrlProp" Target="../ctrlProps/ctrlProp2097.xml"/><Relationship Id="rId33" Type="http://schemas.openxmlformats.org/officeDocument/2006/relationships/ctrlProp" Target="../ctrlProps/ctrlProp2105.xml"/><Relationship Id="rId38" Type="http://schemas.openxmlformats.org/officeDocument/2006/relationships/ctrlProp" Target="../ctrlProps/ctrlProp2110.xml"/><Relationship Id="rId2" Type="http://schemas.openxmlformats.org/officeDocument/2006/relationships/drawing" Target="../drawings/drawing45.xml"/><Relationship Id="rId16" Type="http://schemas.openxmlformats.org/officeDocument/2006/relationships/ctrlProp" Target="../ctrlProps/ctrlProp2088.xml"/><Relationship Id="rId20" Type="http://schemas.openxmlformats.org/officeDocument/2006/relationships/ctrlProp" Target="../ctrlProps/ctrlProp2092.xml"/><Relationship Id="rId29" Type="http://schemas.openxmlformats.org/officeDocument/2006/relationships/ctrlProp" Target="../ctrlProps/ctrlProp2101.xml"/><Relationship Id="rId1" Type="http://schemas.openxmlformats.org/officeDocument/2006/relationships/printerSettings" Target="../printerSettings/printerSettings46.bin"/><Relationship Id="rId6" Type="http://schemas.openxmlformats.org/officeDocument/2006/relationships/ctrlProp" Target="../ctrlProps/ctrlProp2078.xml"/><Relationship Id="rId11" Type="http://schemas.openxmlformats.org/officeDocument/2006/relationships/ctrlProp" Target="../ctrlProps/ctrlProp2083.xml"/><Relationship Id="rId24" Type="http://schemas.openxmlformats.org/officeDocument/2006/relationships/ctrlProp" Target="../ctrlProps/ctrlProp2096.xml"/><Relationship Id="rId32" Type="http://schemas.openxmlformats.org/officeDocument/2006/relationships/ctrlProp" Target="../ctrlProps/ctrlProp2104.xml"/><Relationship Id="rId37" Type="http://schemas.openxmlformats.org/officeDocument/2006/relationships/ctrlProp" Target="../ctrlProps/ctrlProp2109.xml"/><Relationship Id="rId40" Type="http://schemas.openxmlformats.org/officeDocument/2006/relationships/ctrlProp" Target="../ctrlProps/ctrlProp2112.xml"/><Relationship Id="rId5" Type="http://schemas.openxmlformats.org/officeDocument/2006/relationships/ctrlProp" Target="../ctrlProps/ctrlProp2077.xml"/><Relationship Id="rId15" Type="http://schemas.openxmlformats.org/officeDocument/2006/relationships/ctrlProp" Target="../ctrlProps/ctrlProp2087.xml"/><Relationship Id="rId23" Type="http://schemas.openxmlformats.org/officeDocument/2006/relationships/ctrlProp" Target="../ctrlProps/ctrlProp2095.xml"/><Relationship Id="rId28" Type="http://schemas.openxmlformats.org/officeDocument/2006/relationships/ctrlProp" Target="../ctrlProps/ctrlProp2100.xml"/><Relationship Id="rId36" Type="http://schemas.openxmlformats.org/officeDocument/2006/relationships/ctrlProp" Target="../ctrlProps/ctrlProp2108.xml"/><Relationship Id="rId10" Type="http://schemas.openxmlformats.org/officeDocument/2006/relationships/ctrlProp" Target="../ctrlProps/ctrlProp2082.xml"/><Relationship Id="rId19" Type="http://schemas.openxmlformats.org/officeDocument/2006/relationships/ctrlProp" Target="../ctrlProps/ctrlProp2091.xml"/><Relationship Id="rId31" Type="http://schemas.openxmlformats.org/officeDocument/2006/relationships/ctrlProp" Target="../ctrlProps/ctrlProp2103.xml"/><Relationship Id="rId4" Type="http://schemas.openxmlformats.org/officeDocument/2006/relationships/ctrlProp" Target="../ctrlProps/ctrlProp2076.xml"/><Relationship Id="rId9" Type="http://schemas.openxmlformats.org/officeDocument/2006/relationships/ctrlProp" Target="../ctrlProps/ctrlProp2081.xml"/><Relationship Id="rId14" Type="http://schemas.openxmlformats.org/officeDocument/2006/relationships/ctrlProp" Target="../ctrlProps/ctrlProp2086.xml"/><Relationship Id="rId22" Type="http://schemas.openxmlformats.org/officeDocument/2006/relationships/ctrlProp" Target="../ctrlProps/ctrlProp2094.xml"/><Relationship Id="rId27" Type="http://schemas.openxmlformats.org/officeDocument/2006/relationships/ctrlProp" Target="../ctrlProps/ctrlProp2099.xml"/><Relationship Id="rId30" Type="http://schemas.openxmlformats.org/officeDocument/2006/relationships/ctrlProp" Target="../ctrlProps/ctrlProp2102.xml"/><Relationship Id="rId35" Type="http://schemas.openxmlformats.org/officeDocument/2006/relationships/ctrlProp" Target="../ctrlProps/ctrlProp2107.xml"/><Relationship Id="rId8" Type="http://schemas.openxmlformats.org/officeDocument/2006/relationships/ctrlProp" Target="../ctrlProps/ctrlProp2080.xml"/><Relationship Id="rId3" Type="http://schemas.openxmlformats.org/officeDocument/2006/relationships/vmlDrawing" Target="../drawings/vmlDrawing45.vml"/></Relationships>
</file>

<file path=xl/worksheets/_rels/sheet49.xml.rels><?xml version="1.0" encoding="UTF-8" standalone="yes"?>
<Relationships xmlns="http://schemas.openxmlformats.org/package/2006/relationships"><Relationship Id="rId13" Type="http://schemas.openxmlformats.org/officeDocument/2006/relationships/ctrlProp" Target="../ctrlProps/ctrlProp2122.xml"/><Relationship Id="rId18" Type="http://schemas.openxmlformats.org/officeDocument/2006/relationships/ctrlProp" Target="../ctrlProps/ctrlProp2127.xml"/><Relationship Id="rId26" Type="http://schemas.openxmlformats.org/officeDocument/2006/relationships/ctrlProp" Target="../ctrlProps/ctrlProp2135.xml"/><Relationship Id="rId39" Type="http://schemas.openxmlformats.org/officeDocument/2006/relationships/ctrlProp" Target="../ctrlProps/ctrlProp2148.xml"/><Relationship Id="rId21" Type="http://schemas.openxmlformats.org/officeDocument/2006/relationships/ctrlProp" Target="../ctrlProps/ctrlProp2130.xml"/><Relationship Id="rId34" Type="http://schemas.openxmlformats.org/officeDocument/2006/relationships/ctrlProp" Target="../ctrlProps/ctrlProp2143.xml"/><Relationship Id="rId7" Type="http://schemas.openxmlformats.org/officeDocument/2006/relationships/ctrlProp" Target="../ctrlProps/ctrlProp2116.xml"/><Relationship Id="rId12" Type="http://schemas.openxmlformats.org/officeDocument/2006/relationships/ctrlProp" Target="../ctrlProps/ctrlProp2121.xml"/><Relationship Id="rId17" Type="http://schemas.openxmlformats.org/officeDocument/2006/relationships/ctrlProp" Target="../ctrlProps/ctrlProp2126.xml"/><Relationship Id="rId25" Type="http://schemas.openxmlformats.org/officeDocument/2006/relationships/ctrlProp" Target="../ctrlProps/ctrlProp2134.xml"/><Relationship Id="rId33" Type="http://schemas.openxmlformats.org/officeDocument/2006/relationships/ctrlProp" Target="../ctrlProps/ctrlProp2142.xml"/><Relationship Id="rId38" Type="http://schemas.openxmlformats.org/officeDocument/2006/relationships/ctrlProp" Target="../ctrlProps/ctrlProp2147.xml"/><Relationship Id="rId2" Type="http://schemas.openxmlformats.org/officeDocument/2006/relationships/drawing" Target="../drawings/drawing46.xml"/><Relationship Id="rId16" Type="http://schemas.openxmlformats.org/officeDocument/2006/relationships/ctrlProp" Target="../ctrlProps/ctrlProp2125.xml"/><Relationship Id="rId20" Type="http://schemas.openxmlformats.org/officeDocument/2006/relationships/ctrlProp" Target="../ctrlProps/ctrlProp2129.xml"/><Relationship Id="rId29" Type="http://schemas.openxmlformats.org/officeDocument/2006/relationships/ctrlProp" Target="../ctrlProps/ctrlProp2138.xml"/><Relationship Id="rId1" Type="http://schemas.openxmlformats.org/officeDocument/2006/relationships/printerSettings" Target="../printerSettings/printerSettings47.bin"/><Relationship Id="rId6" Type="http://schemas.openxmlformats.org/officeDocument/2006/relationships/ctrlProp" Target="../ctrlProps/ctrlProp2115.xml"/><Relationship Id="rId11" Type="http://schemas.openxmlformats.org/officeDocument/2006/relationships/ctrlProp" Target="../ctrlProps/ctrlProp2120.xml"/><Relationship Id="rId24" Type="http://schemas.openxmlformats.org/officeDocument/2006/relationships/ctrlProp" Target="../ctrlProps/ctrlProp2133.xml"/><Relationship Id="rId32" Type="http://schemas.openxmlformats.org/officeDocument/2006/relationships/ctrlProp" Target="../ctrlProps/ctrlProp2141.xml"/><Relationship Id="rId37" Type="http://schemas.openxmlformats.org/officeDocument/2006/relationships/ctrlProp" Target="../ctrlProps/ctrlProp2146.xml"/><Relationship Id="rId40" Type="http://schemas.openxmlformats.org/officeDocument/2006/relationships/ctrlProp" Target="../ctrlProps/ctrlProp2149.xml"/><Relationship Id="rId5" Type="http://schemas.openxmlformats.org/officeDocument/2006/relationships/ctrlProp" Target="../ctrlProps/ctrlProp2114.xml"/><Relationship Id="rId15" Type="http://schemas.openxmlformats.org/officeDocument/2006/relationships/ctrlProp" Target="../ctrlProps/ctrlProp2124.xml"/><Relationship Id="rId23" Type="http://schemas.openxmlformats.org/officeDocument/2006/relationships/ctrlProp" Target="../ctrlProps/ctrlProp2132.xml"/><Relationship Id="rId28" Type="http://schemas.openxmlformats.org/officeDocument/2006/relationships/ctrlProp" Target="../ctrlProps/ctrlProp2137.xml"/><Relationship Id="rId36" Type="http://schemas.openxmlformats.org/officeDocument/2006/relationships/ctrlProp" Target="../ctrlProps/ctrlProp2145.xml"/><Relationship Id="rId10" Type="http://schemas.openxmlformats.org/officeDocument/2006/relationships/ctrlProp" Target="../ctrlProps/ctrlProp2119.xml"/><Relationship Id="rId19" Type="http://schemas.openxmlformats.org/officeDocument/2006/relationships/ctrlProp" Target="../ctrlProps/ctrlProp2128.xml"/><Relationship Id="rId31" Type="http://schemas.openxmlformats.org/officeDocument/2006/relationships/ctrlProp" Target="../ctrlProps/ctrlProp2140.xml"/><Relationship Id="rId4" Type="http://schemas.openxmlformats.org/officeDocument/2006/relationships/ctrlProp" Target="../ctrlProps/ctrlProp2113.xml"/><Relationship Id="rId9" Type="http://schemas.openxmlformats.org/officeDocument/2006/relationships/ctrlProp" Target="../ctrlProps/ctrlProp2118.xml"/><Relationship Id="rId14" Type="http://schemas.openxmlformats.org/officeDocument/2006/relationships/ctrlProp" Target="../ctrlProps/ctrlProp2123.xml"/><Relationship Id="rId22" Type="http://schemas.openxmlformats.org/officeDocument/2006/relationships/ctrlProp" Target="../ctrlProps/ctrlProp2131.xml"/><Relationship Id="rId27" Type="http://schemas.openxmlformats.org/officeDocument/2006/relationships/ctrlProp" Target="../ctrlProps/ctrlProp2136.xml"/><Relationship Id="rId30" Type="http://schemas.openxmlformats.org/officeDocument/2006/relationships/ctrlProp" Target="../ctrlProps/ctrlProp2139.xml"/><Relationship Id="rId35" Type="http://schemas.openxmlformats.org/officeDocument/2006/relationships/ctrlProp" Target="../ctrlProps/ctrlProp2144.xml"/><Relationship Id="rId8" Type="http://schemas.openxmlformats.org/officeDocument/2006/relationships/ctrlProp" Target="../ctrlProps/ctrlProp2117.xml"/><Relationship Id="rId3" Type="http://schemas.openxmlformats.org/officeDocument/2006/relationships/vmlDrawing" Target="../drawings/vmlDrawing46.vml"/></Relationships>
</file>

<file path=xl/worksheets/_rels/sheet50.xml.rels><?xml version="1.0" encoding="UTF-8" standalone="yes"?>
<Relationships xmlns="http://schemas.openxmlformats.org/package/2006/relationships"><Relationship Id="rId13" Type="http://schemas.openxmlformats.org/officeDocument/2006/relationships/ctrlProp" Target="../ctrlProps/ctrlProp2159.xml"/><Relationship Id="rId18" Type="http://schemas.openxmlformats.org/officeDocument/2006/relationships/ctrlProp" Target="../ctrlProps/ctrlProp2164.xml"/><Relationship Id="rId26" Type="http://schemas.openxmlformats.org/officeDocument/2006/relationships/ctrlProp" Target="../ctrlProps/ctrlProp2172.xml"/><Relationship Id="rId39" Type="http://schemas.openxmlformats.org/officeDocument/2006/relationships/ctrlProp" Target="../ctrlProps/ctrlProp2185.xml"/><Relationship Id="rId21" Type="http://schemas.openxmlformats.org/officeDocument/2006/relationships/ctrlProp" Target="../ctrlProps/ctrlProp2167.xml"/><Relationship Id="rId34" Type="http://schemas.openxmlformats.org/officeDocument/2006/relationships/ctrlProp" Target="../ctrlProps/ctrlProp2180.xml"/><Relationship Id="rId7" Type="http://schemas.openxmlformats.org/officeDocument/2006/relationships/ctrlProp" Target="../ctrlProps/ctrlProp2153.xml"/><Relationship Id="rId12" Type="http://schemas.openxmlformats.org/officeDocument/2006/relationships/ctrlProp" Target="../ctrlProps/ctrlProp2158.xml"/><Relationship Id="rId17" Type="http://schemas.openxmlformats.org/officeDocument/2006/relationships/ctrlProp" Target="../ctrlProps/ctrlProp2163.xml"/><Relationship Id="rId25" Type="http://schemas.openxmlformats.org/officeDocument/2006/relationships/ctrlProp" Target="../ctrlProps/ctrlProp2171.xml"/><Relationship Id="rId33" Type="http://schemas.openxmlformats.org/officeDocument/2006/relationships/ctrlProp" Target="../ctrlProps/ctrlProp2179.xml"/><Relationship Id="rId38" Type="http://schemas.openxmlformats.org/officeDocument/2006/relationships/ctrlProp" Target="../ctrlProps/ctrlProp2184.xml"/><Relationship Id="rId2" Type="http://schemas.openxmlformats.org/officeDocument/2006/relationships/drawing" Target="../drawings/drawing47.xml"/><Relationship Id="rId16" Type="http://schemas.openxmlformats.org/officeDocument/2006/relationships/ctrlProp" Target="../ctrlProps/ctrlProp2162.xml"/><Relationship Id="rId20" Type="http://schemas.openxmlformats.org/officeDocument/2006/relationships/ctrlProp" Target="../ctrlProps/ctrlProp2166.xml"/><Relationship Id="rId29" Type="http://schemas.openxmlformats.org/officeDocument/2006/relationships/ctrlProp" Target="../ctrlProps/ctrlProp2175.xml"/><Relationship Id="rId1" Type="http://schemas.openxmlformats.org/officeDocument/2006/relationships/printerSettings" Target="../printerSettings/printerSettings48.bin"/><Relationship Id="rId6" Type="http://schemas.openxmlformats.org/officeDocument/2006/relationships/ctrlProp" Target="../ctrlProps/ctrlProp2152.xml"/><Relationship Id="rId11" Type="http://schemas.openxmlformats.org/officeDocument/2006/relationships/ctrlProp" Target="../ctrlProps/ctrlProp2157.xml"/><Relationship Id="rId24" Type="http://schemas.openxmlformats.org/officeDocument/2006/relationships/ctrlProp" Target="../ctrlProps/ctrlProp2170.xml"/><Relationship Id="rId32" Type="http://schemas.openxmlformats.org/officeDocument/2006/relationships/ctrlProp" Target="../ctrlProps/ctrlProp2178.xml"/><Relationship Id="rId37" Type="http://schemas.openxmlformats.org/officeDocument/2006/relationships/ctrlProp" Target="../ctrlProps/ctrlProp2183.xml"/><Relationship Id="rId40" Type="http://schemas.openxmlformats.org/officeDocument/2006/relationships/ctrlProp" Target="../ctrlProps/ctrlProp2186.xml"/><Relationship Id="rId5" Type="http://schemas.openxmlformats.org/officeDocument/2006/relationships/ctrlProp" Target="../ctrlProps/ctrlProp2151.xml"/><Relationship Id="rId15" Type="http://schemas.openxmlformats.org/officeDocument/2006/relationships/ctrlProp" Target="../ctrlProps/ctrlProp2161.xml"/><Relationship Id="rId23" Type="http://schemas.openxmlformats.org/officeDocument/2006/relationships/ctrlProp" Target="../ctrlProps/ctrlProp2169.xml"/><Relationship Id="rId28" Type="http://schemas.openxmlformats.org/officeDocument/2006/relationships/ctrlProp" Target="../ctrlProps/ctrlProp2174.xml"/><Relationship Id="rId36" Type="http://schemas.openxmlformats.org/officeDocument/2006/relationships/ctrlProp" Target="../ctrlProps/ctrlProp2182.xml"/><Relationship Id="rId10" Type="http://schemas.openxmlformats.org/officeDocument/2006/relationships/ctrlProp" Target="../ctrlProps/ctrlProp2156.xml"/><Relationship Id="rId19" Type="http://schemas.openxmlformats.org/officeDocument/2006/relationships/ctrlProp" Target="../ctrlProps/ctrlProp2165.xml"/><Relationship Id="rId31" Type="http://schemas.openxmlformats.org/officeDocument/2006/relationships/ctrlProp" Target="../ctrlProps/ctrlProp2177.xml"/><Relationship Id="rId4" Type="http://schemas.openxmlformats.org/officeDocument/2006/relationships/ctrlProp" Target="../ctrlProps/ctrlProp2150.xml"/><Relationship Id="rId9" Type="http://schemas.openxmlformats.org/officeDocument/2006/relationships/ctrlProp" Target="../ctrlProps/ctrlProp2155.xml"/><Relationship Id="rId14" Type="http://schemas.openxmlformats.org/officeDocument/2006/relationships/ctrlProp" Target="../ctrlProps/ctrlProp2160.xml"/><Relationship Id="rId22" Type="http://schemas.openxmlformats.org/officeDocument/2006/relationships/ctrlProp" Target="../ctrlProps/ctrlProp2168.xml"/><Relationship Id="rId27" Type="http://schemas.openxmlformats.org/officeDocument/2006/relationships/ctrlProp" Target="../ctrlProps/ctrlProp2173.xml"/><Relationship Id="rId30" Type="http://schemas.openxmlformats.org/officeDocument/2006/relationships/ctrlProp" Target="../ctrlProps/ctrlProp2176.xml"/><Relationship Id="rId35" Type="http://schemas.openxmlformats.org/officeDocument/2006/relationships/ctrlProp" Target="../ctrlProps/ctrlProp2181.xml"/><Relationship Id="rId8" Type="http://schemas.openxmlformats.org/officeDocument/2006/relationships/ctrlProp" Target="../ctrlProps/ctrlProp2154.xml"/><Relationship Id="rId3" Type="http://schemas.openxmlformats.org/officeDocument/2006/relationships/vmlDrawing" Target="../drawings/vmlDrawing47.vml"/></Relationships>
</file>

<file path=xl/worksheets/_rels/sheet51.xml.rels><?xml version="1.0" encoding="UTF-8" standalone="yes"?>
<Relationships xmlns="http://schemas.openxmlformats.org/package/2006/relationships"><Relationship Id="rId13" Type="http://schemas.openxmlformats.org/officeDocument/2006/relationships/ctrlProp" Target="../ctrlProps/ctrlProp2195.xml"/><Relationship Id="rId18" Type="http://schemas.openxmlformats.org/officeDocument/2006/relationships/ctrlProp" Target="../ctrlProps/ctrlProp2200.xml"/><Relationship Id="rId26" Type="http://schemas.openxmlformats.org/officeDocument/2006/relationships/ctrlProp" Target="../ctrlProps/ctrlProp2208.xml"/><Relationship Id="rId39" Type="http://schemas.openxmlformats.org/officeDocument/2006/relationships/ctrlProp" Target="../ctrlProps/ctrlProp2221.xml"/><Relationship Id="rId21" Type="http://schemas.openxmlformats.org/officeDocument/2006/relationships/ctrlProp" Target="../ctrlProps/ctrlProp2203.xml"/><Relationship Id="rId34" Type="http://schemas.openxmlformats.org/officeDocument/2006/relationships/ctrlProp" Target="../ctrlProps/ctrlProp2216.xml"/><Relationship Id="rId7" Type="http://schemas.openxmlformats.org/officeDocument/2006/relationships/ctrlProp" Target="../ctrlProps/ctrlProp2189.xml"/><Relationship Id="rId2" Type="http://schemas.openxmlformats.org/officeDocument/2006/relationships/printerSettings" Target="../printerSettings/printerSettings49.bin"/><Relationship Id="rId16" Type="http://schemas.openxmlformats.org/officeDocument/2006/relationships/ctrlProp" Target="../ctrlProps/ctrlProp2198.xml"/><Relationship Id="rId20" Type="http://schemas.openxmlformats.org/officeDocument/2006/relationships/ctrlProp" Target="../ctrlProps/ctrlProp2202.xml"/><Relationship Id="rId29" Type="http://schemas.openxmlformats.org/officeDocument/2006/relationships/ctrlProp" Target="../ctrlProps/ctrlProp2211.xml"/><Relationship Id="rId41" Type="http://schemas.openxmlformats.org/officeDocument/2006/relationships/ctrlProp" Target="../ctrlProps/ctrlProp2223.xml"/><Relationship Id="rId1" Type="http://schemas.openxmlformats.org/officeDocument/2006/relationships/hyperlink" Target="mailto:shaun.anderson@stardrilling.com.au" TargetMode="External"/><Relationship Id="rId6" Type="http://schemas.openxmlformats.org/officeDocument/2006/relationships/ctrlProp" Target="../ctrlProps/ctrlProp2188.xml"/><Relationship Id="rId11" Type="http://schemas.openxmlformats.org/officeDocument/2006/relationships/ctrlProp" Target="../ctrlProps/ctrlProp2193.xml"/><Relationship Id="rId24" Type="http://schemas.openxmlformats.org/officeDocument/2006/relationships/ctrlProp" Target="../ctrlProps/ctrlProp2206.xml"/><Relationship Id="rId32" Type="http://schemas.openxmlformats.org/officeDocument/2006/relationships/ctrlProp" Target="../ctrlProps/ctrlProp2214.xml"/><Relationship Id="rId37" Type="http://schemas.openxmlformats.org/officeDocument/2006/relationships/ctrlProp" Target="../ctrlProps/ctrlProp2219.xml"/><Relationship Id="rId40" Type="http://schemas.openxmlformats.org/officeDocument/2006/relationships/ctrlProp" Target="../ctrlProps/ctrlProp2222.xml"/><Relationship Id="rId5" Type="http://schemas.openxmlformats.org/officeDocument/2006/relationships/ctrlProp" Target="../ctrlProps/ctrlProp2187.xml"/><Relationship Id="rId15" Type="http://schemas.openxmlformats.org/officeDocument/2006/relationships/ctrlProp" Target="../ctrlProps/ctrlProp2197.xml"/><Relationship Id="rId23" Type="http://schemas.openxmlformats.org/officeDocument/2006/relationships/ctrlProp" Target="../ctrlProps/ctrlProp2205.xml"/><Relationship Id="rId28" Type="http://schemas.openxmlformats.org/officeDocument/2006/relationships/ctrlProp" Target="../ctrlProps/ctrlProp2210.xml"/><Relationship Id="rId36" Type="http://schemas.openxmlformats.org/officeDocument/2006/relationships/ctrlProp" Target="../ctrlProps/ctrlProp2218.xml"/><Relationship Id="rId10" Type="http://schemas.openxmlformats.org/officeDocument/2006/relationships/ctrlProp" Target="../ctrlProps/ctrlProp2192.xml"/><Relationship Id="rId19" Type="http://schemas.openxmlformats.org/officeDocument/2006/relationships/ctrlProp" Target="../ctrlProps/ctrlProp2201.xml"/><Relationship Id="rId31" Type="http://schemas.openxmlformats.org/officeDocument/2006/relationships/ctrlProp" Target="../ctrlProps/ctrlProp2213.xml"/><Relationship Id="rId4" Type="http://schemas.openxmlformats.org/officeDocument/2006/relationships/vmlDrawing" Target="../drawings/vmlDrawing48.vml"/><Relationship Id="rId9" Type="http://schemas.openxmlformats.org/officeDocument/2006/relationships/ctrlProp" Target="../ctrlProps/ctrlProp2191.xml"/><Relationship Id="rId14" Type="http://schemas.openxmlformats.org/officeDocument/2006/relationships/ctrlProp" Target="../ctrlProps/ctrlProp2196.xml"/><Relationship Id="rId22" Type="http://schemas.openxmlformats.org/officeDocument/2006/relationships/ctrlProp" Target="../ctrlProps/ctrlProp2204.xml"/><Relationship Id="rId27" Type="http://schemas.openxmlformats.org/officeDocument/2006/relationships/ctrlProp" Target="../ctrlProps/ctrlProp2209.xml"/><Relationship Id="rId30" Type="http://schemas.openxmlformats.org/officeDocument/2006/relationships/ctrlProp" Target="../ctrlProps/ctrlProp2212.xml"/><Relationship Id="rId35" Type="http://schemas.openxmlformats.org/officeDocument/2006/relationships/ctrlProp" Target="../ctrlProps/ctrlProp2217.xml"/><Relationship Id="rId8" Type="http://schemas.openxmlformats.org/officeDocument/2006/relationships/ctrlProp" Target="../ctrlProps/ctrlProp2190.xml"/><Relationship Id="rId3" Type="http://schemas.openxmlformats.org/officeDocument/2006/relationships/drawing" Target="../drawings/drawing48.xml"/><Relationship Id="rId12" Type="http://schemas.openxmlformats.org/officeDocument/2006/relationships/ctrlProp" Target="../ctrlProps/ctrlProp2194.xml"/><Relationship Id="rId17" Type="http://schemas.openxmlformats.org/officeDocument/2006/relationships/ctrlProp" Target="../ctrlProps/ctrlProp2199.xml"/><Relationship Id="rId25" Type="http://schemas.openxmlformats.org/officeDocument/2006/relationships/ctrlProp" Target="../ctrlProps/ctrlProp2207.xml"/><Relationship Id="rId33" Type="http://schemas.openxmlformats.org/officeDocument/2006/relationships/ctrlProp" Target="../ctrlProps/ctrlProp2215.xml"/><Relationship Id="rId38" Type="http://schemas.openxmlformats.org/officeDocument/2006/relationships/ctrlProp" Target="../ctrlProps/ctrlProp2220.xml"/></Relationships>
</file>

<file path=xl/worksheets/_rels/sheet52.xml.rels><?xml version="1.0" encoding="UTF-8" standalone="yes"?>
<Relationships xmlns="http://schemas.openxmlformats.org/package/2006/relationships"><Relationship Id="rId13" Type="http://schemas.openxmlformats.org/officeDocument/2006/relationships/ctrlProp" Target="../ctrlProps/ctrlProp2232.xml"/><Relationship Id="rId18" Type="http://schemas.openxmlformats.org/officeDocument/2006/relationships/ctrlProp" Target="../ctrlProps/ctrlProp2237.xml"/><Relationship Id="rId26" Type="http://schemas.openxmlformats.org/officeDocument/2006/relationships/ctrlProp" Target="../ctrlProps/ctrlProp2245.xml"/><Relationship Id="rId39" Type="http://schemas.openxmlformats.org/officeDocument/2006/relationships/ctrlProp" Target="../ctrlProps/ctrlProp2258.xml"/><Relationship Id="rId21" Type="http://schemas.openxmlformats.org/officeDocument/2006/relationships/ctrlProp" Target="../ctrlProps/ctrlProp2240.xml"/><Relationship Id="rId34" Type="http://schemas.openxmlformats.org/officeDocument/2006/relationships/ctrlProp" Target="../ctrlProps/ctrlProp2253.xml"/><Relationship Id="rId7" Type="http://schemas.openxmlformats.org/officeDocument/2006/relationships/ctrlProp" Target="../ctrlProps/ctrlProp2226.xml"/><Relationship Id="rId2" Type="http://schemas.openxmlformats.org/officeDocument/2006/relationships/printerSettings" Target="../printerSettings/printerSettings50.bin"/><Relationship Id="rId16" Type="http://schemas.openxmlformats.org/officeDocument/2006/relationships/ctrlProp" Target="../ctrlProps/ctrlProp2235.xml"/><Relationship Id="rId20" Type="http://schemas.openxmlformats.org/officeDocument/2006/relationships/ctrlProp" Target="../ctrlProps/ctrlProp2239.xml"/><Relationship Id="rId29" Type="http://schemas.openxmlformats.org/officeDocument/2006/relationships/ctrlProp" Target="../ctrlProps/ctrlProp2248.xml"/><Relationship Id="rId41" Type="http://schemas.openxmlformats.org/officeDocument/2006/relationships/ctrlProp" Target="../ctrlProps/ctrlProp2260.xml"/><Relationship Id="rId1" Type="http://schemas.openxmlformats.org/officeDocument/2006/relationships/hyperlink" Target="mailto:michael.fereday1987@gmail.com" TargetMode="External"/><Relationship Id="rId6" Type="http://schemas.openxmlformats.org/officeDocument/2006/relationships/ctrlProp" Target="../ctrlProps/ctrlProp2225.xml"/><Relationship Id="rId11" Type="http://schemas.openxmlformats.org/officeDocument/2006/relationships/ctrlProp" Target="../ctrlProps/ctrlProp2230.xml"/><Relationship Id="rId24" Type="http://schemas.openxmlformats.org/officeDocument/2006/relationships/ctrlProp" Target="../ctrlProps/ctrlProp2243.xml"/><Relationship Id="rId32" Type="http://schemas.openxmlformats.org/officeDocument/2006/relationships/ctrlProp" Target="../ctrlProps/ctrlProp2251.xml"/><Relationship Id="rId37" Type="http://schemas.openxmlformats.org/officeDocument/2006/relationships/ctrlProp" Target="../ctrlProps/ctrlProp2256.xml"/><Relationship Id="rId40" Type="http://schemas.openxmlformats.org/officeDocument/2006/relationships/ctrlProp" Target="../ctrlProps/ctrlProp2259.xml"/><Relationship Id="rId5" Type="http://schemas.openxmlformats.org/officeDocument/2006/relationships/ctrlProp" Target="../ctrlProps/ctrlProp2224.xml"/><Relationship Id="rId15" Type="http://schemas.openxmlformats.org/officeDocument/2006/relationships/ctrlProp" Target="../ctrlProps/ctrlProp2234.xml"/><Relationship Id="rId23" Type="http://schemas.openxmlformats.org/officeDocument/2006/relationships/ctrlProp" Target="../ctrlProps/ctrlProp2242.xml"/><Relationship Id="rId28" Type="http://schemas.openxmlformats.org/officeDocument/2006/relationships/ctrlProp" Target="../ctrlProps/ctrlProp2247.xml"/><Relationship Id="rId36" Type="http://schemas.openxmlformats.org/officeDocument/2006/relationships/ctrlProp" Target="../ctrlProps/ctrlProp2255.xml"/><Relationship Id="rId10" Type="http://schemas.openxmlformats.org/officeDocument/2006/relationships/ctrlProp" Target="../ctrlProps/ctrlProp2229.xml"/><Relationship Id="rId19" Type="http://schemas.openxmlformats.org/officeDocument/2006/relationships/ctrlProp" Target="../ctrlProps/ctrlProp2238.xml"/><Relationship Id="rId31" Type="http://schemas.openxmlformats.org/officeDocument/2006/relationships/ctrlProp" Target="../ctrlProps/ctrlProp2250.xml"/><Relationship Id="rId4" Type="http://schemas.openxmlformats.org/officeDocument/2006/relationships/vmlDrawing" Target="../drawings/vmlDrawing49.vml"/><Relationship Id="rId9" Type="http://schemas.openxmlformats.org/officeDocument/2006/relationships/ctrlProp" Target="../ctrlProps/ctrlProp2228.xml"/><Relationship Id="rId14" Type="http://schemas.openxmlformats.org/officeDocument/2006/relationships/ctrlProp" Target="../ctrlProps/ctrlProp2233.xml"/><Relationship Id="rId22" Type="http://schemas.openxmlformats.org/officeDocument/2006/relationships/ctrlProp" Target="../ctrlProps/ctrlProp2241.xml"/><Relationship Id="rId27" Type="http://schemas.openxmlformats.org/officeDocument/2006/relationships/ctrlProp" Target="../ctrlProps/ctrlProp2246.xml"/><Relationship Id="rId30" Type="http://schemas.openxmlformats.org/officeDocument/2006/relationships/ctrlProp" Target="../ctrlProps/ctrlProp2249.xml"/><Relationship Id="rId35" Type="http://schemas.openxmlformats.org/officeDocument/2006/relationships/ctrlProp" Target="../ctrlProps/ctrlProp2254.xml"/><Relationship Id="rId8" Type="http://schemas.openxmlformats.org/officeDocument/2006/relationships/ctrlProp" Target="../ctrlProps/ctrlProp2227.xml"/><Relationship Id="rId3" Type="http://schemas.openxmlformats.org/officeDocument/2006/relationships/drawing" Target="../drawings/drawing49.xml"/><Relationship Id="rId12" Type="http://schemas.openxmlformats.org/officeDocument/2006/relationships/ctrlProp" Target="../ctrlProps/ctrlProp2231.xml"/><Relationship Id="rId17" Type="http://schemas.openxmlformats.org/officeDocument/2006/relationships/ctrlProp" Target="../ctrlProps/ctrlProp2236.xml"/><Relationship Id="rId25" Type="http://schemas.openxmlformats.org/officeDocument/2006/relationships/ctrlProp" Target="../ctrlProps/ctrlProp2244.xml"/><Relationship Id="rId33" Type="http://schemas.openxmlformats.org/officeDocument/2006/relationships/ctrlProp" Target="../ctrlProps/ctrlProp2252.xml"/><Relationship Id="rId38" Type="http://schemas.openxmlformats.org/officeDocument/2006/relationships/ctrlProp" Target="../ctrlProps/ctrlProp2257.xml"/></Relationships>
</file>

<file path=xl/worksheets/_rels/sheet53.xml.rels><?xml version="1.0" encoding="UTF-8" standalone="yes"?>
<Relationships xmlns="http://schemas.openxmlformats.org/package/2006/relationships"><Relationship Id="rId13" Type="http://schemas.openxmlformats.org/officeDocument/2006/relationships/ctrlProp" Target="../ctrlProps/ctrlProp2269.xml"/><Relationship Id="rId18" Type="http://schemas.openxmlformats.org/officeDocument/2006/relationships/ctrlProp" Target="../ctrlProps/ctrlProp2274.xml"/><Relationship Id="rId26" Type="http://schemas.openxmlformats.org/officeDocument/2006/relationships/ctrlProp" Target="../ctrlProps/ctrlProp2282.xml"/><Relationship Id="rId39" Type="http://schemas.openxmlformats.org/officeDocument/2006/relationships/ctrlProp" Target="../ctrlProps/ctrlProp2295.xml"/><Relationship Id="rId21" Type="http://schemas.openxmlformats.org/officeDocument/2006/relationships/ctrlProp" Target="../ctrlProps/ctrlProp2277.xml"/><Relationship Id="rId34" Type="http://schemas.openxmlformats.org/officeDocument/2006/relationships/ctrlProp" Target="../ctrlProps/ctrlProp2290.xml"/><Relationship Id="rId7" Type="http://schemas.openxmlformats.org/officeDocument/2006/relationships/ctrlProp" Target="../ctrlProps/ctrlProp2263.xml"/><Relationship Id="rId2" Type="http://schemas.openxmlformats.org/officeDocument/2006/relationships/printerSettings" Target="../printerSettings/printerSettings51.bin"/><Relationship Id="rId16" Type="http://schemas.openxmlformats.org/officeDocument/2006/relationships/ctrlProp" Target="../ctrlProps/ctrlProp2272.xml"/><Relationship Id="rId20" Type="http://schemas.openxmlformats.org/officeDocument/2006/relationships/ctrlProp" Target="../ctrlProps/ctrlProp2276.xml"/><Relationship Id="rId29" Type="http://schemas.openxmlformats.org/officeDocument/2006/relationships/ctrlProp" Target="../ctrlProps/ctrlProp2285.xml"/><Relationship Id="rId41" Type="http://schemas.openxmlformats.org/officeDocument/2006/relationships/ctrlProp" Target="../ctrlProps/ctrlProp2297.xml"/><Relationship Id="rId1" Type="http://schemas.openxmlformats.org/officeDocument/2006/relationships/hyperlink" Target="mailto:rjt454@gmail.com" TargetMode="External"/><Relationship Id="rId6" Type="http://schemas.openxmlformats.org/officeDocument/2006/relationships/ctrlProp" Target="../ctrlProps/ctrlProp2262.xml"/><Relationship Id="rId11" Type="http://schemas.openxmlformats.org/officeDocument/2006/relationships/ctrlProp" Target="../ctrlProps/ctrlProp2267.xml"/><Relationship Id="rId24" Type="http://schemas.openxmlformats.org/officeDocument/2006/relationships/ctrlProp" Target="../ctrlProps/ctrlProp2280.xml"/><Relationship Id="rId32" Type="http://schemas.openxmlformats.org/officeDocument/2006/relationships/ctrlProp" Target="../ctrlProps/ctrlProp2288.xml"/><Relationship Id="rId37" Type="http://schemas.openxmlformats.org/officeDocument/2006/relationships/ctrlProp" Target="../ctrlProps/ctrlProp2293.xml"/><Relationship Id="rId40" Type="http://schemas.openxmlformats.org/officeDocument/2006/relationships/ctrlProp" Target="../ctrlProps/ctrlProp2296.xml"/><Relationship Id="rId5" Type="http://schemas.openxmlformats.org/officeDocument/2006/relationships/ctrlProp" Target="../ctrlProps/ctrlProp2261.xml"/><Relationship Id="rId15" Type="http://schemas.openxmlformats.org/officeDocument/2006/relationships/ctrlProp" Target="../ctrlProps/ctrlProp2271.xml"/><Relationship Id="rId23" Type="http://schemas.openxmlformats.org/officeDocument/2006/relationships/ctrlProp" Target="../ctrlProps/ctrlProp2279.xml"/><Relationship Id="rId28" Type="http://schemas.openxmlformats.org/officeDocument/2006/relationships/ctrlProp" Target="../ctrlProps/ctrlProp2284.xml"/><Relationship Id="rId36" Type="http://schemas.openxmlformats.org/officeDocument/2006/relationships/ctrlProp" Target="../ctrlProps/ctrlProp2292.xml"/><Relationship Id="rId10" Type="http://schemas.openxmlformats.org/officeDocument/2006/relationships/ctrlProp" Target="../ctrlProps/ctrlProp2266.xml"/><Relationship Id="rId19" Type="http://schemas.openxmlformats.org/officeDocument/2006/relationships/ctrlProp" Target="../ctrlProps/ctrlProp2275.xml"/><Relationship Id="rId31" Type="http://schemas.openxmlformats.org/officeDocument/2006/relationships/ctrlProp" Target="../ctrlProps/ctrlProp2287.xml"/><Relationship Id="rId4" Type="http://schemas.openxmlformats.org/officeDocument/2006/relationships/vmlDrawing" Target="../drawings/vmlDrawing50.vml"/><Relationship Id="rId9" Type="http://schemas.openxmlformats.org/officeDocument/2006/relationships/ctrlProp" Target="../ctrlProps/ctrlProp2265.xml"/><Relationship Id="rId14" Type="http://schemas.openxmlformats.org/officeDocument/2006/relationships/ctrlProp" Target="../ctrlProps/ctrlProp2270.xml"/><Relationship Id="rId22" Type="http://schemas.openxmlformats.org/officeDocument/2006/relationships/ctrlProp" Target="../ctrlProps/ctrlProp2278.xml"/><Relationship Id="rId27" Type="http://schemas.openxmlformats.org/officeDocument/2006/relationships/ctrlProp" Target="../ctrlProps/ctrlProp2283.xml"/><Relationship Id="rId30" Type="http://schemas.openxmlformats.org/officeDocument/2006/relationships/ctrlProp" Target="../ctrlProps/ctrlProp2286.xml"/><Relationship Id="rId35" Type="http://schemas.openxmlformats.org/officeDocument/2006/relationships/ctrlProp" Target="../ctrlProps/ctrlProp2291.xml"/><Relationship Id="rId8" Type="http://schemas.openxmlformats.org/officeDocument/2006/relationships/ctrlProp" Target="../ctrlProps/ctrlProp2264.xml"/><Relationship Id="rId3" Type="http://schemas.openxmlformats.org/officeDocument/2006/relationships/drawing" Target="../drawings/drawing50.xml"/><Relationship Id="rId12" Type="http://schemas.openxmlformats.org/officeDocument/2006/relationships/ctrlProp" Target="../ctrlProps/ctrlProp2268.xml"/><Relationship Id="rId17" Type="http://schemas.openxmlformats.org/officeDocument/2006/relationships/ctrlProp" Target="../ctrlProps/ctrlProp2273.xml"/><Relationship Id="rId25" Type="http://schemas.openxmlformats.org/officeDocument/2006/relationships/ctrlProp" Target="../ctrlProps/ctrlProp2281.xml"/><Relationship Id="rId33" Type="http://schemas.openxmlformats.org/officeDocument/2006/relationships/ctrlProp" Target="../ctrlProps/ctrlProp2289.xml"/><Relationship Id="rId38" Type="http://schemas.openxmlformats.org/officeDocument/2006/relationships/ctrlProp" Target="../ctrlProps/ctrlProp2294.xml"/></Relationships>
</file>

<file path=xl/worksheets/_rels/sheet54.xml.rels><?xml version="1.0" encoding="UTF-8" standalone="yes"?>
<Relationships xmlns="http://schemas.openxmlformats.org/package/2006/relationships"><Relationship Id="rId13" Type="http://schemas.openxmlformats.org/officeDocument/2006/relationships/ctrlProp" Target="../ctrlProps/ctrlProp2307.xml"/><Relationship Id="rId18" Type="http://schemas.openxmlformats.org/officeDocument/2006/relationships/ctrlProp" Target="../ctrlProps/ctrlProp2312.xml"/><Relationship Id="rId26" Type="http://schemas.openxmlformats.org/officeDocument/2006/relationships/ctrlProp" Target="../ctrlProps/ctrlProp2320.xml"/><Relationship Id="rId39" Type="http://schemas.openxmlformats.org/officeDocument/2006/relationships/ctrlProp" Target="../ctrlProps/ctrlProp2333.xml"/><Relationship Id="rId21" Type="http://schemas.openxmlformats.org/officeDocument/2006/relationships/ctrlProp" Target="../ctrlProps/ctrlProp2315.xml"/><Relationship Id="rId34" Type="http://schemas.openxmlformats.org/officeDocument/2006/relationships/ctrlProp" Target="../ctrlProps/ctrlProp2328.xml"/><Relationship Id="rId7" Type="http://schemas.openxmlformats.org/officeDocument/2006/relationships/ctrlProp" Target="../ctrlProps/ctrlProp2301.xml"/><Relationship Id="rId12" Type="http://schemas.openxmlformats.org/officeDocument/2006/relationships/ctrlProp" Target="../ctrlProps/ctrlProp2306.xml"/><Relationship Id="rId17" Type="http://schemas.openxmlformats.org/officeDocument/2006/relationships/ctrlProp" Target="../ctrlProps/ctrlProp2311.xml"/><Relationship Id="rId25" Type="http://schemas.openxmlformats.org/officeDocument/2006/relationships/ctrlProp" Target="../ctrlProps/ctrlProp2319.xml"/><Relationship Id="rId33" Type="http://schemas.openxmlformats.org/officeDocument/2006/relationships/ctrlProp" Target="../ctrlProps/ctrlProp2327.xml"/><Relationship Id="rId38" Type="http://schemas.openxmlformats.org/officeDocument/2006/relationships/ctrlProp" Target="../ctrlProps/ctrlProp2332.xml"/><Relationship Id="rId2" Type="http://schemas.openxmlformats.org/officeDocument/2006/relationships/drawing" Target="../drawings/drawing51.xml"/><Relationship Id="rId16" Type="http://schemas.openxmlformats.org/officeDocument/2006/relationships/ctrlProp" Target="../ctrlProps/ctrlProp2310.xml"/><Relationship Id="rId20" Type="http://schemas.openxmlformats.org/officeDocument/2006/relationships/ctrlProp" Target="../ctrlProps/ctrlProp2314.xml"/><Relationship Id="rId29" Type="http://schemas.openxmlformats.org/officeDocument/2006/relationships/ctrlProp" Target="../ctrlProps/ctrlProp2323.xml"/><Relationship Id="rId1" Type="http://schemas.openxmlformats.org/officeDocument/2006/relationships/printerSettings" Target="../printerSettings/printerSettings52.bin"/><Relationship Id="rId6" Type="http://schemas.openxmlformats.org/officeDocument/2006/relationships/ctrlProp" Target="../ctrlProps/ctrlProp2300.xml"/><Relationship Id="rId11" Type="http://schemas.openxmlformats.org/officeDocument/2006/relationships/ctrlProp" Target="../ctrlProps/ctrlProp2305.xml"/><Relationship Id="rId24" Type="http://schemas.openxmlformats.org/officeDocument/2006/relationships/ctrlProp" Target="../ctrlProps/ctrlProp2318.xml"/><Relationship Id="rId32" Type="http://schemas.openxmlformats.org/officeDocument/2006/relationships/ctrlProp" Target="../ctrlProps/ctrlProp2326.xml"/><Relationship Id="rId37" Type="http://schemas.openxmlformats.org/officeDocument/2006/relationships/ctrlProp" Target="../ctrlProps/ctrlProp2331.xml"/><Relationship Id="rId40" Type="http://schemas.openxmlformats.org/officeDocument/2006/relationships/ctrlProp" Target="../ctrlProps/ctrlProp2334.xml"/><Relationship Id="rId5" Type="http://schemas.openxmlformats.org/officeDocument/2006/relationships/ctrlProp" Target="../ctrlProps/ctrlProp2299.xml"/><Relationship Id="rId15" Type="http://schemas.openxmlformats.org/officeDocument/2006/relationships/ctrlProp" Target="../ctrlProps/ctrlProp2309.xml"/><Relationship Id="rId23" Type="http://schemas.openxmlformats.org/officeDocument/2006/relationships/ctrlProp" Target="../ctrlProps/ctrlProp2317.xml"/><Relationship Id="rId28" Type="http://schemas.openxmlformats.org/officeDocument/2006/relationships/ctrlProp" Target="../ctrlProps/ctrlProp2322.xml"/><Relationship Id="rId36" Type="http://schemas.openxmlformats.org/officeDocument/2006/relationships/ctrlProp" Target="../ctrlProps/ctrlProp2330.xml"/><Relationship Id="rId10" Type="http://schemas.openxmlformats.org/officeDocument/2006/relationships/ctrlProp" Target="../ctrlProps/ctrlProp2304.xml"/><Relationship Id="rId19" Type="http://schemas.openxmlformats.org/officeDocument/2006/relationships/ctrlProp" Target="../ctrlProps/ctrlProp2313.xml"/><Relationship Id="rId31" Type="http://schemas.openxmlformats.org/officeDocument/2006/relationships/ctrlProp" Target="../ctrlProps/ctrlProp2325.xml"/><Relationship Id="rId4" Type="http://schemas.openxmlformats.org/officeDocument/2006/relationships/ctrlProp" Target="../ctrlProps/ctrlProp2298.xml"/><Relationship Id="rId9" Type="http://schemas.openxmlformats.org/officeDocument/2006/relationships/ctrlProp" Target="../ctrlProps/ctrlProp2303.xml"/><Relationship Id="rId14" Type="http://schemas.openxmlformats.org/officeDocument/2006/relationships/ctrlProp" Target="../ctrlProps/ctrlProp2308.xml"/><Relationship Id="rId22" Type="http://schemas.openxmlformats.org/officeDocument/2006/relationships/ctrlProp" Target="../ctrlProps/ctrlProp2316.xml"/><Relationship Id="rId27" Type="http://schemas.openxmlformats.org/officeDocument/2006/relationships/ctrlProp" Target="../ctrlProps/ctrlProp2321.xml"/><Relationship Id="rId30" Type="http://schemas.openxmlformats.org/officeDocument/2006/relationships/ctrlProp" Target="../ctrlProps/ctrlProp2324.xml"/><Relationship Id="rId35" Type="http://schemas.openxmlformats.org/officeDocument/2006/relationships/ctrlProp" Target="../ctrlProps/ctrlProp2329.xml"/><Relationship Id="rId8" Type="http://schemas.openxmlformats.org/officeDocument/2006/relationships/ctrlProp" Target="../ctrlProps/ctrlProp2302.xml"/><Relationship Id="rId3" Type="http://schemas.openxmlformats.org/officeDocument/2006/relationships/vmlDrawing" Target="../drawings/vmlDrawing51.vml"/></Relationships>
</file>

<file path=xl/worksheets/_rels/sheet55.xml.rels><?xml version="1.0" encoding="UTF-8" standalone="yes"?>
<Relationships xmlns="http://schemas.openxmlformats.org/package/2006/relationships"><Relationship Id="rId13" Type="http://schemas.openxmlformats.org/officeDocument/2006/relationships/ctrlProp" Target="../ctrlProps/ctrlProp2344.xml"/><Relationship Id="rId18" Type="http://schemas.openxmlformats.org/officeDocument/2006/relationships/ctrlProp" Target="../ctrlProps/ctrlProp2349.xml"/><Relationship Id="rId26" Type="http://schemas.openxmlformats.org/officeDocument/2006/relationships/ctrlProp" Target="../ctrlProps/ctrlProp2357.xml"/><Relationship Id="rId39" Type="http://schemas.openxmlformats.org/officeDocument/2006/relationships/ctrlProp" Target="../ctrlProps/ctrlProp2370.xml"/><Relationship Id="rId21" Type="http://schemas.openxmlformats.org/officeDocument/2006/relationships/ctrlProp" Target="../ctrlProps/ctrlProp2352.xml"/><Relationship Id="rId34" Type="http://schemas.openxmlformats.org/officeDocument/2006/relationships/ctrlProp" Target="../ctrlProps/ctrlProp2365.xml"/><Relationship Id="rId7" Type="http://schemas.openxmlformats.org/officeDocument/2006/relationships/ctrlProp" Target="../ctrlProps/ctrlProp2338.xml"/><Relationship Id="rId12" Type="http://schemas.openxmlformats.org/officeDocument/2006/relationships/ctrlProp" Target="../ctrlProps/ctrlProp2343.xml"/><Relationship Id="rId17" Type="http://schemas.openxmlformats.org/officeDocument/2006/relationships/ctrlProp" Target="../ctrlProps/ctrlProp2348.xml"/><Relationship Id="rId25" Type="http://schemas.openxmlformats.org/officeDocument/2006/relationships/ctrlProp" Target="../ctrlProps/ctrlProp2356.xml"/><Relationship Id="rId33" Type="http://schemas.openxmlformats.org/officeDocument/2006/relationships/ctrlProp" Target="../ctrlProps/ctrlProp2364.xml"/><Relationship Id="rId38" Type="http://schemas.openxmlformats.org/officeDocument/2006/relationships/ctrlProp" Target="../ctrlProps/ctrlProp2369.xml"/><Relationship Id="rId2" Type="http://schemas.openxmlformats.org/officeDocument/2006/relationships/drawing" Target="../drawings/drawing52.xml"/><Relationship Id="rId16" Type="http://schemas.openxmlformats.org/officeDocument/2006/relationships/ctrlProp" Target="../ctrlProps/ctrlProp2347.xml"/><Relationship Id="rId20" Type="http://schemas.openxmlformats.org/officeDocument/2006/relationships/ctrlProp" Target="../ctrlProps/ctrlProp2351.xml"/><Relationship Id="rId29" Type="http://schemas.openxmlformats.org/officeDocument/2006/relationships/ctrlProp" Target="../ctrlProps/ctrlProp2360.xml"/><Relationship Id="rId1" Type="http://schemas.openxmlformats.org/officeDocument/2006/relationships/printerSettings" Target="../printerSettings/printerSettings53.bin"/><Relationship Id="rId6" Type="http://schemas.openxmlformats.org/officeDocument/2006/relationships/ctrlProp" Target="../ctrlProps/ctrlProp2337.xml"/><Relationship Id="rId11" Type="http://schemas.openxmlformats.org/officeDocument/2006/relationships/ctrlProp" Target="../ctrlProps/ctrlProp2342.xml"/><Relationship Id="rId24" Type="http://schemas.openxmlformats.org/officeDocument/2006/relationships/ctrlProp" Target="../ctrlProps/ctrlProp2355.xml"/><Relationship Id="rId32" Type="http://schemas.openxmlformats.org/officeDocument/2006/relationships/ctrlProp" Target="../ctrlProps/ctrlProp2363.xml"/><Relationship Id="rId37" Type="http://schemas.openxmlformats.org/officeDocument/2006/relationships/ctrlProp" Target="../ctrlProps/ctrlProp2368.xml"/><Relationship Id="rId40" Type="http://schemas.openxmlformats.org/officeDocument/2006/relationships/ctrlProp" Target="../ctrlProps/ctrlProp2371.xml"/><Relationship Id="rId5" Type="http://schemas.openxmlformats.org/officeDocument/2006/relationships/ctrlProp" Target="../ctrlProps/ctrlProp2336.xml"/><Relationship Id="rId15" Type="http://schemas.openxmlformats.org/officeDocument/2006/relationships/ctrlProp" Target="../ctrlProps/ctrlProp2346.xml"/><Relationship Id="rId23" Type="http://schemas.openxmlformats.org/officeDocument/2006/relationships/ctrlProp" Target="../ctrlProps/ctrlProp2354.xml"/><Relationship Id="rId28" Type="http://schemas.openxmlformats.org/officeDocument/2006/relationships/ctrlProp" Target="../ctrlProps/ctrlProp2359.xml"/><Relationship Id="rId36" Type="http://schemas.openxmlformats.org/officeDocument/2006/relationships/ctrlProp" Target="../ctrlProps/ctrlProp2367.xml"/><Relationship Id="rId10" Type="http://schemas.openxmlformats.org/officeDocument/2006/relationships/ctrlProp" Target="../ctrlProps/ctrlProp2341.xml"/><Relationship Id="rId19" Type="http://schemas.openxmlformats.org/officeDocument/2006/relationships/ctrlProp" Target="../ctrlProps/ctrlProp2350.xml"/><Relationship Id="rId31" Type="http://schemas.openxmlformats.org/officeDocument/2006/relationships/ctrlProp" Target="../ctrlProps/ctrlProp2362.xml"/><Relationship Id="rId4" Type="http://schemas.openxmlformats.org/officeDocument/2006/relationships/ctrlProp" Target="../ctrlProps/ctrlProp2335.xml"/><Relationship Id="rId9" Type="http://schemas.openxmlformats.org/officeDocument/2006/relationships/ctrlProp" Target="../ctrlProps/ctrlProp2340.xml"/><Relationship Id="rId14" Type="http://schemas.openxmlformats.org/officeDocument/2006/relationships/ctrlProp" Target="../ctrlProps/ctrlProp2345.xml"/><Relationship Id="rId22" Type="http://schemas.openxmlformats.org/officeDocument/2006/relationships/ctrlProp" Target="../ctrlProps/ctrlProp2353.xml"/><Relationship Id="rId27" Type="http://schemas.openxmlformats.org/officeDocument/2006/relationships/ctrlProp" Target="../ctrlProps/ctrlProp2358.xml"/><Relationship Id="rId30" Type="http://schemas.openxmlformats.org/officeDocument/2006/relationships/ctrlProp" Target="../ctrlProps/ctrlProp2361.xml"/><Relationship Id="rId35" Type="http://schemas.openxmlformats.org/officeDocument/2006/relationships/ctrlProp" Target="../ctrlProps/ctrlProp2366.xml"/><Relationship Id="rId8" Type="http://schemas.openxmlformats.org/officeDocument/2006/relationships/ctrlProp" Target="../ctrlProps/ctrlProp2339.xml"/><Relationship Id="rId3" Type="http://schemas.openxmlformats.org/officeDocument/2006/relationships/vmlDrawing" Target="../drawings/vmlDrawing52.vml"/></Relationships>
</file>

<file path=xl/worksheets/_rels/sheet56.xml.rels><?xml version="1.0" encoding="UTF-8" standalone="yes"?>
<Relationships xmlns="http://schemas.openxmlformats.org/package/2006/relationships"><Relationship Id="rId13" Type="http://schemas.openxmlformats.org/officeDocument/2006/relationships/ctrlProp" Target="../ctrlProps/ctrlProp2380.xml"/><Relationship Id="rId18" Type="http://schemas.openxmlformats.org/officeDocument/2006/relationships/ctrlProp" Target="../ctrlProps/ctrlProp2385.xml"/><Relationship Id="rId26" Type="http://schemas.openxmlformats.org/officeDocument/2006/relationships/ctrlProp" Target="../ctrlProps/ctrlProp2393.xml"/><Relationship Id="rId39" Type="http://schemas.openxmlformats.org/officeDocument/2006/relationships/ctrlProp" Target="../ctrlProps/ctrlProp2406.xml"/><Relationship Id="rId21" Type="http://schemas.openxmlformats.org/officeDocument/2006/relationships/ctrlProp" Target="../ctrlProps/ctrlProp2388.xml"/><Relationship Id="rId34" Type="http://schemas.openxmlformats.org/officeDocument/2006/relationships/ctrlProp" Target="../ctrlProps/ctrlProp2401.xml"/><Relationship Id="rId7" Type="http://schemas.openxmlformats.org/officeDocument/2006/relationships/ctrlProp" Target="../ctrlProps/ctrlProp2374.xml"/><Relationship Id="rId2" Type="http://schemas.openxmlformats.org/officeDocument/2006/relationships/printerSettings" Target="../printerSettings/printerSettings54.bin"/><Relationship Id="rId16" Type="http://schemas.openxmlformats.org/officeDocument/2006/relationships/ctrlProp" Target="../ctrlProps/ctrlProp2383.xml"/><Relationship Id="rId20" Type="http://schemas.openxmlformats.org/officeDocument/2006/relationships/ctrlProp" Target="../ctrlProps/ctrlProp2387.xml"/><Relationship Id="rId29" Type="http://schemas.openxmlformats.org/officeDocument/2006/relationships/ctrlProp" Target="../ctrlProps/ctrlProp2396.xml"/><Relationship Id="rId41" Type="http://schemas.openxmlformats.org/officeDocument/2006/relationships/ctrlProp" Target="../ctrlProps/ctrlProp2408.xml"/><Relationship Id="rId1" Type="http://schemas.openxmlformats.org/officeDocument/2006/relationships/hyperlink" Target="mailto:jap01@bigpond.com" TargetMode="External"/><Relationship Id="rId6" Type="http://schemas.openxmlformats.org/officeDocument/2006/relationships/ctrlProp" Target="../ctrlProps/ctrlProp2373.xml"/><Relationship Id="rId11" Type="http://schemas.openxmlformats.org/officeDocument/2006/relationships/ctrlProp" Target="../ctrlProps/ctrlProp2378.xml"/><Relationship Id="rId24" Type="http://schemas.openxmlformats.org/officeDocument/2006/relationships/ctrlProp" Target="../ctrlProps/ctrlProp2391.xml"/><Relationship Id="rId32" Type="http://schemas.openxmlformats.org/officeDocument/2006/relationships/ctrlProp" Target="../ctrlProps/ctrlProp2399.xml"/><Relationship Id="rId37" Type="http://schemas.openxmlformats.org/officeDocument/2006/relationships/ctrlProp" Target="../ctrlProps/ctrlProp2404.xml"/><Relationship Id="rId40" Type="http://schemas.openxmlformats.org/officeDocument/2006/relationships/ctrlProp" Target="../ctrlProps/ctrlProp2407.xml"/><Relationship Id="rId5" Type="http://schemas.openxmlformats.org/officeDocument/2006/relationships/ctrlProp" Target="../ctrlProps/ctrlProp2372.xml"/><Relationship Id="rId15" Type="http://schemas.openxmlformats.org/officeDocument/2006/relationships/ctrlProp" Target="../ctrlProps/ctrlProp2382.xml"/><Relationship Id="rId23" Type="http://schemas.openxmlformats.org/officeDocument/2006/relationships/ctrlProp" Target="../ctrlProps/ctrlProp2390.xml"/><Relationship Id="rId28" Type="http://schemas.openxmlformats.org/officeDocument/2006/relationships/ctrlProp" Target="../ctrlProps/ctrlProp2395.xml"/><Relationship Id="rId36" Type="http://schemas.openxmlformats.org/officeDocument/2006/relationships/ctrlProp" Target="../ctrlProps/ctrlProp2403.xml"/><Relationship Id="rId10" Type="http://schemas.openxmlformats.org/officeDocument/2006/relationships/ctrlProp" Target="../ctrlProps/ctrlProp2377.xml"/><Relationship Id="rId19" Type="http://schemas.openxmlformats.org/officeDocument/2006/relationships/ctrlProp" Target="../ctrlProps/ctrlProp2386.xml"/><Relationship Id="rId31" Type="http://schemas.openxmlformats.org/officeDocument/2006/relationships/ctrlProp" Target="../ctrlProps/ctrlProp2398.xml"/><Relationship Id="rId4" Type="http://schemas.openxmlformats.org/officeDocument/2006/relationships/vmlDrawing" Target="../drawings/vmlDrawing53.vml"/><Relationship Id="rId9" Type="http://schemas.openxmlformats.org/officeDocument/2006/relationships/ctrlProp" Target="../ctrlProps/ctrlProp2376.xml"/><Relationship Id="rId14" Type="http://schemas.openxmlformats.org/officeDocument/2006/relationships/ctrlProp" Target="../ctrlProps/ctrlProp2381.xml"/><Relationship Id="rId22" Type="http://schemas.openxmlformats.org/officeDocument/2006/relationships/ctrlProp" Target="../ctrlProps/ctrlProp2389.xml"/><Relationship Id="rId27" Type="http://schemas.openxmlformats.org/officeDocument/2006/relationships/ctrlProp" Target="../ctrlProps/ctrlProp2394.xml"/><Relationship Id="rId30" Type="http://schemas.openxmlformats.org/officeDocument/2006/relationships/ctrlProp" Target="../ctrlProps/ctrlProp2397.xml"/><Relationship Id="rId35" Type="http://schemas.openxmlformats.org/officeDocument/2006/relationships/ctrlProp" Target="../ctrlProps/ctrlProp2402.xml"/><Relationship Id="rId8" Type="http://schemas.openxmlformats.org/officeDocument/2006/relationships/ctrlProp" Target="../ctrlProps/ctrlProp2375.xml"/><Relationship Id="rId3" Type="http://schemas.openxmlformats.org/officeDocument/2006/relationships/drawing" Target="../drawings/drawing53.xml"/><Relationship Id="rId12" Type="http://schemas.openxmlformats.org/officeDocument/2006/relationships/ctrlProp" Target="../ctrlProps/ctrlProp2379.xml"/><Relationship Id="rId17" Type="http://schemas.openxmlformats.org/officeDocument/2006/relationships/ctrlProp" Target="../ctrlProps/ctrlProp2384.xml"/><Relationship Id="rId25" Type="http://schemas.openxmlformats.org/officeDocument/2006/relationships/ctrlProp" Target="../ctrlProps/ctrlProp2392.xml"/><Relationship Id="rId33" Type="http://schemas.openxmlformats.org/officeDocument/2006/relationships/ctrlProp" Target="../ctrlProps/ctrlProp2400.xml"/><Relationship Id="rId38" Type="http://schemas.openxmlformats.org/officeDocument/2006/relationships/ctrlProp" Target="../ctrlProps/ctrlProp2405.xml"/></Relationships>
</file>

<file path=xl/worksheets/_rels/sheet57.xml.rels><?xml version="1.0" encoding="UTF-8" standalone="yes"?>
<Relationships xmlns="http://schemas.openxmlformats.org/package/2006/relationships"><Relationship Id="rId13" Type="http://schemas.openxmlformats.org/officeDocument/2006/relationships/ctrlProp" Target="../ctrlProps/ctrlProp2417.xml"/><Relationship Id="rId18" Type="http://schemas.openxmlformats.org/officeDocument/2006/relationships/ctrlProp" Target="../ctrlProps/ctrlProp2422.xml"/><Relationship Id="rId26" Type="http://schemas.openxmlformats.org/officeDocument/2006/relationships/ctrlProp" Target="../ctrlProps/ctrlProp2430.xml"/><Relationship Id="rId39" Type="http://schemas.openxmlformats.org/officeDocument/2006/relationships/ctrlProp" Target="../ctrlProps/ctrlProp2443.xml"/><Relationship Id="rId21" Type="http://schemas.openxmlformats.org/officeDocument/2006/relationships/ctrlProp" Target="../ctrlProps/ctrlProp2425.xml"/><Relationship Id="rId34" Type="http://schemas.openxmlformats.org/officeDocument/2006/relationships/ctrlProp" Target="../ctrlProps/ctrlProp2438.xml"/><Relationship Id="rId7" Type="http://schemas.openxmlformats.org/officeDocument/2006/relationships/ctrlProp" Target="../ctrlProps/ctrlProp2411.xml"/><Relationship Id="rId2" Type="http://schemas.openxmlformats.org/officeDocument/2006/relationships/printerSettings" Target="../printerSettings/printerSettings55.bin"/><Relationship Id="rId16" Type="http://schemas.openxmlformats.org/officeDocument/2006/relationships/ctrlProp" Target="../ctrlProps/ctrlProp2420.xml"/><Relationship Id="rId20" Type="http://schemas.openxmlformats.org/officeDocument/2006/relationships/ctrlProp" Target="../ctrlProps/ctrlProp2424.xml"/><Relationship Id="rId29" Type="http://schemas.openxmlformats.org/officeDocument/2006/relationships/ctrlProp" Target="../ctrlProps/ctrlProp2433.xml"/><Relationship Id="rId41" Type="http://schemas.openxmlformats.org/officeDocument/2006/relationships/ctrlProp" Target="../ctrlProps/ctrlProp2445.xml"/><Relationship Id="rId1" Type="http://schemas.openxmlformats.org/officeDocument/2006/relationships/hyperlink" Target="mailto:grimbo61@gmail.com" TargetMode="External"/><Relationship Id="rId6" Type="http://schemas.openxmlformats.org/officeDocument/2006/relationships/ctrlProp" Target="../ctrlProps/ctrlProp2410.xml"/><Relationship Id="rId11" Type="http://schemas.openxmlformats.org/officeDocument/2006/relationships/ctrlProp" Target="../ctrlProps/ctrlProp2415.xml"/><Relationship Id="rId24" Type="http://schemas.openxmlformats.org/officeDocument/2006/relationships/ctrlProp" Target="../ctrlProps/ctrlProp2428.xml"/><Relationship Id="rId32" Type="http://schemas.openxmlformats.org/officeDocument/2006/relationships/ctrlProp" Target="../ctrlProps/ctrlProp2436.xml"/><Relationship Id="rId37" Type="http://schemas.openxmlformats.org/officeDocument/2006/relationships/ctrlProp" Target="../ctrlProps/ctrlProp2441.xml"/><Relationship Id="rId40" Type="http://schemas.openxmlformats.org/officeDocument/2006/relationships/ctrlProp" Target="../ctrlProps/ctrlProp2444.xml"/><Relationship Id="rId5" Type="http://schemas.openxmlformats.org/officeDocument/2006/relationships/ctrlProp" Target="../ctrlProps/ctrlProp2409.xml"/><Relationship Id="rId15" Type="http://schemas.openxmlformats.org/officeDocument/2006/relationships/ctrlProp" Target="../ctrlProps/ctrlProp2419.xml"/><Relationship Id="rId23" Type="http://schemas.openxmlformats.org/officeDocument/2006/relationships/ctrlProp" Target="../ctrlProps/ctrlProp2427.xml"/><Relationship Id="rId28" Type="http://schemas.openxmlformats.org/officeDocument/2006/relationships/ctrlProp" Target="../ctrlProps/ctrlProp2432.xml"/><Relationship Id="rId36" Type="http://schemas.openxmlformats.org/officeDocument/2006/relationships/ctrlProp" Target="../ctrlProps/ctrlProp2440.xml"/><Relationship Id="rId10" Type="http://schemas.openxmlformats.org/officeDocument/2006/relationships/ctrlProp" Target="../ctrlProps/ctrlProp2414.xml"/><Relationship Id="rId19" Type="http://schemas.openxmlformats.org/officeDocument/2006/relationships/ctrlProp" Target="../ctrlProps/ctrlProp2423.xml"/><Relationship Id="rId31" Type="http://schemas.openxmlformats.org/officeDocument/2006/relationships/ctrlProp" Target="../ctrlProps/ctrlProp2435.xml"/><Relationship Id="rId4" Type="http://schemas.openxmlformats.org/officeDocument/2006/relationships/vmlDrawing" Target="../drawings/vmlDrawing54.vml"/><Relationship Id="rId9" Type="http://schemas.openxmlformats.org/officeDocument/2006/relationships/ctrlProp" Target="../ctrlProps/ctrlProp2413.xml"/><Relationship Id="rId14" Type="http://schemas.openxmlformats.org/officeDocument/2006/relationships/ctrlProp" Target="../ctrlProps/ctrlProp2418.xml"/><Relationship Id="rId22" Type="http://schemas.openxmlformats.org/officeDocument/2006/relationships/ctrlProp" Target="../ctrlProps/ctrlProp2426.xml"/><Relationship Id="rId27" Type="http://schemas.openxmlformats.org/officeDocument/2006/relationships/ctrlProp" Target="../ctrlProps/ctrlProp2431.xml"/><Relationship Id="rId30" Type="http://schemas.openxmlformats.org/officeDocument/2006/relationships/ctrlProp" Target="../ctrlProps/ctrlProp2434.xml"/><Relationship Id="rId35" Type="http://schemas.openxmlformats.org/officeDocument/2006/relationships/ctrlProp" Target="../ctrlProps/ctrlProp2439.xml"/><Relationship Id="rId8" Type="http://schemas.openxmlformats.org/officeDocument/2006/relationships/ctrlProp" Target="../ctrlProps/ctrlProp2412.xml"/><Relationship Id="rId3" Type="http://schemas.openxmlformats.org/officeDocument/2006/relationships/drawing" Target="../drawings/drawing54.xml"/><Relationship Id="rId12" Type="http://schemas.openxmlformats.org/officeDocument/2006/relationships/ctrlProp" Target="../ctrlProps/ctrlProp2416.xml"/><Relationship Id="rId17" Type="http://schemas.openxmlformats.org/officeDocument/2006/relationships/ctrlProp" Target="../ctrlProps/ctrlProp2421.xml"/><Relationship Id="rId25" Type="http://schemas.openxmlformats.org/officeDocument/2006/relationships/ctrlProp" Target="../ctrlProps/ctrlProp2429.xml"/><Relationship Id="rId33" Type="http://schemas.openxmlformats.org/officeDocument/2006/relationships/ctrlProp" Target="../ctrlProps/ctrlProp2437.xml"/><Relationship Id="rId38" Type="http://schemas.openxmlformats.org/officeDocument/2006/relationships/ctrlProp" Target="../ctrlProps/ctrlProp2442.xml"/></Relationships>
</file>

<file path=xl/worksheets/_rels/sheet58.xml.rels><?xml version="1.0" encoding="UTF-8" standalone="yes"?>
<Relationships xmlns="http://schemas.openxmlformats.org/package/2006/relationships"><Relationship Id="rId13" Type="http://schemas.openxmlformats.org/officeDocument/2006/relationships/ctrlProp" Target="../ctrlProps/ctrlProp2455.xml"/><Relationship Id="rId18" Type="http://schemas.openxmlformats.org/officeDocument/2006/relationships/ctrlProp" Target="../ctrlProps/ctrlProp2460.xml"/><Relationship Id="rId26" Type="http://schemas.openxmlformats.org/officeDocument/2006/relationships/ctrlProp" Target="../ctrlProps/ctrlProp2468.xml"/><Relationship Id="rId39" Type="http://schemas.openxmlformats.org/officeDocument/2006/relationships/ctrlProp" Target="../ctrlProps/ctrlProp2481.xml"/><Relationship Id="rId21" Type="http://schemas.openxmlformats.org/officeDocument/2006/relationships/ctrlProp" Target="../ctrlProps/ctrlProp2463.xml"/><Relationship Id="rId34" Type="http://schemas.openxmlformats.org/officeDocument/2006/relationships/ctrlProp" Target="../ctrlProps/ctrlProp2476.xml"/><Relationship Id="rId7" Type="http://schemas.openxmlformats.org/officeDocument/2006/relationships/ctrlProp" Target="../ctrlProps/ctrlProp2449.xml"/><Relationship Id="rId12" Type="http://schemas.openxmlformats.org/officeDocument/2006/relationships/ctrlProp" Target="../ctrlProps/ctrlProp2454.xml"/><Relationship Id="rId17" Type="http://schemas.openxmlformats.org/officeDocument/2006/relationships/ctrlProp" Target="../ctrlProps/ctrlProp2459.xml"/><Relationship Id="rId25" Type="http://schemas.openxmlformats.org/officeDocument/2006/relationships/ctrlProp" Target="../ctrlProps/ctrlProp2467.xml"/><Relationship Id="rId33" Type="http://schemas.openxmlformats.org/officeDocument/2006/relationships/ctrlProp" Target="../ctrlProps/ctrlProp2475.xml"/><Relationship Id="rId38" Type="http://schemas.openxmlformats.org/officeDocument/2006/relationships/ctrlProp" Target="../ctrlProps/ctrlProp2480.xml"/><Relationship Id="rId2" Type="http://schemas.openxmlformats.org/officeDocument/2006/relationships/drawing" Target="../drawings/drawing55.xml"/><Relationship Id="rId16" Type="http://schemas.openxmlformats.org/officeDocument/2006/relationships/ctrlProp" Target="../ctrlProps/ctrlProp2458.xml"/><Relationship Id="rId20" Type="http://schemas.openxmlformats.org/officeDocument/2006/relationships/ctrlProp" Target="../ctrlProps/ctrlProp2462.xml"/><Relationship Id="rId29" Type="http://schemas.openxmlformats.org/officeDocument/2006/relationships/ctrlProp" Target="../ctrlProps/ctrlProp2471.xml"/><Relationship Id="rId1" Type="http://schemas.openxmlformats.org/officeDocument/2006/relationships/printerSettings" Target="../printerSettings/printerSettings56.bin"/><Relationship Id="rId6" Type="http://schemas.openxmlformats.org/officeDocument/2006/relationships/ctrlProp" Target="../ctrlProps/ctrlProp2448.xml"/><Relationship Id="rId11" Type="http://schemas.openxmlformats.org/officeDocument/2006/relationships/ctrlProp" Target="../ctrlProps/ctrlProp2453.xml"/><Relationship Id="rId24" Type="http://schemas.openxmlformats.org/officeDocument/2006/relationships/ctrlProp" Target="../ctrlProps/ctrlProp2466.xml"/><Relationship Id="rId32" Type="http://schemas.openxmlformats.org/officeDocument/2006/relationships/ctrlProp" Target="../ctrlProps/ctrlProp2474.xml"/><Relationship Id="rId37" Type="http://schemas.openxmlformats.org/officeDocument/2006/relationships/ctrlProp" Target="../ctrlProps/ctrlProp2479.xml"/><Relationship Id="rId40" Type="http://schemas.openxmlformats.org/officeDocument/2006/relationships/ctrlProp" Target="../ctrlProps/ctrlProp2482.xml"/><Relationship Id="rId5" Type="http://schemas.openxmlformats.org/officeDocument/2006/relationships/ctrlProp" Target="../ctrlProps/ctrlProp2447.xml"/><Relationship Id="rId15" Type="http://schemas.openxmlformats.org/officeDocument/2006/relationships/ctrlProp" Target="../ctrlProps/ctrlProp2457.xml"/><Relationship Id="rId23" Type="http://schemas.openxmlformats.org/officeDocument/2006/relationships/ctrlProp" Target="../ctrlProps/ctrlProp2465.xml"/><Relationship Id="rId28" Type="http://schemas.openxmlformats.org/officeDocument/2006/relationships/ctrlProp" Target="../ctrlProps/ctrlProp2470.xml"/><Relationship Id="rId36" Type="http://schemas.openxmlformats.org/officeDocument/2006/relationships/ctrlProp" Target="../ctrlProps/ctrlProp2478.xml"/><Relationship Id="rId10" Type="http://schemas.openxmlformats.org/officeDocument/2006/relationships/ctrlProp" Target="../ctrlProps/ctrlProp2452.xml"/><Relationship Id="rId19" Type="http://schemas.openxmlformats.org/officeDocument/2006/relationships/ctrlProp" Target="../ctrlProps/ctrlProp2461.xml"/><Relationship Id="rId31" Type="http://schemas.openxmlformats.org/officeDocument/2006/relationships/ctrlProp" Target="../ctrlProps/ctrlProp2473.xml"/><Relationship Id="rId4" Type="http://schemas.openxmlformats.org/officeDocument/2006/relationships/ctrlProp" Target="../ctrlProps/ctrlProp2446.xml"/><Relationship Id="rId9" Type="http://schemas.openxmlformats.org/officeDocument/2006/relationships/ctrlProp" Target="../ctrlProps/ctrlProp2451.xml"/><Relationship Id="rId14" Type="http://schemas.openxmlformats.org/officeDocument/2006/relationships/ctrlProp" Target="../ctrlProps/ctrlProp2456.xml"/><Relationship Id="rId22" Type="http://schemas.openxmlformats.org/officeDocument/2006/relationships/ctrlProp" Target="../ctrlProps/ctrlProp2464.xml"/><Relationship Id="rId27" Type="http://schemas.openxmlformats.org/officeDocument/2006/relationships/ctrlProp" Target="../ctrlProps/ctrlProp2469.xml"/><Relationship Id="rId30" Type="http://schemas.openxmlformats.org/officeDocument/2006/relationships/ctrlProp" Target="../ctrlProps/ctrlProp2472.xml"/><Relationship Id="rId35" Type="http://schemas.openxmlformats.org/officeDocument/2006/relationships/ctrlProp" Target="../ctrlProps/ctrlProp2477.xml"/><Relationship Id="rId8" Type="http://schemas.openxmlformats.org/officeDocument/2006/relationships/ctrlProp" Target="../ctrlProps/ctrlProp2450.xml"/><Relationship Id="rId3" Type="http://schemas.openxmlformats.org/officeDocument/2006/relationships/vmlDrawing" Target="../drawings/vmlDrawing55.vml"/></Relationships>
</file>

<file path=xl/worksheets/_rels/sheet59.xml.rels><?xml version="1.0" encoding="UTF-8" standalone="yes"?>
<Relationships xmlns="http://schemas.openxmlformats.org/package/2006/relationships"><Relationship Id="rId13" Type="http://schemas.openxmlformats.org/officeDocument/2006/relationships/ctrlProp" Target="../ctrlProps/ctrlProp2492.xml"/><Relationship Id="rId18" Type="http://schemas.openxmlformats.org/officeDocument/2006/relationships/ctrlProp" Target="../ctrlProps/ctrlProp2497.xml"/><Relationship Id="rId26" Type="http://schemas.openxmlformats.org/officeDocument/2006/relationships/ctrlProp" Target="../ctrlProps/ctrlProp2505.xml"/><Relationship Id="rId39" Type="http://schemas.openxmlformats.org/officeDocument/2006/relationships/ctrlProp" Target="../ctrlProps/ctrlProp2518.xml"/><Relationship Id="rId21" Type="http://schemas.openxmlformats.org/officeDocument/2006/relationships/ctrlProp" Target="../ctrlProps/ctrlProp2500.xml"/><Relationship Id="rId34" Type="http://schemas.openxmlformats.org/officeDocument/2006/relationships/ctrlProp" Target="../ctrlProps/ctrlProp2513.xml"/><Relationship Id="rId7" Type="http://schemas.openxmlformats.org/officeDocument/2006/relationships/ctrlProp" Target="../ctrlProps/ctrlProp2486.xml"/><Relationship Id="rId12" Type="http://schemas.openxmlformats.org/officeDocument/2006/relationships/ctrlProp" Target="../ctrlProps/ctrlProp2491.xml"/><Relationship Id="rId17" Type="http://schemas.openxmlformats.org/officeDocument/2006/relationships/ctrlProp" Target="../ctrlProps/ctrlProp2496.xml"/><Relationship Id="rId25" Type="http://schemas.openxmlformats.org/officeDocument/2006/relationships/ctrlProp" Target="../ctrlProps/ctrlProp2504.xml"/><Relationship Id="rId33" Type="http://schemas.openxmlformats.org/officeDocument/2006/relationships/ctrlProp" Target="../ctrlProps/ctrlProp2512.xml"/><Relationship Id="rId38" Type="http://schemas.openxmlformats.org/officeDocument/2006/relationships/ctrlProp" Target="../ctrlProps/ctrlProp2517.xml"/><Relationship Id="rId2" Type="http://schemas.openxmlformats.org/officeDocument/2006/relationships/drawing" Target="../drawings/drawing56.xml"/><Relationship Id="rId16" Type="http://schemas.openxmlformats.org/officeDocument/2006/relationships/ctrlProp" Target="../ctrlProps/ctrlProp2495.xml"/><Relationship Id="rId20" Type="http://schemas.openxmlformats.org/officeDocument/2006/relationships/ctrlProp" Target="../ctrlProps/ctrlProp2499.xml"/><Relationship Id="rId29" Type="http://schemas.openxmlformats.org/officeDocument/2006/relationships/ctrlProp" Target="../ctrlProps/ctrlProp2508.xml"/><Relationship Id="rId1" Type="http://schemas.openxmlformats.org/officeDocument/2006/relationships/printerSettings" Target="../printerSettings/printerSettings57.bin"/><Relationship Id="rId6" Type="http://schemas.openxmlformats.org/officeDocument/2006/relationships/ctrlProp" Target="../ctrlProps/ctrlProp2485.xml"/><Relationship Id="rId11" Type="http://schemas.openxmlformats.org/officeDocument/2006/relationships/ctrlProp" Target="../ctrlProps/ctrlProp2490.xml"/><Relationship Id="rId24" Type="http://schemas.openxmlformats.org/officeDocument/2006/relationships/ctrlProp" Target="../ctrlProps/ctrlProp2503.xml"/><Relationship Id="rId32" Type="http://schemas.openxmlformats.org/officeDocument/2006/relationships/ctrlProp" Target="../ctrlProps/ctrlProp2511.xml"/><Relationship Id="rId37" Type="http://schemas.openxmlformats.org/officeDocument/2006/relationships/ctrlProp" Target="../ctrlProps/ctrlProp2516.xml"/><Relationship Id="rId40" Type="http://schemas.openxmlformats.org/officeDocument/2006/relationships/ctrlProp" Target="../ctrlProps/ctrlProp2519.xml"/><Relationship Id="rId5" Type="http://schemas.openxmlformats.org/officeDocument/2006/relationships/ctrlProp" Target="../ctrlProps/ctrlProp2484.xml"/><Relationship Id="rId15" Type="http://schemas.openxmlformats.org/officeDocument/2006/relationships/ctrlProp" Target="../ctrlProps/ctrlProp2494.xml"/><Relationship Id="rId23" Type="http://schemas.openxmlformats.org/officeDocument/2006/relationships/ctrlProp" Target="../ctrlProps/ctrlProp2502.xml"/><Relationship Id="rId28" Type="http://schemas.openxmlformats.org/officeDocument/2006/relationships/ctrlProp" Target="../ctrlProps/ctrlProp2507.xml"/><Relationship Id="rId36" Type="http://schemas.openxmlformats.org/officeDocument/2006/relationships/ctrlProp" Target="../ctrlProps/ctrlProp2515.xml"/><Relationship Id="rId10" Type="http://schemas.openxmlformats.org/officeDocument/2006/relationships/ctrlProp" Target="../ctrlProps/ctrlProp2489.xml"/><Relationship Id="rId19" Type="http://schemas.openxmlformats.org/officeDocument/2006/relationships/ctrlProp" Target="../ctrlProps/ctrlProp2498.xml"/><Relationship Id="rId31" Type="http://schemas.openxmlformats.org/officeDocument/2006/relationships/ctrlProp" Target="../ctrlProps/ctrlProp2510.xml"/><Relationship Id="rId4" Type="http://schemas.openxmlformats.org/officeDocument/2006/relationships/ctrlProp" Target="../ctrlProps/ctrlProp2483.xml"/><Relationship Id="rId9" Type="http://schemas.openxmlformats.org/officeDocument/2006/relationships/ctrlProp" Target="../ctrlProps/ctrlProp2488.xml"/><Relationship Id="rId14" Type="http://schemas.openxmlformats.org/officeDocument/2006/relationships/ctrlProp" Target="../ctrlProps/ctrlProp2493.xml"/><Relationship Id="rId22" Type="http://schemas.openxmlformats.org/officeDocument/2006/relationships/ctrlProp" Target="../ctrlProps/ctrlProp2501.xml"/><Relationship Id="rId27" Type="http://schemas.openxmlformats.org/officeDocument/2006/relationships/ctrlProp" Target="../ctrlProps/ctrlProp2506.xml"/><Relationship Id="rId30" Type="http://schemas.openxmlformats.org/officeDocument/2006/relationships/ctrlProp" Target="../ctrlProps/ctrlProp2509.xml"/><Relationship Id="rId35" Type="http://schemas.openxmlformats.org/officeDocument/2006/relationships/ctrlProp" Target="../ctrlProps/ctrlProp2514.xml"/><Relationship Id="rId8" Type="http://schemas.openxmlformats.org/officeDocument/2006/relationships/ctrlProp" Target="../ctrlProps/ctrlProp2487.xml"/><Relationship Id="rId3" Type="http://schemas.openxmlformats.org/officeDocument/2006/relationships/vmlDrawing" Target="../drawings/vmlDrawing56.vml"/></Relationships>
</file>

<file path=xl/worksheets/_rels/sheet60.xml.rels><?xml version="1.0" encoding="UTF-8" standalone="yes"?>
<Relationships xmlns="http://schemas.openxmlformats.org/package/2006/relationships"><Relationship Id="rId13" Type="http://schemas.openxmlformats.org/officeDocument/2006/relationships/ctrlProp" Target="../ctrlProps/ctrlProp2529.xml"/><Relationship Id="rId18" Type="http://schemas.openxmlformats.org/officeDocument/2006/relationships/ctrlProp" Target="../ctrlProps/ctrlProp2534.xml"/><Relationship Id="rId26" Type="http://schemas.openxmlformats.org/officeDocument/2006/relationships/ctrlProp" Target="../ctrlProps/ctrlProp2542.xml"/><Relationship Id="rId39" Type="http://schemas.openxmlformats.org/officeDocument/2006/relationships/ctrlProp" Target="../ctrlProps/ctrlProp2555.xml"/><Relationship Id="rId21" Type="http://schemas.openxmlformats.org/officeDocument/2006/relationships/ctrlProp" Target="../ctrlProps/ctrlProp2537.xml"/><Relationship Id="rId34" Type="http://schemas.openxmlformats.org/officeDocument/2006/relationships/ctrlProp" Target="../ctrlProps/ctrlProp2550.xml"/><Relationship Id="rId7" Type="http://schemas.openxmlformats.org/officeDocument/2006/relationships/ctrlProp" Target="../ctrlProps/ctrlProp2523.xml"/><Relationship Id="rId12" Type="http://schemas.openxmlformats.org/officeDocument/2006/relationships/ctrlProp" Target="../ctrlProps/ctrlProp2528.xml"/><Relationship Id="rId17" Type="http://schemas.openxmlformats.org/officeDocument/2006/relationships/ctrlProp" Target="../ctrlProps/ctrlProp2533.xml"/><Relationship Id="rId25" Type="http://schemas.openxmlformats.org/officeDocument/2006/relationships/ctrlProp" Target="../ctrlProps/ctrlProp2541.xml"/><Relationship Id="rId33" Type="http://schemas.openxmlformats.org/officeDocument/2006/relationships/ctrlProp" Target="../ctrlProps/ctrlProp2549.xml"/><Relationship Id="rId38" Type="http://schemas.openxmlformats.org/officeDocument/2006/relationships/ctrlProp" Target="../ctrlProps/ctrlProp2554.xml"/><Relationship Id="rId2" Type="http://schemas.openxmlformats.org/officeDocument/2006/relationships/drawing" Target="../drawings/drawing57.xml"/><Relationship Id="rId16" Type="http://schemas.openxmlformats.org/officeDocument/2006/relationships/ctrlProp" Target="../ctrlProps/ctrlProp2532.xml"/><Relationship Id="rId20" Type="http://schemas.openxmlformats.org/officeDocument/2006/relationships/ctrlProp" Target="../ctrlProps/ctrlProp2536.xml"/><Relationship Id="rId29" Type="http://schemas.openxmlformats.org/officeDocument/2006/relationships/ctrlProp" Target="../ctrlProps/ctrlProp2545.xml"/><Relationship Id="rId1" Type="http://schemas.openxmlformats.org/officeDocument/2006/relationships/printerSettings" Target="../printerSettings/printerSettings58.bin"/><Relationship Id="rId6" Type="http://schemas.openxmlformats.org/officeDocument/2006/relationships/ctrlProp" Target="../ctrlProps/ctrlProp2522.xml"/><Relationship Id="rId11" Type="http://schemas.openxmlformats.org/officeDocument/2006/relationships/ctrlProp" Target="../ctrlProps/ctrlProp2527.xml"/><Relationship Id="rId24" Type="http://schemas.openxmlformats.org/officeDocument/2006/relationships/ctrlProp" Target="../ctrlProps/ctrlProp2540.xml"/><Relationship Id="rId32" Type="http://schemas.openxmlformats.org/officeDocument/2006/relationships/ctrlProp" Target="../ctrlProps/ctrlProp2548.xml"/><Relationship Id="rId37" Type="http://schemas.openxmlformats.org/officeDocument/2006/relationships/ctrlProp" Target="../ctrlProps/ctrlProp2553.xml"/><Relationship Id="rId40" Type="http://schemas.openxmlformats.org/officeDocument/2006/relationships/ctrlProp" Target="../ctrlProps/ctrlProp2556.xml"/><Relationship Id="rId5" Type="http://schemas.openxmlformats.org/officeDocument/2006/relationships/ctrlProp" Target="../ctrlProps/ctrlProp2521.xml"/><Relationship Id="rId15" Type="http://schemas.openxmlformats.org/officeDocument/2006/relationships/ctrlProp" Target="../ctrlProps/ctrlProp2531.xml"/><Relationship Id="rId23" Type="http://schemas.openxmlformats.org/officeDocument/2006/relationships/ctrlProp" Target="../ctrlProps/ctrlProp2539.xml"/><Relationship Id="rId28" Type="http://schemas.openxmlformats.org/officeDocument/2006/relationships/ctrlProp" Target="../ctrlProps/ctrlProp2544.xml"/><Relationship Id="rId36" Type="http://schemas.openxmlformats.org/officeDocument/2006/relationships/ctrlProp" Target="../ctrlProps/ctrlProp2552.xml"/><Relationship Id="rId10" Type="http://schemas.openxmlformats.org/officeDocument/2006/relationships/ctrlProp" Target="../ctrlProps/ctrlProp2526.xml"/><Relationship Id="rId19" Type="http://schemas.openxmlformats.org/officeDocument/2006/relationships/ctrlProp" Target="../ctrlProps/ctrlProp2535.xml"/><Relationship Id="rId31" Type="http://schemas.openxmlformats.org/officeDocument/2006/relationships/ctrlProp" Target="../ctrlProps/ctrlProp2547.xml"/><Relationship Id="rId4" Type="http://schemas.openxmlformats.org/officeDocument/2006/relationships/ctrlProp" Target="../ctrlProps/ctrlProp2520.xml"/><Relationship Id="rId9" Type="http://schemas.openxmlformats.org/officeDocument/2006/relationships/ctrlProp" Target="../ctrlProps/ctrlProp2525.xml"/><Relationship Id="rId14" Type="http://schemas.openxmlformats.org/officeDocument/2006/relationships/ctrlProp" Target="../ctrlProps/ctrlProp2530.xml"/><Relationship Id="rId22" Type="http://schemas.openxmlformats.org/officeDocument/2006/relationships/ctrlProp" Target="../ctrlProps/ctrlProp2538.xml"/><Relationship Id="rId27" Type="http://schemas.openxmlformats.org/officeDocument/2006/relationships/ctrlProp" Target="../ctrlProps/ctrlProp2543.xml"/><Relationship Id="rId30" Type="http://schemas.openxmlformats.org/officeDocument/2006/relationships/ctrlProp" Target="../ctrlProps/ctrlProp2546.xml"/><Relationship Id="rId35" Type="http://schemas.openxmlformats.org/officeDocument/2006/relationships/ctrlProp" Target="../ctrlProps/ctrlProp2551.xml"/><Relationship Id="rId8" Type="http://schemas.openxmlformats.org/officeDocument/2006/relationships/ctrlProp" Target="../ctrlProps/ctrlProp2524.xml"/><Relationship Id="rId3" Type="http://schemas.openxmlformats.org/officeDocument/2006/relationships/vmlDrawing" Target="../drawings/vmlDrawing57.vml"/></Relationships>
</file>

<file path=xl/worksheets/_rels/sheet61.xml.rels><?xml version="1.0" encoding="UTF-8" standalone="yes"?>
<Relationships xmlns="http://schemas.openxmlformats.org/package/2006/relationships"><Relationship Id="rId13" Type="http://schemas.openxmlformats.org/officeDocument/2006/relationships/ctrlProp" Target="../ctrlProps/ctrlProp2566.xml"/><Relationship Id="rId18" Type="http://schemas.openxmlformats.org/officeDocument/2006/relationships/ctrlProp" Target="../ctrlProps/ctrlProp2571.xml"/><Relationship Id="rId26" Type="http://schemas.openxmlformats.org/officeDocument/2006/relationships/ctrlProp" Target="../ctrlProps/ctrlProp2579.xml"/><Relationship Id="rId39" Type="http://schemas.openxmlformats.org/officeDocument/2006/relationships/ctrlProp" Target="../ctrlProps/ctrlProp2592.xml"/><Relationship Id="rId21" Type="http://schemas.openxmlformats.org/officeDocument/2006/relationships/ctrlProp" Target="../ctrlProps/ctrlProp2574.xml"/><Relationship Id="rId34" Type="http://schemas.openxmlformats.org/officeDocument/2006/relationships/ctrlProp" Target="../ctrlProps/ctrlProp2587.xml"/><Relationship Id="rId7" Type="http://schemas.openxmlformats.org/officeDocument/2006/relationships/ctrlProp" Target="../ctrlProps/ctrlProp2560.xml"/><Relationship Id="rId12" Type="http://schemas.openxmlformats.org/officeDocument/2006/relationships/ctrlProp" Target="../ctrlProps/ctrlProp2565.xml"/><Relationship Id="rId17" Type="http://schemas.openxmlformats.org/officeDocument/2006/relationships/ctrlProp" Target="../ctrlProps/ctrlProp2570.xml"/><Relationship Id="rId25" Type="http://schemas.openxmlformats.org/officeDocument/2006/relationships/ctrlProp" Target="../ctrlProps/ctrlProp2578.xml"/><Relationship Id="rId33" Type="http://schemas.openxmlformats.org/officeDocument/2006/relationships/ctrlProp" Target="../ctrlProps/ctrlProp2586.xml"/><Relationship Id="rId38" Type="http://schemas.openxmlformats.org/officeDocument/2006/relationships/ctrlProp" Target="../ctrlProps/ctrlProp2591.xml"/><Relationship Id="rId2" Type="http://schemas.openxmlformats.org/officeDocument/2006/relationships/drawing" Target="../drawings/drawing58.xml"/><Relationship Id="rId16" Type="http://schemas.openxmlformats.org/officeDocument/2006/relationships/ctrlProp" Target="../ctrlProps/ctrlProp2569.xml"/><Relationship Id="rId20" Type="http://schemas.openxmlformats.org/officeDocument/2006/relationships/ctrlProp" Target="../ctrlProps/ctrlProp2573.xml"/><Relationship Id="rId29" Type="http://schemas.openxmlformats.org/officeDocument/2006/relationships/ctrlProp" Target="../ctrlProps/ctrlProp2582.xml"/><Relationship Id="rId1" Type="http://schemas.openxmlformats.org/officeDocument/2006/relationships/printerSettings" Target="../printerSettings/printerSettings59.bin"/><Relationship Id="rId6" Type="http://schemas.openxmlformats.org/officeDocument/2006/relationships/ctrlProp" Target="../ctrlProps/ctrlProp2559.xml"/><Relationship Id="rId11" Type="http://schemas.openxmlformats.org/officeDocument/2006/relationships/ctrlProp" Target="../ctrlProps/ctrlProp2564.xml"/><Relationship Id="rId24" Type="http://schemas.openxmlformats.org/officeDocument/2006/relationships/ctrlProp" Target="../ctrlProps/ctrlProp2577.xml"/><Relationship Id="rId32" Type="http://schemas.openxmlformats.org/officeDocument/2006/relationships/ctrlProp" Target="../ctrlProps/ctrlProp2585.xml"/><Relationship Id="rId37" Type="http://schemas.openxmlformats.org/officeDocument/2006/relationships/ctrlProp" Target="../ctrlProps/ctrlProp2590.xml"/><Relationship Id="rId40" Type="http://schemas.openxmlformats.org/officeDocument/2006/relationships/ctrlProp" Target="../ctrlProps/ctrlProp2593.xml"/><Relationship Id="rId5" Type="http://schemas.openxmlformats.org/officeDocument/2006/relationships/ctrlProp" Target="../ctrlProps/ctrlProp2558.xml"/><Relationship Id="rId15" Type="http://schemas.openxmlformats.org/officeDocument/2006/relationships/ctrlProp" Target="../ctrlProps/ctrlProp2568.xml"/><Relationship Id="rId23" Type="http://schemas.openxmlformats.org/officeDocument/2006/relationships/ctrlProp" Target="../ctrlProps/ctrlProp2576.xml"/><Relationship Id="rId28" Type="http://schemas.openxmlformats.org/officeDocument/2006/relationships/ctrlProp" Target="../ctrlProps/ctrlProp2581.xml"/><Relationship Id="rId36" Type="http://schemas.openxmlformats.org/officeDocument/2006/relationships/ctrlProp" Target="../ctrlProps/ctrlProp2589.xml"/><Relationship Id="rId10" Type="http://schemas.openxmlformats.org/officeDocument/2006/relationships/ctrlProp" Target="../ctrlProps/ctrlProp2563.xml"/><Relationship Id="rId19" Type="http://schemas.openxmlformats.org/officeDocument/2006/relationships/ctrlProp" Target="../ctrlProps/ctrlProp2572.xml"/><Relationship Id="rId31" Type="http://schemas.openxmlformats.org/officeDocument/2006/relationships/ctrlProp" Target="../ctrlProps/ctrlProp2584.xml"/><Relationship Id="rId4" Type="http://schemas.openxmlformats.org/officeDocument/2006/relationships/ctrlProp" Target="../ctrlProps/ctrlProp2557.xml"/><Relationship Id="rId9" Type="http://schemas.openxmlformats.org/officeDocument/2006/relationships/ctrlProp" Target="../ctrlProps/ctrlProp2562.xml"/><Relationship Id="rId14" Type="http://schemas.openxmlformats.org/officeDocument/2006/relationships/ctrlProp" Target="../ctrlProps/ctrlProp2567.xml"/><Relationship Id="rId22" Type="http://schemas.openxmlformats.org/officeDocument/2006/relationships/ctrlProp" Target="../ctrlProps/ctrlProp2575.xml"/><Relationship Id="rId27" Type="http://schemas.openxmlformats.org/officeDocument/2006/relationships/ctrlProp" Target="../ctrlProps/ctrlProp2580.xml"/><Relationship Id="rId30" Type="http://schemas.openxmlformats.org/officeDocument/2006/relationships/ctrlProp" Target="../ctrlProps/ctrlProp2583.xml"/><Relationship Id="rId35" Type="http://schemas.openxmlformats.org/officeDocument/2006/relationships/ctrlProp" Target="../ctrlProps/ctrlProp2588.xml"/><Relationship Id="rId8" Type="http://schemas.openxmlformats.org/officeDocument/2006/relationships/ctrlProp" Target="../ctrlProps/ctrlProp2561.xml"/><Relationship Id="rId3" Type="http://schemas.openxmlformats.org/officeDocument/2006/relationships/vmlDrawing" Target="../drawings/vmlDrawing58.vml"/></Relationships>
</file>

<file path=xl/worksheets/_rels/sheet62.xml.rels><?xml version="1.0" encoding="UTF-8" standalone="yes"?>
<Relationships xmlns="http://schemas.openxmlformats.org/package/2006/relationships"><Relationship Id="rId13" Type="http://schemas.openxmlformats.org/officeDocument/2006/relationships/ctrlProp" Target="../ctrlProps/ctrlProp2603.xml"/><Relationship Id="rId18" Type="http://schemas.openxmlformats.org/officeDocument/2006/relationships/ctrlProp" Target="../ctrlProps/ctrlProp2608.xml"/><Relationship Id="rId26" Type="http://schemas.openxmlformats.org/officeDocument/2006/relationships/ctrlProp" Target="../ctrlProps/ctrlProp2616.xml"/><Relationship Id="rId39" Type="http://schemas.openxmlformats.org/officeDocument/2006/relationships/ctrlProp" Target="../ctrlProps/ctrlProp2629.xml"/><Relationship Id="rId21" Type="http://schemas.openxmlformats.org/officeDocument/2006/relationships/ctrlProp" Target="../ctrlProps/ctrlProp2611.xml"/><Relationship Id="rId34" Type="http://schemas.openxmlformats.org/officeDocument/2006/relationships/ctrlProp" Target="../ctrlProps/ctrlProp2624.xml"/><Relationship Id="rId7" Type="http://schemas.openxmlformats.org/officeDocument/2006/relationships/ctrlProp" Target="../ctrlProps/ctrlProp2597.xml"/><Relationship Id="rId12" Type="http://schemas.openxmlformats.org/officeDocument/2006/relationships/ctrlProp" Target="../ctrlProps/ctrlProp2602.xml"/><Relationship Id="rId17" Type="http://schemas.openxmlformats.org/officeDocument/2006/relationships/ctrlProp" Target="../ctrlProps/ctrlProp2607.xml"/><Relationship Id="rId25" Type="http://schemas.openxmlformats.org/officeDocument/2006/relationships/ctrlProp" Target="../ctrlProps/ctrlProp2615.xml"/><Relationship Id="rId33" Type="http://schemas.openxmlformats.org/officeDocument/2006/relationships/ctrlProp" Target="../ctrlProps/ctrlProp2623.xml"/><Relationship Id="rId38" Type="http://schemas.openxmlformats.org/officeDocument/2006/relationships/ctrlProp" Target="../ctrlProps/ctrlProp2628.xml"/><Relationship Id="rId2" Type="http://schemas.openxmlformats.org/officeDocument/2006/relationships/drawing" Target="../drawings/drawing59.xml"/><Relationship Id="rId16" Type="http://schemas.openxmlformats.org/officeDocument/2006/relationships/ctrlProp" Target="../ctrlProps/ctrlProp2606.xml"/><Relationship Id="rId20" Type="http://schemas.openxmlformats.org/officeDocument/2006/relationships/ctrlProp" Target="../ctrlProps/ctrlProp2610.xml"/><Relationship Id="rId29" Type="http://schemas.openxmlformats.org/officeDocument/2006/relationships/ctrlProp" Target="../ctrlProps/ctrlProp2619.xml"/><Relationship Id="rId1" Type="http://schemas.openxmlformats.org/officeDocument/2006/relationships/printerSettings" Target="../printerSettings/printerSettings60.bin"/><Relationship Id="rId6" Type="http://schemas.openxmlformats.org/officeDocument/2006/relationships/ctrlProp" Target="../ctrlProps/ctrlProp2596.xml"/><Relationship Id="rId11" Type="http://schemas.openxmlformats.org/officeDocument/2006/relationships/ctrlProp" Target="../ctrlProps/ctrlProp2601.xml"/><Relationship Id="rId24" Type="http://schemas.openxmlformats.org/officeDocument/2006/relationships/ctrlProp" Target="../ctrlProps/ctrlProp2614.xml"/><Relationship Id="rId32" Type="http://schemas.openxmlformats.org/officeDocument/2006/relationships/ctrlProp" Target="../ctrlProps/ctrlProp2622.xml"/><Relationship Id="rId37" Type="http://schemas.openxmlformats.org/officeDocument/2006/relationships/ctrlProp" Target="../ctrlProps/ctrlProp2627.xml"/><Relationship Id="rId40" Type="http://schemas.openxmlformats.org/officeDocument/2006/relationships/ctrlProp" Target="../ctrlProps/ctrlProp2630.xml"/><Relationship Id="rId5" Type="http://schemas.openxmlformats.org/officeDocument/2006/relationships/ctrlProp" Target="../ctrlProps/ctrlProp2595.xml"/><Relationship Id="rId15" Type="http://schemas.openxmlformats.org/officeDocument/2006/relationships/ctrlProp" Target="../ctrlProps/ctrlProp2605.xml"/><Relationship Id="rId23" Type="http://schemas.openxmlformats.org/officeDocument/2006/relationships/ctrlProp" Target="../ctrlProps/ctrlProp2613.xml"/><Relationship Id="rId28" Type="http://schemas.openxmlformats.org/officeDocument/2006/relationships/ctrlProp" Target="../ctrlProps/ctrlProp2618.xml"/><Relationship Id="rId36" Type="http://schemas.openxmlformats.org/officeDocument/2006/relationships/ctrlProp" Target="../ctrlProps/ctrlProp2626.xml"/><Relationship Id="rId10" Type="http://schemas.openxmlformats.org/officeDocument/2006/relationships/ctrlProp" Target="../ctrlProps/ctrlProp2600.xml"/><Relationship Id="rId19" Type="http://schemas.openxmlformats.org/officeDocument/2006/relationships/ctrlProp" Target="../ctrlProps/ctrlProp2609.xml"/><Relationship Id="rId31" Type="http://schemas.openxmlformats.org/officeDocument/2006/relationships/ctrlProp" Target="../ctrlProps/ctrlProp2621.xml"/><Relationship Id="rId4" Type="http://schemas.openxmlformats.org/officeDocument/2006/relationships/ctrlProp" Target="../ctrlProps/ctrlProp2594.xml"/><Relationship Id="rId9" Type="http://schemas.openxmlformats.org/officeDocument/2006/relationships/ctrlProp" Target="../ctrlProps/ctrlProp2599.xml"/><Relationship Id="rId14" Type="http://schemas.openxmlformats.org/officeDocument/2006/relationships/ctrlProp" Target="../ctrlProps/ctrlProp2604.xml"/><Relationship Id="rId22" Type="http://schemas.openxmlformats.org/officeDocument/2006/relationships/ctrlProp" Target="../ctrlProps/ctrlProp2612.xml"/><Relationship Id="rId27" Type="http://schemas.openxmlformats.org/officeDocument/2006/relationships/ctrlProp" Target="../ctrlProps/ctrlProp2617.xml"/><Relationship Id="rId30" Type="http://schemas.openxmlformats.org/officeDocument/2006/relationships/ctrlProp" Target="../ctrlProps/ctrlProp2620.xml"/><Relationship Id="rId35" Type="http://schemas.openxmlformats.org/officeDocument/2006/relationships/ctrlProp" Target="../ctrlProps/ctrlProp2625.xml"/><Relationship Id="rId8" Type="http://schemas.openxmlformats.org/officeDocument/2006/relationships/ctrlProp" Target="../ctrlProps/ctrlProp2598.xml"/><Relationship Id="rId3" Type="http://schemas.openxmlformats.org/officeDocument/2006/relationships/vmlDrawing" Target="../drawings/vmlDrawing59.vml"/></Relationships>
</file>

<file path=xl/worksheets/_rels/sheet63.xml.rels><?xml version="1.0" encoding="UTF-8" standalone="yes"?>
<Relationships xmlns="http://schemas.openxmlformats.org/package/2006/relationships"><Relationship Id="rId13" Type="http://schemas.openxmlformats.org/officeDocument/2006/relationships/ctrlProp" Target="../ctrlProps/ctrlProp2639.xml"/><Relationship Id="rId18" Type="http://schemas.openxmlformats.org/officeDocument/2006/relationships/ctrlProp" Target="../ctrlProps/ctrlProp2644.xml"/><Relationship Id="rId26" Type="http://schemas.openxmlformats.org/officeDocument/2006/relationships/ctrlProp" Target="../ctrlProps/ctrlProp2652.xml"/><Relationship Id="rId39" Type="http://schemas.openxmlformats.org/officeDocument/2006/relationships/ctrlProp" Target="../ctrlProps/ctrlProp2665.xml"/><Relationship Id="rId21" Type="http://schemas.openxmlformats.org/officeDocument/2006/relationships/ctrlProp" Target="../ctrlProps/ctrlProp2647.xml"/><Relationship Id="rId34" Type="http://schemas.openxmlformats.org/officeDocument/2006/relationships/ctrlProp" Target="../ctrlProps/ctrlProp2660.xml"/><Relationship Id="rId7" Type="http://schemas.openxmlformats.org/officeDocument/2006/relationships/ctrlProp" Target="../ctrlProps/ctrlProp2633.xml"/><Relationship Id="rId2" Type="http://schemas.openxmlformats.org/officeDocument/2006/relationships/printerSettings" Target="../printerSettings/printerSettings61.bin"/><Relationship Id="rId16" Type="http://schemas.openxmlformats.org/officeDocument/2006/relationships/ctrlProp" Target="../ctrlProps/ctrlProp2642.xml"/><Relationship Id="rId20" Type="http://schemas.openxmlformats.org/officeDocument/2006/relationships/ctrlProp" Target="../ctrlProps/ctrlProp2646.xml"/><Relationship Id="rId29" Type="http://schemas.openxmlformats.org/officeDocument/2006/relationships/ctrlProp" Target="../ctrlProps/ctrlProp2655.xml"/><Relationship Id="rId41" Type="http://schemas.openxmlformats.org/officeDocument/2006/relationships/ctrlProp" Target="../ctrlProps/ctrlProp2667.xml"/><Relationship Id="rId1" Type="http://schemas.openxmlformats.org/officeDocument/2006/relationships/hyperlink" Target="mailto:fraser@bscgroup.au" TargetMode="External"/><Relationship Id="rId6" Type="http://schemas.openxmlformats.org/officeDocument/2006/relationships/ctrlProp" Target="../ctrlProps/ctrlProp2632.xml"/><Relationship Id="rId11" Type="http://schemas.openxmlformats.org/officeDocument/2006/relationships/ctrlProp" Target="../ctrlProps/ctrlProp2637.xml"/><Relationship Id="rId24" Type="http://schemas.openxmlformats.org/officeDocument/2006/relationships/ctrlProp" Target="../ctrlProps/ctrlProp2650.xml"/><Relationship Id="rId32" Type="http://schemas.openxmlformats.org/officeDocument/2006/relationships/ctrlProp" Target="../ctrlProps/ctrlProp2658.xml"/><Relationship Id="rId37" Type="http://schemas.openxmlformats.org/officeDocument/2006/relationships/ctrlProp" Target="../ctrlProps/ctrlProp2663.xml"/><Relationship Id="rId40" Type="http://schemas.openxmlformats.org/officeDocument/2006/relationships/ctrlProp" Target="../ctrlProps/ctrlProp2666.xml"/><Relationship Id="rId5" Type="http://schemas.openxmlformats.org/officeDocument/2006/relationships/ctrlProp" Target="../ctrlProps/ctrlProp2631.xml"/><Relationship Id="rId15" Type="http://schemas.openxmlformats.org/officeDocument/2006/relationships/ctrlProp" Target="../ctrlProps/ctrlProp2641.xml"/><Relationship Id="rId23" Type="http://schemas.openxmlformats.org/officeDocument/2006/relationships/ctrlProp" Target="../ctrlProps/ctrlProp2649.xml"/><Relationship Id="rId28" Type="http://schemas.openxmlformats.org/officeDocument/2006/relationships/ctrlProp" Target="../ctrlProps/ctrlProp2654.xml"/><Relationship Id="rId36" Type="http://schemas.openxmlformats.org/officeDocument/2006/relationships/ctrlProp" Target="../ctrlProps/ctrlProp2662.xml"/><Relationship Id="rId10" Type="http://schemas.openxmlformats.org/officeDocument/2006/relationships/ctrlProp" Target="../ctrlProps/ctrlProp2636.xml"/><Relationship Id="rId19" Type="http://schemas.openxmlformats.org/officeDocument/2006/relationships/ctrlProp" Target="../ctrlProps/ctrlProp2645.xml"/><Relationship Id="rId31" Type="http://schemas.openxmlformats.org/officeDocument/2006/relationships/ctrlProp" Target="../ctrlProps/ctrlProp2657.xml"/><Relationship Id="rId4" Type="http://schemas.openxmlformats.org/officeDocument/2006/relationships/vmlDrawing" Target="../drawings/vmlDrawing60.vml"/><Relationship Id="rId9" Type="http://schemas.openxmlformats.org/officeDocument/2006/relationships/ctrlProp" Target="../ctrlProps/ctrlProp2635.xml"/><Relationship Id="rId14" Type="http://schemas.openxmlformats.org/officeDocument/2006/relationships/ctrlProp" Target="../ctrlProps/ctrlProp2640.xml"/><Relationship Id="rId22" Type="http://schemas.openxmlformats.org/officeDocument/2006/relationships/ctrlProp" Target="../ctrlProps/ctrlProp2648.xml"/><Relationship Id="rId27" Type="http://schemas.openxmlformats.org/officeDocument/2006/relationships/ctrlProp" Target="../ctrlProps/ctrlProp2653.xml"/><Relationship Id="rId30" Type="http://schemas.openxmlformats.org/officeDocument/2006/relationships/ctrlProp" Target="../ctrlProps/ctrlProp2656.xml"/><Relationship Id="rId35" Type="http://schemas.openxmlformats.org/officeDocument/2006/relationships/ctrlProp" Target="../ctrlProps/ctrlProp2661.xml"/><Relationship Id="rId8" Type="http://schemas.openxmlformats.org/officeDocument/2006/relationships/ctrlProp" Target="../ctrlProps/ctrlProp2634.xml"/><Relationship Id="rId3" Type="http://schemas.openxmlformats.org/officeDocument/2006/relationships/drawing" Target="../drawings/drawing60.xml"/><Relationship Id="rId12" Type="http://schemas.openxmlformats.org/officeDocument/2006/relationships/ctrlProp" Target="../ctrlProps/ctrlProp2638.xml"/><Relationship Id="rId17" Type="http://schemas.openxmlformats.org/officeDocument/2006/relationships/ctrlProp" Target="../ctrlProps/ctrlProp2643.xml"/><Relationship Id="rId25" Type="http://schemas.openxmlformats.org/officeDocument/2006/relationships/ctrlProp" Target="../ctrlProps/ctrlProp2651.xml"/><Relationship Id="rId33" Type="http://schemas.openxmlformats.org/officeDocument/2006/relationships/ctrlProp" Target="../ctrlProps/ctrlProp2659.xml"/><Relationship Id="rId38" Type="http://schemas.openxmlformats.org/officeDocument/2006/relationships/ctrlProp" Target="../ctrlProps/ctrlProp2664.xml"/></Relationships>
</file>

<file path=xl/worksheets/_rels/sheet64.xml.rels><?xml version="1.0" encoding="UTF-8" standalone="yes"?>
<Relationships xmlns="http://schemas.openxmlformats.org/package/2006/relationships"><Relationship Id="rId13" Type="http://schemas.openxmlformats.org/officeDocument/2006/relationships/ctrlProp" Target="../ctrlProps/ctrlProp2676.xml"/><Relationship Id="rId18" Type="http://schemas.openxmlformats.org/officeDocument/2006/relationships/ctrlProp" Target="../ctrlProps/ctrlProp2681.xml"/><Relationship Id="rId26" Type="http://schemas.openxmlformats.org/officeDocument/2006/relationships/ctrlProp" Target="../ctrlProps/ctrlProp2689.xml"/><Relationship Id="rId39" Type="http://schemas.openxmlformats.org/officeDocument/2006/relationships/ctrlProp" Target="../ctrlProps/ctrlProp2702.xml"/><Relationship Id="rId21" Type="http://schemas.openxmlformats.org/officeDocument/2006/relationships/ctrlProp" Target="../ctrlProps/ctrlProp2684.xml"/><Relationship Id="rId34" Type="http://schemas.openxmlformats.org/officeDocument/2006/relationships/ctrlProp" Target="../ctrlProps/ctrlProp2697.xml"/><Relationship Id="rId7" Type="http://schemas.openxmlformats.org/officeDocument/2006/relationships/ctrlProp" Target="../ctrlProps/ctrlProp2670.xml"/><Relationship Id="rId2" Type="http://schemas.openxmlformats.org/officeDocument/2006/relationships/printerSettings" Target="../printerSettings/printerSettings62.bin"/><Relationship Id="rId16" Type="http://schemas.openxmlformats.org/officeDocument/2006/relationships/ctrlProp" Target="../ctrlProps/ctrlProp2679.xml"/><Relationship Id="rId20" Type="http://schemas.openxmlformats.org/officeDocument/2006/relationships/ctrlProp" Target="../ctrlProps/ctrlProp2683.xml"/><Relationship Id="rId29" Type="http://schemas.openxmlformats.org/officeDocument/2006/relationships/ctrlProp" Target="../ctrlProps/ctrlProp2692.xml"/><Relationship Id="rId41" Type="http://schemas.openxmlformats.org/officeDocument/2006/relationships/ctrlProp" Target="../ctrlProps/ctrlProp2704.xml"/><Relationship Id="rId1" Type="http://schemas.openxmlformats.org/officeDocument/2006/relationships/hyperlink" Target="mailto:anthonyfleming77@hotmail.com" TargetMode="External"/><Relationship Id="rId6" Type="http://schemas.openxmlformats.org/officeDocument/2006/relationships/ctrlProp" Target="../ctrlProps/ctrlProp2669.xml"/><Relationship Id="rId11" Type="http://schemas.openxmlformats.org/officeDocument/2006/relationships/ctrlProp" Target="../ctrlProps/ctrlProp2674.xml"/><Relationship Id="rId24" Type="http://schemas.openxmlformats.org/officeDocument/2006/relationships/ctrlProp" Target="../ctrlProps/ctrlProp2687.xml"/><Relationship Id="rId32" Type="http://schemas.openxmlformats.org/officeDocument/2006/relationships/ctrlProp" Target="../ctrlProps/ctrlProp2695.xml"/><Relationship Id="rId37" Type="http://schemas.openxmlformats.org/officeDocument/2006/relationships/ctrlProp" Target="../ctrlProps/ctrlProp2700.xml"/><Relationship Id="rId40" Type="http://schemas.openxmlformats.org/officeDocument/2006/relationships/ctrlProp" Target="../ctrlProps/ctrlProp2703.xml"/><Relationship Id="rId5" Type="http://schemas.openxmlformats.org/officeDocument/2006/relationships/ctrlProp" Target="../ctrlProps/ctrlProp2668.xml"/><Relationship Id="rId15" Type="http://schemas.openxmlformats.org/officeDocument/2006/relationships/ctrlProp" Target="../ctrlProps/ctrlProp2678.xml"/><Relationship Id="rId23" Type="http://schemas.openxmlformats.org/officeDocument/2006/relationships/ctrlProp" Target="../ctrlProps/ctrlProp2686.xml"/><Relationship Id="rId28" Type="http://schemas.openxmlformats.org/officeDocument/2006/relationships/ctrlProp" Target="../ctrlProps/ctrlProp2691.xml"/><Relationship Id="rId36" Type="http://schemas.openxmlformats.org/officeDocument/2006/relationships/ctrlProp" Target="../ctrlProps/ctrlProp2699.xml"/><Relationship Id="rId10" Type="http://schemas.openxmlformats.org/officeDocument/2006/relationships/ctrlProp" Target="../ctrlProps/ctrlProp2673.xml"/><Relationship Id="rId19" Type="http://schemas.openxmlformats.org/officeDocument/2006/relationships/ctrlProp" Target="../ctrlProps/ctrlProp2682.xml"/><Relationship Id="rId31" Type="http://schemas.openxmlformats.org/officeDocument/2006/relationships/ctrlProp" Target="../ctrlProps/ctrlProp2694.xml"/><Relationship Id="rId4" Type="http://schemas.openxmlformats.org/officeDocument/2006/relationships/vmlDrawing" Target="../drawings/vmlDrawing61.vml"/><Relationship Id="rId9" Type="http://schemas.openxmlformats.org/officeDocument/2006/relationships/ctrlProp" Target="../ctrlProps/ctrlProp2672.xml"/><Relationship Id="rId14" Type="http://schemas.openxmlformats.org/officeDocument/2006/relationships/ctrlProp" Target="../ctrlProps/ctrlProp2677.xml"/><Relationship Id="rId22" Type="http://schemas.openxmlformats.org/officeDocument/2006/relationships/ctrlProp" Target="../ctrlProps/ctrlProp2685.xml"/><Relationship Id="rId27" Type="http://schemas.openxmlformats.org/officeDocument/2006/relationships/ctrlProp" Target="../ctrlProps/ctrlProp2690.xml"/><Relationship Id="rId30" Type="http://schemas.openxmlformats.org/officeDocument/2006/relationships/ctrlProp" Target="../ctrlProps/ctrlProp2693.xml"/><Relationship Id="rId35" Type="http://schemas.openxmlformats.org/officeDocument/2006/relationships/ctrlProp" Target="../ctrlProps/ctrlProp2698.xml"/><Relationship Id="rId8" Type="http://schemas.openxmlformats.org/officeDocument/2006/relationships/ctrlProp" Target="../ctrlProps/ctrlProp2671.xml"/><Relationship Id="rId3" Type="http://schemas.openxmlformats.org/officeDocument/2006/relationships/drawing" Target="../drawings/drawing61.xml"/><Relationship Id="rId12" Type="http://schemas.openxmlformats.org/officeDocument/2006/relationships/ctrlProp" Target="../ctrlProps/ctrlProp2675.xml"/><Relationship Id="rId17" Type="http://schemas.openxmlformats.org/officeDocument/2006/relationships/ctrlProp" Target="../ctrlProps/ctrlProp2680.xml"/><Relationship Id="rId25" Type="http://schemas.openxmlformats.org/officeDocument/2006/relationships/ctrlProp" Target="../ctrlProps/ctrlProp2688.xml"/><Relationship Id="rId33" Type="http://schemas.openxmlformats.org/officeDocument/2006/relationships/ctrlProp" Target="../ctrlProps/ctrlProp2696.xml"/><Relationship Id="rId38" Type="http://schemas.openxmlformats.org/officeDocument/2006/relationships/ctrlProp" Target="../ctrlProps/ctrlProp2701.xml"/></Relationships>
</file>

<file path=xl/worksheets/_rels/sheet65.xml.rels><?xml version="1.0" encoding="UTF-8" standalone="yes"?>
<Relationships xmlns="http://schemas.openxmlformats.org/package/2006/relationships"><Relationship Id="rId13" Type="http://schemas.openxmlformats.org/officeDocument/2006/relationships/ctrlProp" Target="../ctrlProps/ctrlProp2714.xml"/><Relationship Id="rId18" Type="http://schemas.openxmlformats.org/officeDocument/2006/relationships/ctrlProp" Target="../ctrlProps/ctrlProp2719.xml"/><Relationship Id="rId26" Type="http://schemas.openxmlformats.org/officeDocument/2006/relationships/ctrlProp" Target="../ctrlProps/ctrlProp2727.xml"/><Relationship Id="rId39" Type="http://schemas.openxmlformats.org/officeDocument/2006/relationships/ctrlProp" Target="../ctrlProps/ctrlProp2740.xml"/><Relationship Id="rId21" Type="http://schemas.openxmlformats.org/officeDocument/2006/relationships/ctrlProp" Target="../ctrlProps/ctrlProp2722.xml"/><Relationship Id="rId34" Type="http://schemas.openxmlformats.org/officeDocument/2006/relationships/ctrlProp" Target="../ctrlProps/ctrlProp2735.xml"/><Relationship Id="rId7" Type="http://schemas.openxmlformats.org/officeDocument/2006/relationships/ctrlProp" Target="../ctrlProps/ctrlProp2708.xml"/><Relationship Id="rId12" Type="http://schemas.openxmlformats.org/officeDocument/2006/relationships/ctrlProp" Target="../ctrlProps/ctrlProp2713.xml"/><Relationship Id="rId17" Type="http://schemas.openxmlformats.org/officeDocument/2006/relationships/ctrlProp" Target="../ctrlProps/ctrlProp2718.xml"/><Relationship Id="rId25" Type="http://schemas.openxmlformats.org/officeDocument/2006/relationships/ctrlProp" Target="../ctrlProps/ctrlProp2726.xml"/><Relationship Id="rId33" Type="http://schemas.openxmlformats.org/officeDocument/2006/relationships/ctrlProp" Target="../ctrlProps/ctrlProp2734.xml"/><Relationship Id="rId38" Type="http://schemas.openxmlformats.org/officeDocument/2006/relationships/ctrlProp" Target="../ctrlProps/ctrlProp2739.xml"/><Relationship Id="rId2" Type="http://schemas.openxmlformats.org/officeDocument/2006/relationships/drawing" Target="../drawings/drawing62.xml"/><Relationship Id="rId16" Type="http://schemas.openxmlformats.org/officeDocument/2006/relationships/ctrlProp" Target="../ctrlProps/ctrlProp2717.xml"/><Relationship Id="rId20" Type="http://schemas.openxmlformats.org/officeDocument/2006/relationships/ctrlProp" Target="../ctrlProps/ctrlProp2721.xml"/><Relationship Id="rId29" Type="http://schemas.openxmlformats.org/officeDocument/2006/relationships/ctrlProp" Target="../ctrlProps/ctrlProp2730.xml"/><Relationship Id="rId1" Type="http://schemas.openxmlformats.org/officeDocument/2006/relationships/printerSettings" Target="../printerSettings/printerSettings63.bin"/><Relationship Id="rId6" Type="http://schemas.openxmlformats.org/officeDocument/2006/relationships/ctrlProp" Target="../ctrlProps/ctrlProp2707.xml"/><Relationship Id="rId11" Type="http://schemas.openxmlformats.org/officeDocument/2006/relationships/ctrlProp" Target="../ctrlProps/ctrlProp2712.xml"/><Relationship Id="rId24" Type="http://schemas.openxmlformats.org/officeDocument/2006/relationships/ctrlProp" Target="../ctrlProps/ctrlProp2725.xml"/><Relationship Id="rId32" Type="http://schemas.openxmlformats.org/officeDocument/2006/relationships/ctrlProp" Target="../ctrlProps/ctrlProp2733.xml"/><Relationship Id="rId37" Type="http://schemas.openxmlformats.org/officeDocument/2006/relationships/ctrlProp" Target="../ctrlProps/ctrlProp2738.xml"/><Relationship Id="rId40" Type="http://schemas.openxmlformats.org/officeDocument/2006/relationships/ctrlProp" Target="../ctrlProps/ctrlProp2741.xml"/><Relationship Id="rId5" Type="http://schemas.openxmlformats.org/officeDocument/2006/relationships/ctrlProp" Target="../ctrlProps/ctrlProp2706.xml"/><Relationship Id="rId15" Type="http://schemas.openxmlformats.org/officeDocument/2006/relationships/ctrlProp" Target="../ctrlProps/ctrlProp2716.xml"/><Relationship Id="rId23" Type="http://schemas.openxmlformats.org/officeDocument/2006/relationships/ctrlProp" Target="../ctrlProps/ctrlProp2724.xml"/><Relationship Id="rId28" Type="http://schemas.openxmlformats.org/officeDocument/2006/relationships/ctrlProp" Target="../ctrlProps/ctrlProp2729.xml"/><Relationship Id="rId36" Type="http://schemas.openxmlformats.org/officeDocument/2006/relationships/ctrlProp" Target="../ctrlProps/ctrlProp2737.xml"/><Relationship Id="rId10" Type="http://schemas.openxmlformats.org/officeDocument/2006/relationships/ctrlProp" Target="../ctrlProps/ctrlProp2711.xml"/><Relationship Id="rId19" Type="http://schemas.openxmlformats.org/officeDocument/2006/relationships/ctrlProp" Target="../ctrlProps/ctrlProp2720.xml"/><Relationship Id="rId31" Type="http://schemas.openxmlformats.org/officeDocument/2006/relationships/ctrlProp" Target="../ctrlProps/ctrlProp2732.xml"/><Relationship Id="rId4" Type="http://schemas.openxmlformats.org/officeDocument/2006/relationships/ctrlProp" Target="../ctrlProps/ctrlProp2705.xml"/><Relationship Id="rId9" Type="http://schemas.openxmlformats.org/officeDocument/2006/relationships/ctrlProp" Target="../ctrlProps/ctrlProp2710.xml"/><Relationship Id="rId14" Type="http://schemas.openxmlformats.org/officeDocument/2006/relationships/ctrlProp" Target="../ctrlProps/ctrlProp2715.xml"/><Relationship Id="rId22" Type="http://schemas.openxmlformats.org/officeDocument/2006/relationships/ctrlProp" Target="../ctrlProps/ctrlProp2723.xml"/><Relationship Id="rId27" Type="http://schemas.openxmlformats.org/officeDocument/2006/relationships/ctrlProp" Target="../ctrlProps/ctrlProp2728.xml"/><Relationship Id="rId30" Type="http://schemas.openxmlformats.org/officeDocument/2006/relationships/ctrlProp" Target="../ctrlProps/ctrlProp2731.xml"/><Relationship Id="rId35" Type="http://schemas.openxmlformats.org/officeDocument/2006/relationships/ctrlProp" Target="../ctrlProps/ctrlProp2736.xml"/><Relationship Id="rId8" Type="http://schemas.openxmlformats.org/officeDocument/2006/relationships/ctrlProp" Target="../ctrlProps/ctrlProp2709.xml"/><Relationship Id="rId3" Type="http://schemas.openxmlformats.org/officeDocument/2006/relationships/vmlDrawing" Target="../drawings/vmlDrawing62.vml"/></Relationships>
</file>

<file path=xl/worksheets/_rels/sheet66.xml.rels><?xml version="1.0" encoding="UTF-8" standalone="yes"?>
<Relationships xmlns="http://schemas.openxmlformats.org/package/2006/relationships"><Relationship Id="rId13" Type="http://schemas.openxmlformats.org/officeDocument/2006/relationships/ctrlProp" Target="../ctrlProps/ctrlProp2751.xml"/><Relationship Id="rId18" Type="http://schemas.openxmlformats.org/officeDocument/2006/relationships/ctrlProp" Target="../ctrlProps/ctrlProp2756.xml"/><Relationship Id="rId26" Type="http://schemas.openxmlformats.org/officeDocument/2006/relationships/ctrlProp" Target="../ctrlProps/ctrlProp2764.xml"/><Relationship Id="rId39" Type="http://schemas.openxmlformats.org/officeDocument/2006/relationships/ctrlProp" Target="../ctrlProps/ctrlProp2777.xml"/><Relationship Id="rId21" Type="http://schemas.openxmlformats.org/officeDocument/2006/relationships/ctrlProp" Target="../ctrlProps/ctrlProp2759.xml"/><Relationship Id="rId34" Type="http://schemas.openxmlformats.org/officeDocument/2006/relationships/ctrlProp" Target="../ctrlProps/ctrlProp2772.xml"/><Relationship Id="rId7" Type="http://schemas.openxmlformats.org/officeDocument/2006/relationships/ctrlProp" Target="../ctrlProps/ctrlProp2745.xml"/><Relationship Id="rId12" Type="http://schemas.openxmlformats.org/officeDocument/2006/relationships/ctrlProp" Target="../ctrlProps/ctrlProp2750.xml"/><Relationship Id="rId17" Type="http://schemas.openxmlformats.org/officeDocument/2006/relationships/ctrlProp" Target="../ctrlProps/ctrlProp2755.xml"/><Relationship Id="rId25" Type="http://schemas.openxmlformats.org/officeDocument/2006/relationships/ctrlProp" Target="../ctrlProps/ctrlProp2763.xml"/><Relationship Id="rId33" Type="http://schemas.openxmlformats.org/officeDocument/2006/relationships/ctrlProp" Target="../ctrlProps/ctrlProp2771.xml"/><Relationship Id="rId38" Type="http://schemas.openxmlformats.org/officeDocument/2006/relationships/ctrlProp" Target="../ctrlProps/ctrlProp2776.xml"/><Relationship Id="rId2" Type="http://schemas.openxmlformats.org/officeDocument/2006/relationships/drawing" Target="../drawings/drawing63.xml"/><Relationship Id="rId16" Type="http://schemas.openxmlformats.org/officeDocument/2006/relationships/ctrlProp" Target="../ctrlProps/ctrlProp2754.xml"/><Relationship Id="rId20" Type="http://schemas.openxmlformats.org/officeDocument/2006/relationships/ctrlProp" Target="../ctrlProps/ctrlProp2758.xml"/><Relationship Id="rId29" Type="http://schemas.openxmlformats.org/officeDocument/2006/relationships/ctrlProp" Target="../ctrlProps/ctrlProp2767.xml"/><Relationship Id="rId1" Type="http://schemas.openxmlformats.org/officeDocument/2006/relationships/printerSettings" Target="../printerSettings/printerSettings64.bin"/><Relationship Id="rId6" Type="http://schemas.openxmlformats.org/officeDocument/2006/relationships/ctrlProp" Target="../ctrlProps/ctrlProp2744.xml"/><Relationship Id="rId11" Type="http://schemas.openxmlformats.org/officeDocument/2006/relationships/ctrlProp" Target="../ctrlProps/ctrlProp2749.xml"/><Relationship Id="rId24" Type="http://schemas.openxmlformats.org/officeDocument/2006/relationships/ctrlProp" Target="../ctrlProps/ctrlProp2762.xml"/><Relationship Id="rId32" Type="http://schemas.openxmlformats.org/officeDocument/2006/relationships/ctrlProp" Target="../ctrlProps/ctrlProp2770.xml"/><Relationship Id="rId37" Type="http://schemas.openxmlformats.org/officeDocument/2006/relationships/ctrlProp" Target="../ctrlProps/ctrlProp2775.xml"/><Relationship Id="rId40" Type="http://schemas.openxmlformats.org/officeDocument/2006/relationships/ctrlProp" Target="../ctrlProps/ctrlProp2778.xml"/><Relationship Id="rId5" Type="http://schemas.openxmlformats.org/officeDocument/2006/relationships/ctrlProp" Target="../ctrlProps/ctrlProp2743.xml"/><Relationship Id="rId15" Type="http://schemas.openxmlformats.org/officeDocument/2006/relationships/ctrlProp" Target="../ctrlProps/ctrlProp2753.xml"/><Relationship Id="rId23" Type="http://schemas.openxmlformats.org/officeDocument/2006/relationships/ctrlProp" Target="../ctrlProps/ctrlProp2761.xml"/><Relationship Id="rId28" Type="http://schemas.openxmlformats.org/officeDocument/2006/relationships/ctrlProp" Target="../ctrlProps/ctrlProp2766.xml"/><Relationship Id="rId36" Type="http://schemas.openxmlformats.org/officeDocument/2006/relationships/ctrlProp" Target="../ctrlProps/ctrlProp2774.xml"/><Relationship Id="rId10" Type="http://schemas.openxmlformats.org/officeDocument/2006/relationships/ctrlProp" Target="../ctrlProps/ctrlProp2748.xml"/><Relationship Id="rId19" Type="http://schemas.openxmlformats.org/officeDocument/2006/relationships/ctrlProp" Target="../ctrlProps/ctrlProp2757.xml"/><Relationship Id="rId31" Type="http://schemas.openxmlformats.org/officeDocument/2006/relationships/ctrlProp" Target="../ctrlProps/ctrlProp2769.xml"/><Relationship Id="rId4" Type="http://schemas.openxmlformats.org/officeDocument/2006/relationships/ctrlProp" Target="../ctrlProps/ctrlProp2742.xml"/><Relationship Id="rId9" Type="http://schemas.openxmlformats.org/officeDocument/2006/relationships/ctrlProp" Target="../ctrlProps/ctrlProp2747.xml"/><Relationship Id="rId14" Type="http://schemas.openxmlformats.org/officeDocument/2006/relationships/ctrlProp" Target="../ctrlProps/ctrlProp2752.xml"/><Relationship Id="rId22" Type="http://schemas.openxmlformats.org/officeDocument/2006/relationships/ctrlProp" Target="../ctrlProps/ctrlProp2760.xml"/><Relationship Id="rId27" Type="http://schemas.openxmlformats.org/officeDocument/2006/relationships/ctrlProp" Target="../ctrlProps/ctrlProp2765.xml"/><Relationship Id="rId30" Type="http://schemas.openxmlformats.org/officeDocument/2006/relationships/ctrlProp" Target="../ctrlProps/ctrlProp2768.xml"/><Relationship Id="rId35" Type="http://schemas.openxmlformats.org/officeDocument/2006/relationships/ctrlProp" Target="../ctrlProps/ctrlProp2773.xml"/><Relationship Id="rId8" Type="http://schemas.openxmlformats.org/officeDocument/2006/relationships/ctrlProp" Target="../ctrlProps/ctrlProp2746.xml"/><Relationship Id="rId3" Type="http://schemas.openxmlformats.org/officeDocument/2006/relationships/vmlDrawing" Target="../drawings/vmlDrawing63.vml"/></Relationships>
</file>

<file path=xl/worksheets/_rels/sheet67.xml.rels><?xml version="1.0" encoding="UTF-8" standalone="yes"?>
<Relationships xmlns="http://schemas.openxmlformats.org/package/2006/relationships"><Relationship Id="rId13" Type="http://schemas.openxmlformats.org/officeDocument/2006/relationships/ctrlProp" Target="../ctrlProps/ctrlProp2787.xml"/><Relationship Id="rId18" Type="http://schemas.openxmlformats.org/officeDocument/2006/relationships/ctrlProp" Target="../ctrlProps/ctrlProp2792.xml"/><Relationship Id="rId26" Type="http://schemas.openxmlformats.org/officeDocument/2006/relationships/ctrlProp" Target="../ctrlProps/ctrlProp2800.xml"/><Relationship Id="rId39" Type="http://schemas.openxmlformats.org/officeDocument/2006/relationships/ctrlProp" Target="../ctrlProps/ctrlProp2813.xml"/><Relationship Id="rId21" Type="http://schemas.openxmlformats.org/officeDocument/2006/relationships/ctrlProp" Target="../ctrlProps/ctrlProp2795.xml"/><Relationship Id="rId34" Type="http://schemas.openxmlformats.org/officeDocument/2006/relationships/ctrlProp" Target="../ctrlProps/ctrlProp2808.xml"/><Relationship Id="rId7" Type="http://schemas.openxmlformats.org/officeDocument/2006/relationships/ctrlProp" Target="../ctrlProps/ctrlProp2781.xml"/><Relationship Id="rId2" Type="http://schemas.openxmlformats.org/officeDocument/2006/relationships/printerSettings" Target="../printerSettings/printerSettings65.bin"/><Relationship Id="rId16" Type="http://schemas.openxmlformats.org/officeDocument/2006/relationships/ctrlProp" Target="../ctrlProps/ctrlProp2790.xml"/><Relationship Id="rId20" Type="http://schemas.openxmlformats.org/officeDocument/2006/relationships/ctrlProp" Target="../ctrlProps/ctrlProp2794.xml"/><Relationship Id="rId29" Type="http://schemas.openxmlformats.org/officeDocument/2006/relationships/ctrlProp" Target="../ctrlProps/ctrlProp2803.xml"/><Relationship Id="rId41" Type="http://schemas.openxmlformats.org/officeDocument/2006/relationships/ctrlProp" Target="../ctrlProps/ctrlProp2815.xml"/><Relationship Id="rId1" Type="http://schemas.openxmlformats.org/officeDocument/2006/relationships/hyperlink" Target="mailto:bard@flexems.com.au" TargetMode="External"/><Relationship Id="rId6" Type="http://schemas.openxmlformats.org/officeDocument/2006/relationships/ctrlProp" Target="../ctrlProps/ctrlProp2780.xml"/><Relationship Id="rId11" Type="http://schemas.openxmlformats.org/officeDocument/2006/relationships/ctrlProp" Target="../ctrlProps/ctrlProp2785.xml"/><Relationship Id="rId24" Type="http://schemas.openxmlformats.org/officeDocument/2006/relationships/ctrlProp" Target="../ctrlProps/ctrlProp2798.xml"/><Relationship Id="rId32" Type="http://schemas.openxmlformats.org/officeDocument/2006/relationships/ctrlProp" Target="../ctrlProps/ctrlProp2806.xml"/><Relationship Id="rId37" Type="http://schemas.openxmlformats.org/officeDocument/2006/relationships/ctrlProp" Target="../ctrlProps/ctrlProp2811.xml"/><Relationship Id="rId40" Type="http://schemas.openxmlformats.org/officeDocument/2006/relationships/ctrlProp" Target="../ctrlProps/ctrlProp2814.xml"/><Relationship Id="rId5" Type="http://schemas.openxmlformats.org/officeDocument/2006/relationships/ctrlProp" Target="../ctrlProps/ctrlProp2779.xml"/><Relationship Id="rId15" Type="http://schemas.openxmlformats.org/officeDocument/2006/relationships/ctrlProp" Target="../ctrlProps/ctrlProp2789.xml"/><Relationship Id="rId23" Type="http://schemas.openxmlformats.org/officeDocument/2006/relationships/ctrlProp" Target="../ctrlProps/ctrlProp2797.xml"/><Relationship Id="rId28" Type="http://schemas.openxmlformats.org/officeDocument/2006/relationships/ctrlProp" Target="../ctrlProps/ctrlProp2802.xml"/><Relationship Id="rId36" Type="http://schemas.openxmlformats.org/officeDocument/2006/relationships/ctrlProp" Target="../ctrlProps/ctrlProp2810.xml"/><Relationship Id="rId10" Type="http://schemas.openxmlformats.org/officeDocument/2006/relationships/ctrlProp" Target="../ctrlProps/ctrlProp2784.xml"/><Relationship Id="rId19" Type="http://schemas.openxmlformats.org/officeDocument/2006/relationships/ctrlProp" Target="../ctrlProps/ctrlProp2793.xml"/><Relationship Id="rId31" Type="http://schemas.openxmlformats.org/officeDocument/2006/relationships/ctrlProp" Target="../ctrlProps/ctrlProp2805.xml"/><Relationship Id="rId4" Type="http://schemas.openxmlformats.org/officeDocument/2006/relationships/vmlDrawing" Target="../drawings/vmlDrawing64.vml"/><Relationship Id="rId9" Type="http://schemas.openxmlformats.org/officeDocument/2006/relationships/ctrlProp" Target="../ctrlProps/ctrlProp2783.xml"/><Relationship Id="rId14" Type="http://schemas.openxmlformats.org/officeDocument/2006/relationships/ctrlProp" Target="../ctrlProps/ctrlProp2788.xml"/><Relationship Id="rId22" Type="http://schemas.openxmlformats.org/officeDocument/2006/relationships/ctrlProp" Target="../ctrlProps/ctrlProp2796.xml"/><Relationship Id="rId27" Type="http://schemas.openxmlformats.org/officeDocument/2006/relationships/ctrlProp" Target="../ctrlProps/ctrlProp2801.xml"/><Relationship Id="rId30" Type="http://schemas.openxmlformats.org/officeDocument/2006/relationships/ctrlProp" Target="../ctrlProps/ctrlProp2804.xml"/><Relationship Id="rId35" Type="http://schemas.openxmlformats.org/officeDocument/2006/relationships/ctrlProp" Target="../ctrlProps/ctrlProp2809.xml"/><Relationship Id="rId8" Type="http://schemas.openxmlformats.org/officeDocument/2006/relationships/ctrlProp" Target="../ctrlProps/ctrlProp2782.xml"/><Relationship Id="rId3" Type="http://schemas.openxmlformats.org/officeDocument/2006/relationships/drawing" Target="../drawings/drawing64.xml"/><Relationship Id="rId12" Type="http://schemas.openxmlformats.org/officeDocument/2006/relationships/ctrlProp" Target="../ctrlProps/ctrlProp2786.xml"/><Relationship Id="rId17" Type="http://schemas.openxmlformats.org/officeDocument/2006/relationships/ctrlProp" Target="../ctrlProps/ctrlProp2791.xml"/><Relationship Id="rId25" Type="http://schemas.openxmlformats.org/officeDocument/2006/relationships/ctrlProp" Target="../ctrlProps/ctrlProp2799.xml"/><Relationship Id="rId33" Type="http://schemas.openxmlformats.org/officeDocument/2006/relationships/ctrlProp" Target="../ctrlProps/ctrlProp2807.xml"/><Relationship Id="rId38" Type="http://schemas.openxmlformats.org/officeDocument/2006/relationships/ctrlProp" Target="../ctrlProps/ctrlProp2812.xml"/></Relationships>
</file>

<file path=xl/worksheets/_rels/sheet68.xml.rels><?xml version="1.0" encoding="UTF-8" standalone="yes"?>
<Relationships xmlns="http://schemas.openxmlformats.org/package/2006/relationships"><Relationship Id="rId13" Type="http://schemas.openxmlformats.org/officeDocument/2006/relationships/ctrlProp" Target="../ctrlProps/ctrlProp2825.xml"/><Relationship Id="rId18" Type="http://schemas.openxmlformats.org/officeDocument/2006/relationships/ctrlProp" Target="../ctrlProps/ctrlProp2830.xml"/><Relationship Id="rId26" Type="http://schemas.openxmlformats.org/officeDocument/2006/relationships/ctrlProp" Target="../ctrlProps/ctrlProp2838.xml"/><Relationship Id="rId39" Type="http://schemas.openxmlformats.org/officeDocument/2006/relationships/ctrlProp" Target="../ctrlProps/ctrlProp2851.xml"/><Relationship Id="rId21" Type="http://schemas.openxmlformats.org/officeDocument/2006/relationships/ctrlProp" Target="../ctrlProps/ctrlProp2833.xml"/><Relationship Id="rId34" Type="http://schemas.openxmlformats.org/officeDocument/2006/relationships/ctrlProp" Target="../ctrlProps/ctrlProp2846.xml"/><Relationship Id="rId7" Type="http://schemas.openxmlformats.org/officeDocument/2006/relationships/ctrlProp" Target="../ctrlProps/ctrlProp2819.xml"/><Relationship Id="rId12" Type="http://schemas.openxmlformats.org/officeDocument/2006/relationships/ctrlProp" Target="../ctrlProps/ctrlProp2824.xml"/><Relationship Id="rId17" Type="http://schemas.openxmlformats.org/officeDocument/2006/relationships/ctrlProp" Target="../ctrlProps/ctrlProp2829.xml"/><Relationship Id="rId25" Type="http://schemas.openxmlformats.org/officeDocument/2006/relationships/ctrlProp" Target="../ctrlProps/ctrlProp2837.xml"/><Relationship Id="rId33" Type="http://schemas.openxmlformats.org/officeDocument/2006/relationships/ctrlProp" Target="../ctrlProps/ctrlProp2845.xml"/><Relationship Id="rId38" Type="http://schemas.openxmlformats.org/officeDocument/2006/relationships/ctrlProp" Target="../ctrlProps/ctrlProp2850.xml"/><Relationship Id="rId2" Type="http://schemas.openxmlformats.org/officeDocument/2006/relationships/drawing" Target="../drawings/drawing65.xml"/><Relationship Id="rId16" Type="http://schemas.openxmlformats.org/officeDocument/2006/relationships/ctrlProp" Target="../ctrlProps/ctrlProp2828.xml"/><Relationship Id="rId20" Type="http://schemas.openxmlformats.org/officeDocument/2006/relationships/ctrlProp" Target="../ctrlProps/ctrlProp2832.xml"/><Relationship Id="rId29" Type="http://schemas.openxmlformats.org/officeDocument/2006/relationships/ctrlProp" Target="../ctrlProps/ctrlProp2841.xml"/><Relationship Id="rId1" Type="http://schemas.openxmlformats.org/officeDocument/2006/relationships/printerSettings" Target="../printerSettings/printerSettings66.bin"/><Relationship Id="rId6" Type="http://schemas.openxmlformats.org/officeDocument/2006/relationships/ctrlProp" Target="../ctrlProps/ctrlProp2818.xml"/><Relationship Id="rId11" Type="http://schemas.openxmlformats.org/officeDocument/2006/relationships/ctrlProp" Target="../ctrlProps/ctrlProp2823.xml"/><Relationship Id="rId24" Type="http://schemas.openxmlformats.org/officeDocument/2006/relationships/ctrlProp" Target="../ctrlProps/ctrlProp2836.xml"/><Relationship Id="rId32" Type="http://schemas.openxmlformats.org/officeDocument/2006/relationships/ctrlProp" Target="../ctrlProps/ctrlProp2844.xml"/><Relationship Id="rId37" Type="http://schemas.openxmlformats.org/officeDocument/2006/relationships/ctrlProp" Target="../ctrlProps/ctrlProp2849.xml"/><Relationship Id="rId40" Type="http://schemas.openxmlformats.org/officeDocument/2006/relationships/ctrlProp" Target="../ctrlProps/ctrlProp2852.xml"/><Relationship Id="rId5" Type="http://schemas.openxmlformats.org/officeDocument/2006/relationships/ctrlProp" Target="../ctrlProps/ctrlProp2817.xml"/><Relationship Id="rId15" Type="http://schemas.openxmlformats.org/officeDocument/2006/relationships/ctrlProp" Target="../ctrlProps/ctrlProp2827.xml"/><Relationship Id="rId23" Type="http://schemas.openxmlformats.org/officeDocument/2006/relationships/ctrlProp" Target="../ctrlProps/ctrlProp2835.xml"/><Relationship Id="rId28" Type="http://schemas.openxmlformats.org/officeDocument/2006/relationships/ctrlProp" Target="../ctrlProps/ctrlProp2840.xml"/><Relationship Id="rId36" Type="http://schemas.openxmlformats.org/officeDocument/2006/relationships/ctrlProp" Target="../ctrlProps/ctrlProp2848.xml"/><Relationship Id="rId10" Type="http://schemas.openxmlformats.org/officeDocument/2006/relationships/ctrlProp" Target="../ctrlProps/ctrlProp2822.xml"/><Relationship Id="rId19" Type="http://schemas.openxmlformats.org/officeDocument/2006/relationships/ctrlProp" Target="../ctrlProps/ctrlProp2831.xml"/><Relationship Id="rId31" Type="http://schemas.openxmlformats.org/officeDocument/2006/relationships/ctrlProp" Target="../ctrlProps/ctrlProp2843.xml"/><Relationship Id="rId4" Type="http://schemas.openxmlformats.org/officeDocument/2006/relationships/ctrlProp" Target="../ctrlProps/ctrlProp2816.xml"/><Relationship Id="rId9" Type="http://schemas.openxmlformats.org/officeDocument/2006/relationships/ctrlProp" Target="../ctrlProps/ctrlProp2821.xml"/><Relationship Id="rId14" Type="http://schemas.openxmlformats.org/officeDocument/2006/relationships/ctrlProp" Target="../ctrlProps/ctrlProp2826.xml"/><Relationship Id="rId22" Type="http://schemas.openxmlformats.org/officeDocument/2006/relationships/ctrlProp" Target="../ctrlProps/ctrlProp2834.xml"/><Relationship Id="rId27" Type="http://schemas.openxmlformats.org/officeDocument/2006/relationships/ctrlProp" Target="../ctrlProps/ctrlProp2839.xml"/><Relationship Id="rId30" Type="http://schemas.openxmlformats.org/officeDocument/2006/relationships/ctrlProp" Target="../ctrlProps/ctrlProp2842.xml"/><Relationship Id="rId35" Type="http://schemas.openxmlformats.org/officeDocument/2006/relationships/ctrlProp" Target="../ctrlProps/ctrlProp2847.xml"/><Relationship Id="rId8" Type="http://schemas.openxmlformats.org/officeDocument/2006/relationships/ctrlProp" Target="../ctrlProps/ctrlProp2820.xml"/><Relationship Id="rId3" Type="http://schemas.openxmlformats.org/officeDocument/2006/relationships/vmlDrawing" Target="../drawings/vmlDrawing65.vml"/></Relationships>
</file>

<file path=xl/worksheets/_rels/sheet69.xml.rels><?xml version="1.0" encoding="UTF-8" standalone="yes"?>
<Relationships xmlns="http://schemas.openxmlformats.org/package/2006/relationships"><Relationship Id="rId13" Type="http://schemas.openxmlformats.org/officeDocument/2006/relationships/ctrlProp" Target="../ctrlProps/ctrlProp2861.xml"/><Relationship Id="rId18" Type="http://schemas.openxmlformats.org/officeDocument/2006/relationships/ctrlProp" Target="../ctrlProps/ctrlProp2866.xml"/><Relationship Id="rId26" Type="http://schemas.openxmlformats.org/officeDocument/2006/relationships/ctrlProp" Target="../ctrlProps/ctrlProp2874.xml"/><Relationship Id="rId39" Type="http://schemas.openxmlformats.org/officeDocument/2006/relationships/ctrlProp" Target="../ctrlProps/ctrlProp2887.xml"/><Relationship Id="rId21" Type="http://schemas.openxmlformats.org/officeDocument/2006/relationships/ctrlProp" Target="../ctrlProps/ctrlProp2869.xml"/><Relationship Id="rId34" Type="http://schemas.openxmlformats.org/officeDocument/2006/relationships/ctrlProp" Target="../ctrlProps/ctrlProp2882.xml"/><Relationship Id="rId7" Type="http://schemas.openxmlformats.org/officeDocument/2006/relationships/ctrlProp" Target="../ctrlProps/ctrlProp2855.xml"/><Relationship Id="rId2" Type="http://schemas.openxmlformats.org/officeDocument/2006/relationships/printerSettings" Target="../printerSettings/printerSettings67.bin"/><Relationship Id="rId16" Type="http://schemas.openxmlformats.org/officeDocument/2006/relationships/ctrlProp" Target="../ctrlProps/ctrlProp2864.xml"/><Relationship Id="rId20" Type="http://schemas.openxmlformats.org/officeDocument/2006/relationships/ctrlProp" Target="../ctrlProps/ctrlProp2868.xml"/><Relationship Id="rId29" Type="http://schemas.openxmlformats.org/officeDocument/2006/relationships/ctrlProp" Target="../ctrlProps/ctrlProp2877.xml"/><Relationship Id="rId41" Type="http://schemas.openxmlformats.org/officeDocument/2006/relationships/ctrlProp" Target="../ctrlProps/ctrlProp2889.xml"/><Relationship Id="rId1" Type="http://schemas.openxmlformats.org/officeDocument/2006/relationships/hyperlink" Target="mailto:ljcouston@gmail.com" TargetMode="External"/><Relationship Id="rId6" Type="http://schemas.openxmlformats.org/officeDocument/2006/relationships/ctrlProp" Target="../ctrlProps/ctrlProp2854.xml"/><Relationship Id="rId11" Type="http://schemas.openxmlformats.org/officeDocument/2006/relationships/ctrlProp" Target="../ctrlProps/ctrlProp2859.xml"/><Relationship Id="rId24" Type="http://schemas.openxmlformats.org/officeDocument/2006/relationships/ctrlProp" Target="../ctrlProps/ctrlProp2872.xml"/><Relationship Id="rId32" Type="http://schemas.openxmlformats.org/officeDocument/2006/relationships/ctrlProp" Target="../ctrlProps/ctrlProp2880.xml"/><Relationship Id="rId37" Type="http://schemas.openxmlformats.org/officeDocument/2006/relationships/ctrlProp" Target="../ctrlProps/ctrlProp2885.xml"/><Relationship Id="rId40" Type="http://schemas.openxmlformats.org/officeDocument/2006/relationships/ctrlProp" Target="../ctrlProps/ctrlProp2888.xml"/><Relationship Id="rId5" Type="http://schemas.openxmlformats.org/officeDocument/2006/relationships/ctrlProp" Target="../ctrlProps/ctrlProp2853.xml"/><Relationship Id="rId15" Type="http://schemas.openxmlformats.org/officeDocument/2006/relationships/ctrlProp" Target="../ctrlProps/ctrlProp2863.xml"/><Relationship Id="rId23" Type="http://schemas.openxmlformats.org/officeDocument/2006/relationships/ctrlProp" Target="../ctrlProps/ctrlProp2871.xml"/><Relationship Id="rId28" Type="http://schemas.openxmlformats.org/officeDocument/2006/relationships/ctrlProp" Target="../ctrlProps/ctrlProp2876.xml"/><Relationship Id="rId36" Type="http://schemas.openxmlformats.org/officeDocument/2006/relationships/ctrlProp" Target="../ctrlProps/ctrlProp2884.xml"/><Relationship Id="rId10" Type="http://schemas.openxmlformats.org/officeDocument/2006/relationships/ctrlProp" Target="../ctrlProps/ctrlProp2858.xml"/><Relationship Id="rId19" Type="http://schemas.openxmlformats.org/officeDocument/2006/relationships/ctrlProp" Target="../ctrlProps/ctrlProp2867.xml"/><Relationship Id="rId31" Type="http://schemas.openxmlformats.org/officeDocument/2006/relationships/ctrlProp" Target="../ctrlProps/ctrlProp2879.xml"/><Relationship Id="rId4" Type="http://schemas.openxmlformats.org/officeDocument/2006/relationships/vmlDrawing" Target="../drawings/vmlDrawing66.vml"/><Relationship Id="rId9" Type="http://schemas.openxmlformats.org/officeDocument/2006/relationships/ctrlProp" Target="../ctrlProps/ctrlProp2857.xml"/><Relationship Id="rId14" Type="http://schemas.openxmlformats.org/officeDocument/2006/relationships/ctrlProp" Target="../ctrlProps/ctrlProp2862.xml"/><Relationship Id="rId22" Type="http://schemas.openxmlformats.org/officeDocument/2006/relationships/ctrlProp" Target="../ctrlProps/ctrlProp2870.xml"/><Relationship Id="rId27" Type="http://schemas.openxmlformats.org/officeDocument/2006/relationships/ctrlProp" Target="../ctrlProps/ctrlProp2875.xml"/><Relationship Id="rId30" Type="http://schemas.openxmlformats.org/officeDocument/2006/relationships/ctrlProp" Target="../ctrlProps/ctrlProp2878.xml"/><Relationship Id="rId35" Type="http://schemas.openxmlformats.org/officeDocument/2006/relationships/ctrlProp" Target="../ctrlProps/ctrlProp2883.xml"/><Relationship Id="rId8" Type="http://schemas.openxmlformats.org/officeDocument/2006/relationships/ctrlProp" Target="../ctrlProps/ctrlProp2856.xml"/><Relationship Id="rId3" Type="http://schemas.openxmlformats.org/officeDocument/2006/relationships/drawing" Target="../drawings/drawing66.xml"/><Relationship Id="rId12" Type="http://schemas.openxmlformats.org/officeDocument/2006/relationships/ctrlProp" Target="../ctrlProps/ctrlProp2860.xml"/><Relationship Id="rId17" Type="http://schemas.openxmlformats.org/officeDocument/2006/relationships/ctrlProp" Target="../ctrlProps/ctrlProp2865.xml"/><Relationship Id="rId25" Type="http://schemas.openxmlformats.org/officeDocument/2006/relationships/ctrlProp" Target="../ctrlProps/ctrlProp2873.xml"/><Relationship Id="rId33" Type="http://schemas.openxmlformats.org/officeDocument/2006/relationships/ctrlProp" Target="../ctrlProps/ctrlProp2881.xml"/><Relationship Id="rId38" Type="http://schemas.openxmlformats.org/officeDocument/2006/relationships/ctrlProp" Target="../ctrlProps/ctrlProp2886.xml"/></Relationships>
</file>

<file path=xl/worksheets/_rels/sheet70.xml.rels><?xml version="1.0" encoding="UTF-8" standalone="yes"?>
<Relationships xmlns="http://schemas.openxmlformats.org/package/2006/relationships"><Relationship Id="rId13" Type="http://schemas.openxmlformats.org/officeDocument/2006/relationships/ctrlProp" Target="../ctrlProps/ctrlProp2899.xml"/><Relationship Id="rId18" Type="http://schemas.openxmlformats.org/officeDocument/2006/relationships/ctrlProp" Target="../ctrlProps/ctrlProp2904.xml"/><Relationship Id="rId26" Type="http://schemas.openxmlformats.org/officeDocument/2006/relationships/ctrlProp" Target="../ctrlProps/ctrlProp2912.xml"/><Relationship Id="rId39" Type="http://schemas.openxmlformats.org/officeDocument/2006/relationships/ctrlProp" Target="../ctrlProps/ctrlProp2925.xml"/><Relationship Id="rId21" Type="http://schemas.openxmlformats.org/officeDocument/2006/relationships/ctrlProp" Target="../ctrlProps/ctrlProp2907.xml"/><Relationship Id="rId34" Type="http://schemas.openxmlformats.org/officeDocument/2006/relationships/ctrlProp" Target="../ctrlProps/ctrlProp2920.xml"/><Relationship Id="rId7" Type="http://schemas.openxmlformats.org/officeDocument/2006/relationships/ctrlProp" Target="../ctrlProps/ctrlProp2893.xml"/><Relationship Id="rId12" Type="http://schemas.openxmlformats.org/officeDocument/2006/relationships/ctrlProp" Target="../ctrlProps/ctrlProp2898.xml"/><Relationship Id="rId17" Type="http://schemas.openxmlformats.org/officeDocument/2006/relationships/ctrlProp" Target="../ctrlProps/ctrlProp2903.xml"/><Relationship Id="rId25" Type="http://schemas.openxmlformats.org/officeDocument/2006/relationships/ctrlProp" Target="../ctrlProps/ctrlProp2911.xml"/><Relationship Id="rId33" Type="http://schemas.openxmlformats.org/officeDocument/2006/relationships/ctrlProp" Target="../ctrlProps/ctrlProp2919.xml"/><Relationship Id="rId38" Type="http://schemas.openxmlformats.org/officeDocument/2006/relationships/ctrlProp" Target="../ctrlProps/ctrlProp2924.xml"/><Relationship Id="rId2" Type="http://schemas.openxmlformats.org/officeDocument/2006/relationships/drawing" Target="../drawings/drawing67.xml"/><Relationship Id="rId16" Type="http://schemas.openxmlformats.org/officeDocument/2006/relationships/ctrlProp" Target="../ctrlProps/ctrlProp2902.xml"/><Relationship Id="rId20" Type="http://schemas.openxmlformats.org/officeDocument/2006/relationships/ctrlProp" Target="../ctrlProps/ctrlProp2906.xml"/><Relationship Id="rId29" Type="http://schemas.openxmlformats.org/officeDocument/2006/relationships/ctrlProp" Target="../ctrlProps/ctrlProp2915.xml"/><Relationship Id="rId1" Type="http://schemas.openxmlformats.org/officeDocument/2006/relationships/printerSettings" Target="../printerSettings/printerSettings68.bin"/><Relationship Id="rId6" Type="http://schemas.openxmlformats.org/officeDocument/2006/relationships/ctrlProp" Target="../ctrlProps/ctrlProp2892.xml"/><Relationship Id="rId11" Type="http://schemas.openxmlformats.org/officeDocument/2006/relationships/ctrlProp" Target="../ctrlProps/ctrlProp2897.xml"/><Relationship Id="rId24" Type="http://schemas.openxmlformats.org/officeDocument/2006/relationships/ctrlProp" Target="../ctrlProps/ctrlProp2910.xml"/><Relationship Id="rId32" Type="http://schemas.openxmlformats.org/officeDocument/2006/relationships/ctrlProp" Target="../ctrlProps/ctrlProp2918.xml"/><Relationship Id="rId37" Type="http://schemas.openxmlformats.org/officeDocument/2006/relationships/ctrlProp" Target="../ctrlProps/ctrlProp2923.xml"/><Relationship Id="rId40" Type="http://schemas.openxmlformats.org/officeDocument/2006/relationships/ctrlProp" Target="../ctrlProps/ctrlProp2926.xml"/><Relationship Id="rId5" Type="http://schemas.openxmlformats.org/officeDocument/2006/relationships/ctrlProp" Target="../ctrlProps/ctrlProp2891.xml"/><Relationship Id="rId15" Type="http://schemas.openxmlformats.org/officeDocument/2006/relationships/ctrlProp" Target="../ctrlProps/ctrlProp2901.xml"/><Relationship Id="rId23" Type="http://schemas.openxmlformats.org/officeDocument/2006/relationships/ctrlProp" Target="../ctrlProps/ctrlProp2909.xml"/><Relationship Id="rId28" Type="http://schemas.openxmlformats.org/officeDocument/2006/relationships/ctrlProp" Target="../ctrlProps/ctrlProp2914.xml"/><Relationship Id="rId36" Type="http://schemas.openxmlformats.org/officeDocument/2006/relationships/ctrlProp" Target="../ctrlProps/ctrlProp2922.xml"/><Relationship Id="rId10" Type="http://schemas.openxmlformats.org/officeDocument/2006/relationships/ctrlProp" Target="../ctrlProps/ctrlProp2896.xml"/><Relationship Id="rId19" Type="http://schemas.openxmlformats.org/officeDocument/2006/relationships/ctrlProp" Target="../ctrlProps/ctrlProp2905.xml"/><Relationship Id="rId31" Type="http://schemas.openxmlformats.org/officeDocument/2006/relationships/ctrlProp" Target="../ctrlProps/ctrlProp2917.xml"/><Relationship Id="rId4" Type="http://schemas.openxmlformats.org/officeDocument/2006/relationships/ctrlProp" Target="../ctrlProps/ctrlProp2890.xml"/><Relationship Id="rId9" Type="http://schemas.openxmlformats.org/officeDocument/2006/relationships/ctrlProp" Target="../ctrlProps/ctrlProp2895.xml"/><Relationship Id="rId14" Type="http://schemas.openxmlformats.org/officeDocument/2006/relationships/ctrlProp" Target="../ctrlProps/ctrlProp2900.xml"/><Relationship Id="rId22" Type="http://schemas.openxmlformats.org/officeDocument/2006/relationships/ctrlProp" Target="../ctrlProps/ctrlProp2908.xml"/><Relationship Id="rId27" Type="http://schemas.openxmlformats.org/officeDocument/2006/relationships/ctrlProp" Target="../ctrlProps/ctrlProp2913.xml"/><Relationship Id="rId30" Type="http://schemas.openxmlformats.org/officeDocument/2006/relationships/ctrlProp" Target="../ctrlProps/ctrlProp2916.xml"/><Relationship Id="rId35" Type="http://schemas.openxmlformats.org/officeDocument/2006/relationships/ctrlProp" Target="../ctrlProps/ctrlProp2921.xml"/><Relationship Id="rId8" Type="http://schemas.openxmlformats.org/officeDocument/2006/relationships/ctrlProp" Target="../ctrlProps/ctrlProp2894.xml"/><Relationship Id="rId3" Type="http://schemas.openxmlformats.org/officeDocument/2006/relationships/vmlDrawing" Target="../drawings/vmlDrawing67.vml"/></Relationships>
</file>

<file path=xl/worksheets/_rels/sheet71.xml.rels><?xml version="1.0" encoding="UTF-8" standalone="yes"?>
<Relationships xmlns="http://schemas.openxmlformats.org/package/2006/relationships"><Relationship Id="rId13" Type="http://schemas.openxmlformats.org/officeDocument/2006/relationships/ctrlProp" Target="../ctrlProps/ctrlProp2936.xml"/><Relationship Id="rId18" Type="http://schemas.openxmlformats.org/officeDocument/2006/relationships/ctrlProp" Target="../ctrlProps/ctrlProp2941.xml"/><Relationship Id="rId26" Type="http://schemas.openxmlformats.org/officeDocument/2006/relationships/ctrlProp" Target="../ctrlProps/ctrlProp2949.xml"/><Relationship Id="rId39" Type="http://schemas.openxmlformats.org/officeDocument/2006/relationships/ctrlProp" Target="../ctrlProps/ctrlProp2962.xml"/><Relationship Id="rId21" Type="http://schemas.openxmlformats.org/officeDocument/2006/relationships/ctrlProp" Target="../ctrlProps/ctrlProp2944.xml"/><Relationship Id="rId34" Type="http://schemas.openxmlformats.org/officeDocument/2006/relationships/ctrlProp" Target="../ctrlProps/ctrlProp2957.xml"/><Relationship Id="rId7" Type="http://schemas.openxmlformats.org/officeDocument/2006/relationships/ctrlProp" Target="../ctrlProps/ctrlProp2930.xml"/><Relationship Id="rId12" Type="http://schemas.openxmlformats.org/officeDocument/2006/relationships/ctrlProp" Target="../ctrlProps/ctrlProp2935.xml"/><Relationship Id="rId17" Type="http://schemas.openxmlformats.org/officeDocument/2006/relationships/ctrlProp" Target="../ctrlProps/ctrlProp2940.xml"/><Relationship Id="rId25" Type="http://schemas.openxmlformats.org/officeDocument/2006/relationships/ctrlProp" Target="../ctrlProps/ctrlProp2948.xml"/><Relationship Id="rId33" Type="http://schemas.openxmlformats.org/officeDocument/2006/relationships/ctrlProp" Target="../ctrlProps/ctrlProp2956.xml"/><Relationship Id="rId38" Type="http://schemas.openxmlformats.org/officeDocument/2006/relationships/ctrlProp" Target="../ctrlProps/ctrlProp2961.xml"/><Relationship Id="rId2" Type="http://schemas.openxmlformats.org/officeDocument/2006/relationships/drawing" Target="../drawings/drawing68.xml"/><Relationship Id="rId16" Type="http://schemas.openxmlformats.org/officeDocument/2006/relationships/ctrlProp" Target="../ctrlProps/ctrlProp2939.xml"/><Relationship Id="rId20" Type="http://schemas.openxmlformats.org/officeDocument/2006/relationships/ctrlProp" Target="../ctrlProps/ctrlProp2943.xml"/><Relationship Id="rId29" Type="http://schemas.openxmlformats.org/officeDocument/2006/relationships/ctrlProp" Target="../ctrlProps/ctrlProp2952.xml"/><Relationship Id="rId1" Type="http://schemas.openxmlformats.org/officeDocument/2006/relationships/printerSettings" Target="../printerSettings/printerSettings69.bin"/><Relationship Id="rId6" Type="http://schemas.openxmlformats.org/officeDocument/2006/relationships/ctrlProp" Target="../ctrlProps/ctrlProp2929.xml"/><Relationship Id="rId11" Type="http://schemas.openxmlformats.org/officeDocument/2006/relationships/ctrlProp" Target="../ctrlProps/ctrlProp2934.xml"/><Relationship Id="rId24" Type="http://schemas.openxmlformats.org/officeDocument/2006/relationships/ctrlProp" Target="../ctrlProps/ctrlProp2947.xml"/><Relationship Id="rId32" Type="http://schemas.openxmlformats.org/officeDocument/2006/relationships/ctrlProp" Target="../ctrlProps/ctrlProp2955.xml"/><Relationship Id="rId37" Type="http://schemas.openxmlformats.org/officeDocument/2006/relationships/ctrlProp" Target="../ctrlProps/ctrlProp2960.xml"/><Relationship Id="rId40" Type="http://schemas.openxmlformats.org/officeDocument/2006/relationships/ctrlProp" Target="../ctrlProps/ctrlProp2963.xml"/><Relationship Id="rId5" Type="http://schemas.openxmlformats.org/officeDocument/2006/relationships/ctrlProp" Target="../ctrlProps/ctrlProp2928.xml"/><Relationship Id="rId15" Type="http://schemas.openxmlformats.org/officeDocument/2006/relationships/ctrlProp" Target="../ctrlProps/ctrlProp2938.xml"/><Relationship Id="rId23" Type="http://schemas.openxmlformats.org/officeDocument/2006/relationships/ctrlProp" Target="../ctrlProps/ctrlProp2946.xml"/><Relationship Id="rId28" Type="http://schemas.openxmlformats.org/officeDocument/2006/relationships/ctrlProp" Target="../ctrlProps/ctrlProp2951.xml"/><Relationship Id="rId36" Type="http://schemas.openxmlformats.org/officeDocument/2006/relationships/ctrlProp" Target="../ctrlProps/ctrlProp2959.xml"/><Relationship Id="rId10" Type="http://schemas.openxmlformats.org/officeDocument/2006/relationships/ctrlProp" Target="../ctrlProps/ctrlProp2933.xml"/><Relationship Id="rId19" Type="http://schemas.openxmlformats.org/officeDocument/2006/relationships/ctrlProp" Target="../ctrlProps/ctrlProp2942.xml"/><Relationship Id="rId31" Type="http://schemas.openxmlformats.org/officeDocument/2006/relationships/ctrlProp" Target="../ctrlProps/ctrlProp2954.xml"/><Relationship Id="rId4" Type="http://schemas.openxmlformats.org/officeDocument/2006/relationships/ctrlProp" Target="../ctrlProps/ctrlProp2927.xml"/><Relationship Id="rId9" Type="http://schemas.openxmlformats.org/officeDocument/2006/relationships/ctrlProp" Target="../ctrlProps/ctrlProp2932.xml"/><Relationship Id="rId14" Type="http://schemas.openxmlformats.org/officeDocument/2006/relationships/ctrlProp" Target="../ctrlProps/ctrlProp2937.xml"/><Relationship Id="rId22" Type="http://schemas.openxmlformats.org/officeDocument/2006/relationships/ctrlProp" Target="../ctrlProps/ctrlProp2945.xml"/><Relationship Id="rId27" Type="http://schemas.openxmlformats.org/officeDocument/2006/relationships/ctrlProp" Target="../ctrlProps/ctrlProp2950.xml"/><Relationship Id="rId30" Type="http://schemas.openxmlformats.org/officeDocument/2006/relationships/ctrlProp" Target="../ctrlProps/ctrlProp2953.xml"/><Relationship Id="rId35" Type="http://schemas.openxmlformats.org/officeDocument/2006/relationships/ctrlProp" Target="../ctrlProps/ctrlProp2958.xml"/><Relationship Id="rId8" Type="http://schemas.openxmlformats.org/officeDocument/2006/relationships/ctrlProp" Target="../ctrlProps/ctrlProp2931.xml"/><Relationship Id="rId3" Type="http://schemas.openxmlformats.org/officeDocument/2006/relationships/vmlDrawing" Target="../drawings/vmlDrawing68.vml"/></Relationships>
</file>

<file path=xl/worksheets/_rels/sheet72.xml.rels><?xml version="1.0" encoding="UTF-8" standalone="yes"?>
<Relationships xmlns="http://schemas.openxmlformats.org/package/2006/relationships"><Relationship Id="rId13" Type="http://schemas.openxmlformats.org/officeDocument/2006/relationships/ctrlProp" Target="../ctrlProps/ctrlProp2972.xml"/><Relationship Id="rId18" Type="http://schemas.openxmlformats.org/officeDocument/2006/relationships/ctrlProp" Target="../ctrlProps/ctrlProp2977.xml"/><Relationship Id="rId26" Type="http://schemas.openxmlformats.org/officeDocument/2006/relationships/ctrlProp" Target="../ctrlProps/ctrlProp2985.xml"/><Relationship Id="rId39" Type="http://schemas.openxmlformats.org/officeDocument/2006/relationships/ctrlProp" Target="../ctrlProps/ctrlProp2998.xml"/><Relationship Id="rId21" Type="http://schemas.openxmlformats.org/officeDocument/2006/relationships/ctrlProp" Target="../ctrlProps/ctrlProp2980.xml"/><Relationship Id="rId34" Type="http://schemas.openxmlformats.org/officeDocument/2006/relationships/ctrlProp" Target="../ctrlProps/ctrlProp2993.xml"/><Relationship Id="rId7" Type="http://schemas.openxmlformats.org/officeDocument/2006/relationships/ctrlProp" Target="../ctrlProps/ctrlProp2966.xml"/><Relationship Id="rId2" Type="http://schemas.openxmlformats.org/officeDocument/2006/relationships/printerSettings" Target="../printerSettings/printerSettings70.bin"/><Relationship Id="rId16" Type="http://schemas.openxmlformats.org/officeDocument/2006/relationships/ctrlProp" Target="../ctrlProps/ctrlProp2975.xml"/><Relationship Id="rId20" Type="http://schemas.openxmlformats.org/officeDocument/2006/relationships/ctrlProp" Target="../ctrlProps/ctrlProp2979.xml"/><Relationship Id="rId29" Type="http://schemas.openxmlformats.org/officeDocument/2006/relationships/ctrlProp" Target="../ctrlProps/ctrlProp2988.xml"/><Relationship Id="rId41" Type="http://schemas.openxmlformats.org/officeDocument/2006/relationships/ctrlProp" Target="../ctrlProps/ctrlProp3000.xml"/><Relationship Id="rId1" Type="http://schemas.openxmlformats.org/officeDocument/2006/relationships/hyperlink" Target="mailto:catherinemary01@gmail.com" TargetMode="External"/><Relationship Id="rId6" Type="http://schemas.openxmlformats.org/officeDocument/2006/relationships/ctrlProp" Target="../ctrlProps/ctrlProp2965.xml"/><Relationship Id="rId11" Type="http://schemas.openxmlformats.org/officeDocument/2006/relationships/ctrlProp" Target="../ctrlProps/ctrlProp2970.xml"/><Relationship Id="rId24" Type="http://schemas.openxmlformats.org/officeDocument/2006/relationships/ctrlProp" Target="../ctrlProps/ctrlProp2983.xml"/><Relationship Id="rId32" Type="http://schemas.openxmlformats.org/officeDocument/2006/relationships/ctrlProp" Target="../ctrlProps/ctrlProp2991.xml"/><Relationship Id="rId37" Type="http://schemas.openxmlformats.org/officeDocument/2006/relationships/ctrlProp" Target="../ctrlProps/ctrlProp2996.xml"/><Relationship Id="rId40" Type="http://schemas.openxmlformats.org/officeDocument/2006/relationships/ctrlProp" Target="../ctrlProps/ctrlProp2999.xml"/><Relationship Id="rId5" Type="http://schemas.openxmlformats.org/officeDocument/2006/relationships/ctrlProp" Target="../ctrlProps/ctrlProp2964.xml"/><Relationship Id="rId15" Type="http://schemas.openxmlformats.org/officeDocument/2006/relationships/ctrlProp" Target="../ctrlProps/ctrlProp2974.xml"/><Relationship Id="rId23" Type="http://schemas.openxmlformats.org/officeDocument/2006/relationships/ctrlProp" Target="../ctrlProps/ctrlProp2982.xml"/><Relationship Id="rId28" Type="http://schemas.openxmlformats.org/officeDocument/2006/relationships/ctrlProp" Target="../ctrlProps/ctrlProp2987.xml"/><Relationship Id="rId36" Type="http://schemas.openxmlformats.org/officeDocument/2006/relationships/ctrlProp" Target="../ctrlProps/ctrlProp2995.xml"/><Relationship Id="rId10" Type="http://schemas.openxmlformats.org/officeDocument/2006/relationships/ctrlProp" Target="../ctrlProps/ctrlProp2969.xml"/><Relationship Id="rId19" Type="http://schemas.openxmlformats.org/officeDocument/2006/relationships/ctrlProp" Target="../ctrlProps/ctrlProp2978.xml"/><Relationship Id="rId31" Type="http://schemas.openxmlformats.org/officeDocument/2006/relationships/ctrlProp" Target="../ctrlProps/ctrlProp2990.xml"/><Relationship Id="rId4" Type="http://schemas.openxmlformats.org/officeDocument/2006/relationships/vmlDrawing" Target="../drawings/vmlDrawing69.vml"/><Relationship Id="rId9" Type="http://schemas.openxmlformats.org/officeDocument/2006/relationships/ctrlProp" Target="../ctrlProps/ctrlProp2968.xml"/><Relationship Id="rId14" Type="http://schemas.openxmlformats.org/officeDocument/2006/relationships/ctrlProp" Target="../ctrlProps/ctrlProp2973.xml"/><Relationship Id="rId22" Type="http://schemas.openxmlformats.org/officeDocument/2006/relationships/ctrlProp" Target="../ctrlProps/ctrlProp2981.xml"/><Relationship Id="rId27" Type="http://schemas.openxmlformats.org/officeDocument/2006/relationships/ctrlProp" Target="../ctrlProps/ctrlProp2986.xml"/><Relationship Id="rId30" Type="http://schemas.openxmlformats.org/officeDocument/2006/relationships/ctrlProp" Target="../ctrlProps/ctrlProp2989.xml"/><Relationship Id="rId35" Type="http://schemas.openxmlformats.org/officeDocument/2006/relationships/ctrlProp" Target="../ctrlProps/ctrlProp2994.xml"/><Relationship Id="rId8" Type="http://schemas.openxmlformats.org/officeDocument/2006/relationships/ctrlProp" Target="../ctrlProps/ctrlProp2967.xml"/><Relationship Id="rId3" Type="http://schemas.openxmlformats.org/officeDocument/2006/relationships/drawing" Target="../drawings/drawing69.xml"/><Relationship Id="rId12" Type="http://schemas.openxmlformats.org/officeDocument/2006/relationships/ctrlProp" Target="../ctrlProps/ctrlProp2971.xml"/><Relationship Id="rId17" Type="http://schemas.openxmlformats.org/officeDocument/2006/relationships/ctrlProp" Target="../ctrlProps/ctrlProp2976.xml"/><Relationship Id="rId25" Type="http://schemas.openxmlformats.org/officeDocument/2006/relationships/ctrlProp" Target="../ctrlProps/ctrlProp2984.xml"/><Relationship Id="rId33" Type="http://schemas.openxmlformats.org/officeDocument/2006/relationships/ctrlProp" Target="../ctrlProps/ctrlProp2992.xml"/><Relationship Id="rId38" Type="http://schemas.openxmlformats.org/officeDocument/2006/relationships/ctrlProp" Target="../ctrlProps/ctrlProp2997.xml"/></Relationships>
</file>

<file path=xl/worksheets/_rels/sheet73.xml.rels><?xml version="1.0" encoding="UTF-8" standalone="yes"?>
<Relationships xmlns="http://schemas.openxmlformats.org/package/2006/relationships"><Relationship Id="rId13" Type="http://schemas.openxmlformats.org/officeDocument/2006/relationships/ctrlProp" Target="../ctrlProps/ctrlProp3010.xml"/><Relationship Id="rId18" Type="http://schemas.openxmlformats.org/officeDocument/2006/relationships/ctrlProp" Target="../ctrlProps/ctrlProp3015.xml"/><Relationship Id="rId26" Type="http://schemas.openxmlformats.org/officeDocument/2006/relationships/ctrlProp" Target="../ctrlProps/ctrlProp3023.xml"/><Relationship Id="rId39" Type="http://schemas.openxmlformats.org/officeDocument/2006/relationships/ctrlProp" Target="../ctrlProps/ctrlProp3036.xml"/><Relationship Id="rId21" Type="http://schemas.openxmlformats.org/officeDocument/2006/relationships/ctrlProp" Target="../ctrlProps/ctrlProp3018.xml"/><Relationship Id="rId34" Type="http://schemas.openxmlformats.org/officeDocument/2006/relationships/ctrlProp" Target="../ctrlProps/ctrlProp3031.xml"/><Relationship Id="rId7" Type="http://schemas.openxmlformats.org/officeDocument/2006/relationships/ctrlProp" Target="../ctrlProps/ctrlProp3004.xml"/><Relationship Id="rId12" Type="http://schemas.openxmlformats.org/officeDocument/2006/relationships/ctrlProp" Target="../ctrlProps/ctrlProp3009.xml"/><Relationship Id="rId17" Type="http://schemas.openxmlformats.org/officeDocument/2006/relationships/ctrlProp" Target="../ctrlProps/ctrlProp3014.xml"/><Relationship Id="rId25" Type="http://schemas.openxmlformats.org/officeDocument/2006/relationships/ctrlProp" Target="../ctrlProps/ctrlProp3022.xml"/><Relationship Id="rId33" Type="http://schemas.openxmlformats.org/officeDocument/2006/relationships/ctrlProp" Target="../ctrlProps/ctrlProp3030.xml"/><Relationship Id="rId38" Type="http://schemas.openxmlformats.org/officeDocument/2006/relationships/ctrlProp" Target="../ctrlProps/ctrlProp3035.xml"/><Relationship Id="rId2" Type="http://schemas.openxmlformats.org/officeDocument/2006/relationships/drawing" Target="../drawings/drawing70.xml"/><Relationship Id="rId16" Type="http://schemas.openxmlformats.org/officeDocument/2006/relationships/ctrlProp" Target="../ctrlProps/ctrlProp3013.xml"/><Relationship Id="rId20" Type="http://schemas.openxmlformats.org/officeDocument/2006/relationships/ctrlProp" Target="../ctrlProps/ctrlProp3017.xml"/><Relationship Id="rId29" Type="http://schemas.openxmlformats.org/officeDocument/2006/relationships/ctrlProp" Target="../ctrlProps/ctrlProp3026.xml"/><Relationship Id="rId1" Type="http://schemas.openxmlformats.org/officeDocument/2006/relationships/printerSettings" Target="../printerSettings/printerSettings71.bin"/><Relationship Id="rId6" Type="http://schemas.openxmlformats.org/officeDocument/2006/relationships/ctrlProp" Target="../ctrlProps/ctrlProp3003.xml"/><Relationship Id="rId11" Type="http://schemas.openxmlformats.org/officeDocument/2006/relationships/ctrlProp" Target="../ctrlProps/ctrlProp3008.xml"/><Relationship Id="rId24" Type="http://schemas.openxmlformats.org/officeDocument/2006/relationships/ctrlProp" Target="../ctrlProps/ctrlProp3021.xml"/><Relationship Id="rId32" Type="http://schemas.openxmlformats.org/officeDocument/2006/relationships/ctrlProp" Target="../ctrlProps/ctrlProp3029.xml"/><Relationship Id="rId37" Type="http://schemas.openxmlformats.org/officeDocument/2006/relationships/ctrlProp" Target="../ctrlProps/ctrlProp3034.xml"/><Relationship Id="rId40" Type="http://schemas.openxmlformats.org/officeDocument/2006/relationships/ctrlProp" Target="../ctrlProps/ctrlProp3037.xml"/><Relationship Id="rId5" Type="http://schemas.openxmlformats.org/officeDocument/2006/relationships/ctrlProp" Target="../ctrlProps/ctrlProp3002.xml"/><Relationship Id="rId15" Type="http://schemas.openxmlformats.org/officeDocument/2006/relationships/ctrlProp" Target="../ctrlProps/ctrlProp3012.xml"/><Relationship Id="rId23" Type="http://schemas.openxmlformats.org/officeDocument/2006/relationships/ctrlProp" Target="../ctrlProps/ctrlProp3020.xml"/><Relationship Id="rId28" Type="http://schemas.openxmlformats.org/officeDocument/2006/relationships/ctrlProp" Target="../ctrlProps/ctrlProp3025.xml"/><Relationship Id="rId36" Type="http://schemas.openxmlformats.org/officeDocument/2006/relationships/ctrlProp" Target="../ctrlProps/ctrlProp3033.xml"/><Relationship Id="rId10" Type="http://schemas.openxmlformats.org/officeDocument/2006/relationships/ctrlProp" Target="../ctrlProps/ctrlProp3007.xml"/><Relationship Id="rId19" Type="http://schemas.openxmlformats.org/officeDocument/2006/relationships/ctrlProp" Target="../ctrlProps/ctrlProp3016.xml"/><Relationship Id="rId31" Type="http://schemas.openxmlformats.org/officeDocument/2006/relationships/ctrlProp" Target="../ctrlProps/ctrlProp3028.xml"/><Relationship Id="rId4" Type="http://schemas.openxmlformats.org/officeDocument/2006/relationships/ctrlProp" Target="../ctrlProps/ctrlProp3001.xml"/><Relationship Id="rId9" Type="http://schemas.openxmlformats.org/officeDocument/2006/relationships/ctrlProp" Target="../ctrlProps/ctrlProp3006.xml"/><Relationship Id="rId14" Type="http://schemas.openxmlformats.org/officeDocument/2006/relationships/ctrlProp" Target="../ctrlProps/ctrlProp3011.xml"/><Relationship Id="rId22" Type="http://schemas.openxmlformats.org/officeDocument/2006/relationships/ctrlProp" Target="../ctrlProps/ctrlProp3019.xml"/><Relationship Id="rId27" Type="http://schemas.openxmlformats.org/officeDocument/2006/relationships/ctrlProp" Target="../ctrlProps/ctrlProp3024.xml"/><Relationship Id="rId30" Type="http://schemas.openxmlformats.org/officeDocument/2006/relationships/ctrlProp" Target="../ctrlProps/ctrlProp3027.xml"/><Relationship Id="rId35" Type="http://schemas.openxmlformats.org/officeDocument/2006/relationships/ctrlProp" Target="../ctrlProps/ctrlProp3032.xml"/><Relationship Id="rId8" Type="http://schemas.openxmlformats.org/officeDocument/2006/relationships/ctrlProp" Target="../ctrlProps/ctrlProp3005.xml"/><Relationship Id="rId3" Type="http://schemas.openxmlformats.org/officeDocument/2006/relationships/vmlDrawing" Target="../drawings/vmlDrawing70.vml"/></Relationships>
</file>

<file path=xl/worksheets/_rels/sheet74.xml.rels><?xml version="1.0" encoding="UTF-8" standalone="yes"?>
<Relationships xmlns="http://schemas.openxmlformats.org/package/2006/relationships"><Relationship Id="rId13" Type="http://schemas.openxmlformats.org/officeDocument/2006/relationships/ctrlProp" Target="../ctrlProps/ctrlProp3046.xml"/><Relationship Id="rId18" Type="http://schemas.openxmlformats.org/officeDocument/2006/relationships/ctrlProp" Target="../ctrlProps/ctrlProp3051.xml"/><Relationship Id="rId26" Type="http://schemas.openxmlformats.org/officeDocument/2006/relationships/ctrlProp" Target="../ctrlProps/ctrlProp3059.xml"/><Relationship Id="rId39" Type="http://schemas.openxmlformats.org/officeDocument/2006/relationships/ctrlProp" Target="../ctrlProps/ctrlProp3072.xml"/><Relationship Id="rId21" Type="http://schemas.openxmlformats.org/officeDocument/2006/relationships/ctrlProp" Target="../ctrlProps/ctrlProp3054.xml"/><Relationship Id="rId34" Type="http://schemas.openxmlformats.org/officeDocument/2006/relationships/ctrlProp" Target="../ctrlProps/ctrlProp3067.xml"/><Relationship Id="rId7" Type="http://schemas.openxmlformats.org/officeDocument/2006/relationships/ctrlProp" Target="../ctrlProps/ctrlProp3040.xml"/><Relationship Id="rId2" Type="http://schemas.openxmlformats.org/officeDocument/2006/relationships/printerSettings" Target="../printerSettings/printerSettings72.bin"/><Relationship Id="rId16" Type="http://schemas.openxmlformats.org/officeDocument/2006/relationships/ctrlProp" Target="../ctrlProps/ctrlProp3049.xml"/><Relationship Id="rId20" Type="http://schemas.openxmlformats.org/officeDocument/2006/relationships/ctrlProp" Target="../ctrlProps/ctrlProp3053.xml"/><Relationship Id="rId29" Type="http://schemas.openxmlformats.org/officeDocument/2006/relationships/ctrlProp" Target="../ctrlProps/ctrlProp3062.xml"/><Relationship Id="rId41" Type="http://schemas.openxmlformats.org/officeDocument/2006/relationships/ctrlProp" Target="../ctrlProps/ctrlProp3074.xml"/><Relationship Id="rId1" Type="http://schemas.openxmlformats.org/officeDocument/2006/relationships/hyperlink" Target="mailto:dirkblitz@hotmail.com" TargetMode="External"/><Relationship Id="rId6" Type="http://schemas.openxmlformats.org/officeDocument/2006/relationships/ctrlProp" Target="../ctrlProps/ctrlProp3039.xml"/><Relationship Id="rId11" Type="http://schemas.openxmlformats.org/officeDocument/2006/relationships/ctrlProp" Target="../ctrlProps/ctrlProp3044.xml"/><Relationship Id="rId24" Type="http://schemas.openxmlformats.org/officeDocument/2006/relationships/ctrlProp" Target="../ctrlProps/ctrlProp3057.xml"/><Relationship Id="rId32" Type="http://schemas.openxmlformats.org/officeDocument/2006/relationships/ctrlProp" Target="../ctrlProps/ctrlProp3065.xml"/><Relationship Id="rId37" Type="http://schemas.openxmlformats.org/officeDocument/2006/relationships/ctrlProp" Target="../ctrlProps/ctrlProp3070.xml"/><Relationship Id="rId40" Type="http://schemas.openxmlformats.org/officeDocument/2006/relationships/ctrlProp" Target="../ctrlProps/ctrlProp3073.xml"/><Relationship Id="rId5" Type="http://schemas.openxmlformats.org/officeDocument/2006/relationships/ctrlProp" Target="../ctrlProps/ctrlProp3038.xml"/><Relationship Id="rId15" Type="http://schemas.openxmlformats.org/officeDocument/2006/relationships/ctrlProp" Target="../ctrlProps/ctrlProp3048.xml"/><Relationship Id="rId23" Type="http://schemas.openxmlformats.org/officeDocument/2006/relationships/ctrlProp" Target="../ctrlProps/ctrlProp3056.xml"/><Relationship Id="rId28" Type="http://schemas.openxmlformats.org/officeDocument/2006/relationships/ctrlProp" Target="../ctrlProps/ctrlProp3061.xml"/><Relationship Id="rId36" Type="http://schemas.openxmlformats.org/officeDocument/2006/relationships/ctrlProp" Target="../ctrlProps/ctrlProp3069.xml"/><Relationship Id="rId10" Type="http://schemas.openxmlformats.org/officeDocument/2006/relationships/ctrlProp" Target="../ctrlProps/ctrlProp3043.xml"/><Relationship Id="rId19" Type="http://schemas.openxmlformats.org/officeDocument/2006/relationships/ctrlProp" Target="../ctrlProps/ctrlProp3052.xml"/><Relationship Id="rId31" Type="http://schemas.openxmlformats.org/officeDocument/2006/relationships/ctrlProp" Target="../ctrlProps/ctrlProp3064.xml"/><Relationship Id="rId4" Type="http://schemas.openxmlformats.org/officeDocument/2006/relationships/vmlDrawing" Target="../drawings/vmlDrawing71.vml"/><Relationship Id="rId9" Type="http://schemas.openxmlformats.org/officeDocument/2006/relationships/ctrlProp" Target="../ctrlProps/ctrlProp3042.xml"/><Relationship Id="rId14" Type="http://schemas.openxmlformats.org/officeDocument/2006/relationships/ctrlProp" Target="../ctrlProps/ctrlProp3047.xml"/><Relationship Id="rId22" Type="http://schemas.openxmlformats.org/officeDocument/2006/relationships/ctrlProp" Target="../ctrlProps/ctrlProp3055.xml"/><Relationship Id="rId27" Type="http://schemas.openxmlformats.org/officeDocument/2006/relationships/ctrlProp" Target="../ctrlProps/ctrlProp3060.xml"/><Relationship Id="rId30" Type="http://schemas.openxmlformats.org/officeDocument/2006/relationships/ctrlProp" Target="../ctrlProps/ctrlProp3063.xml"/><Relationship Id="rId35" Type="http://schemas.openxmlformats.org/officeDocument/2006/relationships/ctrlProp" Target="../ctrlProps/ctrlProp3068.xml"/><Relationship Id="rId8" Type="http://schemas.openxmlformats.org/officeDocument/2006/relationships/ctrlProp" Target="../ctrlProps/ctrlProp3041.xml"/><Relationship Id="rId3" Type="http://schemas.openxmlformats.org/officeDocument/2006/relationships/drawing" Target="../drawings/drawing71.xml"/><Relationship Id="rId12" Type="http://schemas.openxmlformats.org/officeDocument/2006/relationships/ctrlProp" Target="../ctrlProps/ctrlProp3045.xml"/><Relationship Id="rId17" Type="http://schemas.openxmlformats.org/officeDocument/2006/relationships/ctrlProp" Target="../ctrlProps/ctrlProp3050.xml"/><Relationship Id="rId25" Type="http://schemas.openxmlformats.org/officeDocument/2006/relationships/ctrlProp" Target="../ctrlProps/ctrlProp3058.xml"/><Relationship Id="rId33" Type="http://schemas.openxmlformats.org/officeDocument/2006/relationships/ctrlProp" Target="../ctrlProps/ctrlProp3066.xml"/><Relationship Id="rId38" Type="http://schemas.openxmlformats.org/officeDocument/2006/relationships/ctrlProp" Target="../ctrlProps/ctrlProp3071.xml"/></Relationships>
</file>

<file path=xl/worksheets/_rels/sheet75.xml.rels><?xml version="1.0" encoding="UTF-8" standalone="yes"?>
<Relationships xmlns="http://schemas.openxmlformats.org/package/2006/relationships"><Relationship Id="rId13" Type="http://schemas.openxmlformats.org/officeDocument/2006/relationships/ctrlProp" Target="../ctrlProps/ctrlProp3083.xml"/><Relationship Id="rId18" Type="http://schemas.openxmlformats.org/officeDocument/2006/relationships/ctrlProp" Target="../ctrlProps/ctrlProp3088.xml"/><Relationship Id="rId26" Type="http://schemas.openxmlformats.org/officeDocument/2006/relationships/ctrlProp" Target="../ctrlProps/ctrlProp3096.xml"/><Relationship Id="rId39" Type="http://schemas.openxmlformats.org/officeDocument/2006/relationships/ctrlProp" Target="../ctrlProps/ctrlProp3109.xml"/><Relationship Id="rId21" Type="http://schemas.openxmlformats.org/officeDocument/2006/relationships/ctrlProp" Target="../ctrlProps/ctrlProp3091.xml"/><Relationship Id="rId34" Type="http://schemas.openxmlformats.org/officeDocument/2006/relationships/ctrlProp" Target="../ctrlProps/ctrlProp3104.xml"/><Relationship Id="rId7" Type="http://schemas.openxmlformats.org/officeDocument/2006/relationships/ctrlProp" Target="../ctrlProps/ctrlProp3077.xml"/><Relationship Id="rId2" Type="http://schemas.openxmlformats.org/officeDocument/2006/relationships/printerSettings" Target="../printerSettings/printerSettings73.bin"/><Relationship Id="rId16" Type="http://schemas.openxmlformats.org/officeDocument/2006/relationships/ctrlProp" Target="../ctrlProps/ctrlProp3086.xml"/><Relationship Id="rId20" Type="http://schemas.openxmlformats.org/officeDocument/2006/relationships/ctrlProp" Target="../ctrlProps/ctrlProp3090.xml"/><Relationship Id="rId29" Type="http://schemas.openxmlformats.org/officeDocument/2006/relationships/ctrlProp" Target="../ctrlProps/ctrlProp3099.xml"/><Relationship Id="rId41" Type="http://schemas.openxmlformats.org/officeDocument/2006/relationships/ctrlProp" Target="../ctrlProps/ctrlProp3111.xml"/><Relationship Id="rId1" Type="http://schemas.openxmlformats.org/officeDocument/2006/relationships/hyperlink" Target="mailto:stammerscarpentry@bigpond.com" TargetMode="External"/><Relationship Id="rId6" Type="http://schemas.openxmlformats.org/officeDocument/2006/relationships/ctrlProp" Target="../ctrlProps/ctrlProp3076.xml"/><Relationship Id="rId11" Type="http://schemas.openxmlformats.org/officeDocument/2006/relationships/ctrlProp" Target="../ctrlProps/ctrlProp3081.xml"/><Relationship Id="rId24" Type="http://schemas.openxmlformats.org/officeDocument/2006/relationships/ctrlProp" Target="../ctrlProps/ctrlProp3094.xml"/><Relationship Id="rId32" Type="http://schemas.openxmlformats.org/officeDocument/2006/relationships/ctrlProp" Target="../ctrlProps/ctrlProp3102.xml"/><Relationship Id="rId37" Type="http://schemas.openxmlformats.org/officeDocument/2006/relationships/ctrlProp" Target="../ctrlProps/ctrlProp3107.xml"/><Relationship Id="rId40" Type="http://schemas.openxmlformats.org/officeDocument/2006/relationships/ctrlProp" Target="../ctrlProps/ctrlProp3110.xml"/><Relationship Id="rId5" Type="http://schemas.openxmlformats.org/officeDocument/2006/relationships/ctrlProp" Target="../ctrlProps/ctrlProp3075.xml"/><Relationship Id="rId15" Type="http://schemas.openxmlformats.org/officeDocument/2006/relationships/ctrlProp" Target="../ctrlProps/ctrlProp3085.xml"/><Relationship Id="rId23" Type="http://schemas.openxmlformats.org/officeDocument/2006/relationships/ctrlProp" Target="../ctrlProps/ctrlProp3093.xml"/><Relationship Id="rId28" Type="http://schemas.openxmlformats.org/officeDocument/2006/relationships/ctrlProp" Target="../ctrlProps/ctrlProp3098.xml"/><Relationship Id="rId36" Type="http://schemas.openxmlformats.org/officeDocument/2006/relationships/ctrlProp" Target="../ctrlProps/ctrlProp3106.xml"/><Relationship Id="rId10" Type="http://schemas.openxmlformats.org/officeDocument/2006/relationships/ctrlProp" Target="../ctrlProps/ctrlProp3080.xml"/><Relationship Id="rId19" Type="http://schemas.openxmlformats.org/officeDocument/2006/relationships/ctrlProp" Target="../ctrlProps/ctrlProp3089.xml"/><Relationship Id="rId31" Type="http://schemas.openxmlformats.org/officeDocument/2006/relationships/ctrlProp" Target="../ctrlProps/ctrlProp3101.xml"/><Relationship Id="rId4" Type="http://schemas.openxmlformats.org/officeDocument/2006/relationships/vmlDrawing" Target="../drawings/vmlDrawing72.vml"/><Relationship Id="rId9" Type="http://schemas.openxmlformats.org/officeDocument/2006/relationships/ctrlProp" Target="../ctrlProps/ctrlProp3079.xml"/><Relationship Id="rId14" Type="http://schemas.openxmlformats.org/officeDocument/2006/relationships/ctrlProp" Target="../ctrlProps/ctrlProp3084.xml"/><Relationship Id="rId22" Type="http://schemas.openxmlformats.org/officeDocument/2006/relationships/ctrlProp" Target="../ctrlProps/ctrlProp3092.xml"/><Relationship Id="rId27" Type="http://schemas.openxmlformats.org/officeDocument/2006/relationships/ctrlProp" Target="../ctrlProps/ctrlProp3097.xml"/><Relationship Id="rId30" Type="http://schemas.openxmlformats.org/officeDocument/2006/relationships/ctrlProp" Target="../ctrlProps/ctrlProp3100.xml"/><Relationship Id="rId35" Type="http://schemas.openxmlformats.org/officeDocument/2006/relationships/ctrlProp" Target="../ctrlProps/ctrlProp3105.xml"/><Relationship Id="rId8" Type="http://schemas.openxmlformats.org/officeDocument/2006/relationships/ctrlProp" Target="../ctrlProps/ctrlProp3078.xml"/><Relationship Id="rId3" Type="http://schemas.openxmlformats.org/officeDocument/2006/relationships/drawing" Target="../drawings/drawing72.xml"/><Relationship Id="rId12" Type="http://schemas.openxmlformats.org/officeDocument/2006/relationships/ctrlProp" Target="../ctrlProps/ctrlProp3082.xml"/><Relationship Id="rId17" Type="http://schemas.openxmlformats.org/officeDocument/2006/relationships/ctrlProp" Target="../ctrlProps/ctrlProp3087.xml"/><Relationship Id="rId25" Type="http://schemas.openxmlformats.org/officeDocument/2006/relationships/ctrlProp" Target="../ctrlProps/ctrlProp3095.xml"/><Relationship Id="rId33" Type="http://schemas.openxmlformats.org/officeDocument/2006/relationships/ctrlProp" Target="../ctrlProps/ctrlProp3103.xml"/><Relationship Id="rId38" Type="http://schemas.openxmlformats.org/officeDocument/2006/relationships/ctrlProp" Target="../ctrlProps/ctrlProp3108.xml"/></Relationships>
</file>

<file path=xl/worksheets/_rels/sheet76.xml.rels><?xml version="1.0" encoding="UTF-8" standalone="yes"?>
<Relationships xmlns="http://schemas.openxmlformats.org/package/2006/relationships"><Relationship Id="rId13" Type="http://schemas.openxmlformats.org/officeDocument/2006/relationships/ctrlProp" Target="../ctrlProps/ctrlProp3121.xml"/><Relationship Id="rId18" Type="http://schemas.openxmlformats.org/officeDocument/2006/relationships/ctrlProp" Target="../ctrlProps/ctrlProp3126.xml"/><Relationship Id="rId26" Type="http://schemas.openxmlformats.org/officeDocument/2006/relationships/ctrlProp" Target="../ctrlProps/ctrlProp3134.xml"/><Relationship Id="rId39" Type="http://schemas.openxmlformats.org/officeDocument/2006/relationships/ctrlProp" Target="../ctrlProps/ctrlProp3147.xml"/><Relationship Id="rId21" Type="http://schemas.openxmlformats.org/officeDocument/2006/relationships/ctrlProp" Target="../ctrlProps/ctrlProp3129.xml"/><Relationship Id="rId34" Type="http://schemas.openxmlformats.org/officeDocument/2006/relationships/ctrlProp" Target="../ctrlProps/ctrlProp3142.xml"/><Relationship Id="rId7" Type="http://schemas.openxmlformats.org/officeDocument/2006/relationships/ctrlProp" Target="../ctrlProps/ctrlProp3115.xml"/><Relationship Id="rId12" Type="http://schemas.openxmlformats.org/officeDocument/2006/relationships/ctrlProp" Target="../ctrlProps/ctrlProp3120.xml"/><Relationship Id="rId17" Type="http://schemas.openxmlformats.org/officeDocument/2006/relationships/ctrlProp" Target="../ctrlProps/ctrlProp3125.xml"/><Relationship Id="rId25" Type="http://schemas.openxmlformats.org/officeDocument/2006/relationships/ctrlProp" Target="../ctrlProps/ctrlProp3133.xml"/><Relationship Id="rId33" Type="http://schemas.openxmlformats.org/officeDocument/2006/relationships/ctrlProp" Target="../ctrlProps/ctrlProp3141.xml"/><Relationship Id="rId38" Type="http://schemas.openxmlformats.org/officeDocument/2006/relationships/ctrlProp" Target="../ctrlProps/ctrlProp3146.xml"/><Relationship Id="rId2" Type="http://schemas.openxmlformats.org/officeDocument/2006/relationships/drawing" Target="../drawings/drawing73.xml"/><Relationship Id="rId16" Type="http://schemas.openxmlformats.org/officeDocument/2006/relationships/ctrlProp" Target="../ctrlProps/ctrlProp3124.xml"/><Relationship Id="rId20" Type="http://schemas.openxmlformats.org/officeDocument/2006/relationships/ctrlProp" Target="../ctrlProps/ctrlProp3128.xml"/><Relationship Id="rId29" Type="http://schemas.openxmlformats.org/officeDocument/2006/relationships/ctrlProp" Target="../ctrlProps/ctrlProp3137.xml"/><Relationship Id="rId1" Type="http://schemas.openxmlformats.org/officeDocument/2006/relationships/printerSettings" Target="../printerSettings/printerSettings74.bin"/><Relationship Id="rId6" Type="http://schemas.openxmlformats.org/officeDocument/2006/relationships/ctrlProp" Target="../ctrlProps/ctrlProp3114.xml"/><Relationship Id="rId11" Type="http://schemas.openxmlformats.org/officeDocument/2006/relationships/ctrlProp" Target="../ctrlProps/ctrlProp3119.xml"/><Relationship Id="rId24" Type="http://schemas.openxmlformats.org/officeDocument/2006/relationships/ctrlProp" Target="../ctrlProps/ctrlProp3132.xml"/><Relationship Id="rId32" Type="http://schemas.openxmlformats.org/officeDocument/2006/relationships/ctrlProp" Target="../ctrlProps/ctrlProp3140.xml"/><Relationship Id="rId37" Type="http://schemas.openxmlformats.org/officeDocument/2006/relationships/ctrlProp" Target="../ctrlProps/ctrlProp3145.xml"/><Relationship Id="rId40" Type="http://schemas.openxmlformats.org/officeDocument/2006/relationships/ctrlProp" Target="../ctrlProps/ctrlProp3148.xml"/><Relationship Id="rId5" Type="http://schemas.openxmlformats.org/officeDocument/2006/relationships/ctrlProp" Target="../ctrlProps/ctrlProp3113.xml"/><Relationship Id="rId15" Type="http://schemas.openxmlformats.org/officeDocument/2006/relationships/ctrlProp" Target="../ctrlProps/ctrlProp3123.xml"/><Relationship Id="rId23" Type="http://schemas.openxmlformats.org/officeDocument/2006/relationships/ctrlProp" Target="../ctrlProps/ctrlProp3131.xml"/><Relationship Id="rId28" Type="http://schemas.openxmlformats.org/officeDocument/2006/relationships/ctrlProp" Target="../ctrlProps/ctrlProp3136.xml"/><Relationship Id="rId36" Type="http://schemas.openxmlformats.org/officeDocument/2006/relationships/ctrlProp" Target="../ctrlProps/ctrlProp3144.xml"/><Relationship Id="rId10" Type="http://schemas.openxmlformats.org/officeDocument/2006/relationships/ctrlProp" Target="../ctrlProps/ctrlProp3118.xml"/><Relationship Id="rId19" Type="http://schemas.openxmlformats.org/officeDocument/2006/relationships/ctrlProp" Target="../ctrlProps/ctrlProp3127.xml"/><Relationship Id="rId31" Type="http://schemas.openxmlformats.org/officeDocument/2006/relationships/ctrlProp" Target="../ctrlProps/ctrlProp3139.xml"/><Relationship Id="rId4" Type="http://schemas.openxmlformats.org/officeDocument/2006/relationships/ctrlProp" Target="../ctrlProps/ctrlProp3112.xml"/><Relationship Id="rId9" Type="http://schemas.openxmlformats.org/officeDocument/2006/relationships/ctrlProp" Target="../ctrlProps/ctrlProp3117.xml"/><Relationship Id="rId14" Type="http://schemas.openxmlformats.org/officeDocument/2006/relationships/ctrlProp" Target="../ctrlProps/ctrlProp3122.xml"/><Relationship Id="rId22" Type="http://schemas.openxmlformats.org/officeDocument/2006/relationships/ctrlProp" Target="../ctrlProps/ctrlProp3130.xml"/><Relationship Id="rId27" Type="http://schemas.openxmlformats.org/officeDocument/2006/relationships/ctrlProp" Target="../ctrlProps/ctrlProp3135.xml"/><Relationship Id="rId30" Type="http://schemas.openxmlformats.org/officeDocument/2006/relationships/ctrlProp" Target="../ctrlProps/ctrlProp3138.xml"/><Relationship Id="rId35" Type="http://schemas.openxmlformats.org/officeDocument/2006/relationships/ctrlProp" Target="../ctrlProps/ctrlProp3143.xml"/><Relationship Id="rId8" Type="http://schemas.openxmlformats.org/officeDocument/2006/relationships/ctrlProp" Target="../ctrlProps/ctrlProp3116.xml"/><Relationship Id="rId3" Type="http://schemas.openxmlformats.org/officeDocument/2006/relationships/vmlDrawing" Target="../drawings/vmlDrawing73.vml"/></Relationships>
</file>

<file path=xl/worksheets/_rels/sheet77.xml.rels><?xml version="1.0" encoding="UTF-8" standalone="yes"?>
<Relationships xmlns="http://schemas.openxmlformats.org/package/2006/relationships"><Relationship Id="rId13" Type="http://schemas.openxmlformats.org/officeDocument/2006/relationships/ctrlProp" Target="../ctrlProps/ctrlProp3157.xml"/><Relationship Id="rId18" Type="http://schemas.openxmlformats.org/officeDocument/2006/relationships/ctrlProp" Target="../ctrlProps/ctrlProp3162.xml"/><Relationship Id="rId26" Type="http://schemas.openxmlformats.org/officeDocument/2006/relationships/ctrlProp" Target="../ctrlProps/ctrlProp3170.xml"/><Relationship Id="rId39" Type="http://schemas.openxmlformats.org/officeDocument/2006/relationships/ctrlProp" Target="../ctrlProps/ctrlProp3183.xml"/><Relationship Id="rId21" Type="http://schemas.openxmlformats.org/officeDocument/2006/relationships/ctrlProp" Target="../ctrlProps/ctrlProp3165.xml"/><Relationship Id="rId34" Type="http://schemas.openxmlformats.org/officeDocument/2006/relationships/ctrlProp" Target="../ctrlProps/ctrlProp3178.xml"/><Relationship Id="rId7" Type="http://schemas.openxmlformats.org/officeDocument/2006/relationships/ctrlProp" Target="../ctrlProps/ctrlProp3151.xml"/><Relationship Id="rId2" Type="http://schemas.openxmlformats.org/officeDocument/2006/relationships/printerSettings" Target="../printerSettings/printerSettings75.bin"/><Relationship Id="rId16" Type="http://schemas.openxmlformats.org/officeDocument/2006/relationships/ctrlProp" Target="../ctrlProps/ctrlProp3160.xml"/><Relationship Id="rId20" Type="http://schemas.openxmlformats.org/officeDocument/2006/relationships/ctrlProp" Target="../ctrlProps/ctrlProp3164.xml"/><Relationship Id="rId29" Type="http://schemas.openxmlformats.org/officeDocument/2006/relationships/ctrlProp" Target="../ctrlProps/ctrlProp3173.xml"/><Relationship Id="rId41" Type="http://schemas.openxmlformats.org/officeDocument/2006/relationships/ctrlProp" Target="../ctrlProps/ctrlProp3185.xml"/><Relationship Id="rId1" Type="http://schemas.openxmlformats.org/officeDocument/2006/relationships/hyperlink" Target="mailto:jordan_knight32@hotmail.com" TargetMode="External"/><Relationship Id="rId6" Type="http://schemas.openxmlformats.org/officeDocument/2006/relationships/ctrlProp" Target="../ctrlProps/ctrlProp3150.xml"/><Relationship Id="rId11" Type="http://schemas.openxmlformats.org/officeDocument/2006/relationships/ctrlProp" Target="../ctrlProps/ctrlProp3155.xml"/><Relationship Id="rId24" Type="http://schemas.openxmlformats.org/officeDocument/2006/relationships/ctrlProp" Target="../ctrlProps/ctrlProp3168.xml"/><Relationship Id="rId32" Type="http://schemas.openxmlformats.org/officeDocument/2006/relationships/ctrlProp" Target="../ctrlProps/ctrlProp3176.xml"/><Relationship Id="rId37" Type="http://schemas.openxmlformats.org/officeDocument/2006/relationships/ctrlProp" Target="../ctrlProps/ctrlProp3181.xml"/><Relationship Id="rId40" Type="http://schemas.openxmlformats.org/officeDocument/2006/relationships/ctrlProp" Target="../ctrlProps/ctrlProp3184.xml"/><Relationship Id="rId5" Type="http://schemas.openxmlformats.org/officeDocument/2006/relationships/ctrlProp" Target="../ctrlProps/ctrlProp3149.xml"/><Relationship Id="rId15" Type="http://schemas.openxmlformats.org/officeDocument/2006/relationships/ctrlProp" Target="../ctrlProps/ctrlProp3159.xml"/><Relationship Id="rId23" Type="http://schemas.openxmlformats.org/officeDocument/2006/relationships/ctrlProp" Target="../ctrlProps/ctrlProp3167.xml"/><Relationship Id="rId28" Type="http://schemas.openxmlformats.org/officeDocument/2006/relationships/ctrlProp" Target="../ctrlProps/ctrlProp3172.xml"/><Relationship Id="rId36" Type="http://schemas.openxmlformats.org/officeDocument/2006/relationships/ctrlProp" Target="../ctrlProps/ctrlProp3180.xml"/><Relationship Id="rId10" Type="http://schemas.openxmlformats.org/officeDocument/2006/relationships/ctrlProp" Target="../ctrlProps/ctrlProp3154.xml"/><Relationship Id="rId19" Type="http://schemas.openxmlformats.org/officeDocument/2006/relationships/ctrlProp" Target="../ctrlProps/ctrlProp3163.xml"/><Relationship Id="rId31" Type="http://schemas.openxmlformats.org/officeDocument/2006/relationships/ctrlProp" Target="../ctrlProps/ctrlProp3175.xml"/><Relationship Id="rId4" Type="http://schemas.openxmlformats.org/officeDocument/2006/relationships/vmlDrawing" Target="../drawings/vmlDrawing74.vml"/><Relationship Id="rId9" Type="http://schemas.openxmlformats.org/officeDocument/2006/relationships/ctrlProp" Target="../ctrlProps/ctrlProp3153.xml"/><Relationship Id="rId14" Type="http://schemas.openxmlformats.org/officeDocument/2006/relationships/ctrlProp" Target="../ctrlProps/ctrlProp3158.xml"/><Relationship Id="rId22" Type="http://schemas.openxmlformats.org/officeDocument/2006/relationships/ctrlProp" Target="../ctrlProps/ctrlProp3166.xml"/><Relationship Id="rId27" Type="http://schemas.openxmlformats.org/officeDocument/2006/relationships/ctrlProp" Target="../ctrlProps/ctrlProp3171.xml"/><Relationship Id="rId30" Type="http://schemas.openxmlformats.org/officeDocument/2006/relationships/ctrlProp" Target="../ctrlProps/ctrlProp3174.xml"/><Relationship Id="rId35" Type="http://schemas.openxmlformats.org/officeDocument/2006/relationships/ctrlProp" Target="../ctrlProps/ctrlProp3179.xml"/><Relationship Id="rId8" Type="http://schemas.openxmlformats.org/officeDocument/2006/relationships/ctrlProp" Target="../ctrlProps/ctrlProp3152.xml"/><Relationship Id="rId3" Type="http://schemas.openxmlformats.org/officeDocument/2006/relationships/drawing" Target="../drawings/drawing74.xml"/><Relationship Id="rId12" Type="http://schemas.openxmlformats.org/officeDocument/2006/relationships/ctrlProp" Target="../ctrlProps/ctrlProp3156.xml"/><Relationship Id="rId17" Type="http://schemas.openxmlformats.org/officeDocument/2006/relationships/ctrlProp" Target="../ctrlProps/ctrlProp3161.xml"/><Relationship Id="rId25" Type="http://schemas.openxmlformats.org/officeDocument/2006/relationships/ctrlProp" Target="../ctrlProps/ctrlProp3169.xml"/><Relationship Id="rId33" Type="http://schemas.openxmlformats.org/officeDocument/2006/relationships/ctrlProp" Target="../ctrlProps/ctrlProp3177.xml"/><Relationship Id="rId38" Type="http://schemas.openxmlformats.org/officeDocument/2006/relationships/ctrlProp" Target="../ctrlProps/ctrlProp3182.xml"/></Relationships>
</file>

<file path=xl/worksheets/_rels/sheet78.xml.rels><?xml version="1.0" encoding="UTF-8" standalone="yes"?>
<Relationships xmlns="http://schemas.openxmlformats.org/package/2006/relationships"><Relationship Id="rId13" Type="http://schemas.openxmlformats.org/officeDocument/2006/relationships/ctrlProp" Target="../ctrlProps/ctrlProp3194.xml"/><Relationship Id="rId18" Type="http://schemas.openxmlformats.org/officeDocument/2006/relationships/ctrlProp" Target="../ctrlProps/ctrlProp3199.xml"/><Relationship Id="rId26" Type="http://schemas.openxmlformats.org/officeDocument/2006/relationships/ctrlProp" Target="../ctrlProps/ctrlProp3207.xml"/><Relationship Id="rId39" Type="http://schemas.openxmlformats.org/officeDocument/2006/relationships/ctrlProp" Target="../ctrlProps/ctrlProp3220.xml"/><Relationship Id="rId21" Type="http://schemas.openxmlformats.org/officeDocument/2006/relationships/ctrlProp" Target="../ctrlProps/ctrlProp3202.xml"/><Relationship Id="rId34" Type="http://schemas.openxmlformats.org/officeDocument/2006/relationships/ctrlProp" Target="../ctrlProps/ctrlProp3215.xml"/><Relationship Id="rId7" Type="http://schemas.openxmlformats.org/officeDocument/2006/relationships/ctrlProp" Target="../ctrlProps/ctrlProp3188.xml"/><Relationship Id="rId2" Type="http://schemas.openxmlformats.org/officeDocument/2006/relationships/printerSettings" Target="../printerSettings/printerSettings76.bin"/><Relationship Id="rId16" Type="http://schemas.openxmlformats.org/officeDocument/2006/relationships/ctrlProp" Target="../ctrlProps/ctrlProp3197.xml"/><Relationship Id="rId20" Type="http://schemas.openxmlformats.org/officeDocument/2006/relationships/ctrlProp" Target="../ctrlProps/ctrlProp3201.xml"/><Relationship Id="rId29" Type="http://schemas.openxmlformats.org/officeDocument/2006/relationships/ctrlProp" Target="../ctrlProps/ctrlProp3210.xml"/><Relationship Id="rId41" Type="http://schemas.openxmlformats.org/officeDocument/2006/relationships/ctrlProp" Target="../ctrlProps/ctrlProp3222.xml"/><Relationship Id="rId1" Type="http://schemas.openxmlformats.org/officeDocument/2006/relationships/hyperlink" Target="mailto:2fiftytransport@gmail.com" TargetMode="External"/><Relationship Id="rId6" Type="http://schemas.openxmlformats.org/officeDocument/2006/relationships/ctrlProp" Target="../ctrlProps/ctrlProp3187.xml"/><Relationship Id="rId11" Type="http://schemas.openxmlformats.org/officeDocument/2006/relationships/ctrlProp" Target="../ctrlProps/ctrlProp3192.xml"/><Relationship Id="rId24" Type="http://schemas.openxmlformats.org/officeDocument/2006/relationships/ctrlProp" Target="../ctrlProps/ctrlProp3205.xml"/><Relationship Id="rId32" Type="http://schemas.openxmlformats.org/officeDocument/2006/relationships/ctrlProp" Target="../ctrlProps/ctrlProp3213.xml"/><Relationship Id="rId37" Type="http://schemas.openxmlformats.org/officeDocument/2006/relationships/ctrlProp" Target="../ctrlProps/ctrlProp3218.xml"/><Relationship Id="rId40" Type="http://schemas.openxmlformats.org/officeDocument/2006/relationships/ctrlProp" Target="../ctrlProps/ctrlProp3221.xml"/><Relationship Id="rId5" Type="http://schemas.openxmlformats.org/officeDocument/2006/relationships/ctrlProp" Target="../ctrlProps/ctrlProp3186.xml"/><Relationship Id="rId15" Type="http://schemas.openxmlformats.org/officeDocument/2006/relationships/ctrlProp" Target="../ctrlProps/ctrlProp3196.xml"/><Relationship Id="rId23" Type="http://schemas.openxmlformats.org/officeDocument/2006/relationships/ctrlProp" Target="../ctrlProps/ctrlProp3204.xml"/><Relationship Id="rId28" Type="http://schemas.openxmlformats.org/officeDocument/2006/relationships/ctrlProp" Target="../ctrlProps/ctrlProp3209.xml"/><Relationship Id="rId36" Type="http://schemas.openxmlformats.org/officeDocument/2006/relationships/ctrlProp" Target="../ctrlProps/ctrlProp3217.xml"/><Relationship Id="rId10" Type="http://schemas.openxmlformats.org/officeDocument/2006/relationships/ctrlProp" Target="../ctrlProps/ctrlProp3191.xml"/><Relationship Id="rId19" Type="http://schemas.openxmlformats.org/officeDocument/2006/relationships/ctrlProp" Target="../ctrlProps/ctrlProp3200.xml"/><Relationship Id="rId31" Type="http://schemas.openxmlformats.org/officeDocument/2006/relationships/ctrlProp" Target="../ctrlProps/ctrlProp3212.xml"/><Relationship Id="rId4" Type="http://schemas.openxmlformats.org/officeDocument/2006/relationships/vmlDrawing" Target="../drawings/vmlDrawing75.vml"/><Relationship Id="rId9" Type="http://schemas.openxmlformats.org/officeDocument/2006/relationships/ctrlProp" Target="../ctrlProps/ctrlProp3190.xml"/><Relationship Id="rId14" Type="http://schemas.openxmlformats.org/officeDocument/2006/relationships/ctrlProp" Target="../ctrlProps/ctrlProp3195.xml"/><Relationship Id="rId22" Type="http://schemas.openxmlformats.org/officeDocument/2006/relationships/ctrlProp" Target="../ctrlProps/ctrlProp3203.xml"/><Relationship Id="rId27" Type="http://schemas.openxmlformats.org/officeDocument/2006/relationships/ctrlProp" Target="../ctrlProps/ctrlProp3208.xml"/><Relationship Id="rId30" Type="http://schemas.openxmlformats.org/officeDocument/2006/relationships/ctrlProp" Target="../ctrlProps/ctrlProp3211.xml"/><Relationship Id="rId35" Type="http://schemas.openxmlformats.org/officeDocument/2006/relationships/ctrlProp" Target="../ctrlProps/ctrlProp3216.xml"/><Relationship Id="rId8" Type="http://schemas.openxmlformats.org/officeDocument/2006/relationships/ctrlProp" Target="../ctrlProps/ctrlProp3189.xml"/><Relationship Id="rId3" Type="http://schemas.openxmlformats.org/officeDocument/2006/relationships/drawing" Target="../drawings/drawing75.xml"/><Relationship Id="rId12" Type="http://schemas.openxmlformats.org/officeDocument/2006/relationships/ctrlProp" Target="../ctrlProps/ctrlProp3193.xml"/><Relationship Id="rId17" Type="http://schemas.openxmlformats.org/officeDocument/2006/relationships/ctrlProp" Target="../ctrlProps/ctrlProp3198.xml"/><Relationship Id="rId25" Type="http://schemas.openxmlformats.org/officeDocument/2006/relationships/ctrlProp" Target="../ctrlProps/ctrlProp3206.xml"/><Relationship Id="rId33" Type="http://schemas.openxmlformats.org/officeDocument/2006/relationships/ctrlProp" Target="../ctrlProps/ctrlProp3214.xml"/><Relationship Id="rId38" Type="http://schemas.openxmlformats.org/officeDocument/2006/relationships/ctrlProp" Target="../ctrlProps/ctrlProp3219.xml"/></Relationships>
</file>

<file path=xl/worksheets/_rels/sheet79.xml.rels><?xml version="1.0" encoding="UTF-8" standalone="yes"?>
<Relationships xmlns="http://schemas.openxmlformats.org/package/2006/relationships"><Relationship Id="rId13" Type="http://schemas.openxmlformats.org/officeDocument/2006/relationships/ctrlProp" Target="../ctrlProps/ctrlProp3231.xml"/><Relationship Id="rId18" Type="http://schemas.openxmlformats.org/officeDocument/2006/relationships/ctrlProp" Target="../ctrlProps/ctrlProp3236.xml"/><Relationship Id="rId26" Type="http://schemas.openxmlformats.org/officeDocument/2006/relationships/ctrlProp" Target="../ctrlProps/ctrlProp3244.xml"/><Relationship Id="rId39" Type="http://schemas.openxmlformats.org/officeDocument/2006/relationships/ctrlProp" Target="../ctrlProps/ctrlProp3257.xml"/><Relationship Id="rId21" Type="http://schemas.openxmlformats.org/officeDocument/2006/relationships/ctrlProp" Target="../ctrlProps/ctrlProp3239.xml"/><Relationship Id="rId34" Type="http://schemas.openxmlformats.org/officeDocument/2006/relationships/ctrlProp" Target="../ctrlProps/ctrlProp3252.xml"/><Relationship Id="rId7" Type="http://schemas.openxmlformats.org/officeDocument/2006/relationships/ctrlProp" Target="../ctrlProps/ctrlProp3225.xml"/><Relationship Id="rId2" Type="http://schemas.openxmlformats.org/officeDocument/2006/relationships/printerSettings" Target="../printerSettings/printerSettings77.bin"/><Relationship Id="rId16" Type="http://schemas.openxmlformats.org/officeDocument/2006/relationships/ctrlProp" Target="../ctrlProps/ctrlProp3234.xml"/><Relationship Id="rId20" Type="http://schemas.openxmlformats.org/officeDocument/2006/relationships/ctrlProp" Target="../ctrlProps/ctrlProp3238.xml"/><Relationship Id="rId29" Type="http://schemas.openxmlformats.org/officeDocument/2006/relationships/ctrlProp" Target="../ctrlProps/ctrlProp3247.xml"/><Relationship Id="rId41" Type="http://schemas.openxmlformats.org/officeDocument/2006/relationships/ctrlProp" Target="../ctrlProps/ctrlProp3259.xml"/><Relationship Id="rId1" Type="http://schemas.openxmlformats.org/officeDocument/2006/relationships/hyperlink" Target="mailto:clancyselectrical@hotmail.com" TargetMode="External"/><Relationship Id="rId6" Type="http://schemas.openxmlformats.org/officeDocument/2006/relationships/ctrlProp" Target="../ctrlProps/ctrlProp3224.xml"/><Relationship Id="rId11" Type="http://schemas.openxmlformats.org/officeDocument/2006/relationships/ctrlProp" Target="../ctrlProps/ctrlProp3229.xml"/><Relationship Id="rId24" Type="http://schemas.openxmlformats.org/officeDocument/2006/relationships/ctrlProp" Target="../ctrlProps/ctrlProp3242.xml"/><Relationship Id="rId32" Type="http://schemas.openxmlformats.org/officeDocument/2006/relationships/ctrlProp" Target="../ctrlProps/ctrlProp3250.xml"/><Relationship Id="rId37" Type="http://schemas.openxmlformats.org/officeDocument/2006/relationships/ctrlProp" Target="../ctrlProps/ctrlProp3255.xml"/><Relationship Id="rId40" Type="http://schemas.openxmlformats.org/officeDocument/2006/relationships/ctrlProp" Target="../ctrlProps/ctrlProp3258.xml"/><Relationship Id="rId5" Type="http://schemas.openxmlformats.org/officeDocument/2006/relationships/ctrlProp" Target="../ctrlProps/ctrlProp3223.xml"/><Relationship Id="rId15" Type="http://schemas.openxmlformats.org/officeDocument/2006/relationships/ctrlProp" Target="../ctrlProps/ctrlProp3233.xml"/><Relationship Id="rId23" Type="http://schemas.openxmlformats.org/officeDocument/2006/relationships/ctrlProp" Target="../ctrlProps/ctrlProp3241.xml"/><Relationship Id="rId28" Type="http://schemas.openxmlformats.org/officeDocument/2006/relationships/ctrlProp" Target="../ctrlProps/ctrlProp3246.xml"/><Relationship Id="rId36" Type="http://schemas.openxmlformats.org/officeDocument/2006/relationships/ctrlProp" Target="../ctrlProps/ctrlProp3254.xml"/><Relationship Id="rId10" Type="http://schemas.openxmlformats.org/officeDocument/2006/relationships/ctrlProp" Target="../ctrlProps/ctrlProp3228.xml"/><Relationship Id="rId19" Type="http://schemas.openxmlformats.org/officeDocument/2006/relationships/ctrlProp" Target="../ctrlProps/ctrlProp3237.xml"/><Relationship Id="rId31" Type="http://schemas.openxmlformats.org/officeDocument/2006/relationships/ctrlProp" Target="../ctrlProps/ctrlProp3249.xml"/><Relationship Id="rId4" Type="http://schemas.openxmlformats.org/officeDocument/2006/relationships/vmlDrawing" Target="../drawings/vmlDrawing76.vml"/><Relationship Id="rId9" Type="http://schemas.openxmlformats.org/officeDocument/2006/relationships/ctrlProp" Target="../ctrlProps/ctrlProp3227.xml"/><Relationship Id="rId14" Type="http://schemas.openxmlformats.org/officeDocument/2006/relationships/ctrlProp" Target="../ctrlProps/ctrlProp3232.xml"/><Relationship Id="rId22" Type="http://schemas.openxmlformats.org/officeDocument/2006/relationships/ctrlProp" Target="../ctrlProps/ctrlProp3240.xml"/><Relationship Id="rId27" Type="http://schemas.openxmlformats.org/officeDocument/2006/relationships/ctrlProp" Target="../ctrlProps/ctrlProp3245.xml"/><Relationship Id="rId30" Type="http://schemas.openxmlformats.org/officeDocument/2006/relationships/ctrlProp" Target="../ctrlProps/ctrlProp3248.xml"/><Relationship Id="rId35" Type="http://schemas.openxmlformats.org/officeDocument/2006/relationships/ctrlProp" Target="../ctrlProps/ctrlProp3253.xml"/><Relationship Id="rId8" Type="http://schemas.openxmlformats.org/officeDocument/2006/relationships/ctrlProp" Target="../ctrlProps/ctrlProp3226.xml"/><Relationship Id="rId3" Type="http://schemas.openxmlformats.org/officeDocument/2006/relationships/drawing" Target="../drawings/drawing76.xml"/><Relationship Id="rId12" Type="http://schemas.openxmlformats.org/officeDocument/2006/relationships/ctrlProp" Target="../ctrlProps/ctrlProp3230.xml"/><Relationship Id="rId17" Type="http://schemas.openxmlformats.org/officeDocument/2006/relationships/ctrlProp" Target="../ctrlProps/ctrlProp3235.xml"/><Relationship Id="rId25" Type="http://schemas.openxmlformats.org/officeDocument/2006/relationships/ctrlProp" Target="../ctrlProps/ctrlProp3243.xml"/><Relationship Id="rId33" Type="http://schemas.openxmlformats.org/officeDocument/2006/relationships/ctrlProp" Target="../ctrlProps/ctrlProp3251.xml"/><Relationship Id="rId38" Type="http://schemas.openxmlformats.org/officeDocument/2006/relationships/ctrlProp" Target="../ctrlProps/ctrlProp3256.xml"/></Relationships>
</file>

<file path=xl/worksheets/_rels/sheet80.xml.rels><?xml version="1.0" encoding="UTF-8" standalone="yes"?>
<Relationships xmlns="http://schemas.openxmlformats.org/package/2006/relationships"><Relationship Id="rId13" Type="http://schemas.openxmlformats.org/officeDocument/2006/relationships/ctrlProp" Target="../ctrlProps/ctrlProp3268.xml"/><Relationship Id="rId18" Type="http://schemas.openxmlformats.org/officeDocument/2006/relationships/ctrlProp" Target="../ctrlProps/ctrlProp3273.xml"/><Relationship Id="rId26" Type="http://schemas.openxmlformats.org/officeDocument/2006/relationships/ctrlProp" Target="../ctrlProps/ctrlProp3281.xml"/><Relationship Id="rId39" Type="http://schemas.openxmlformats.org/officeDocument/2006/relationships/ctrlProp" Target="../ctrlProps/ctrlProp3294.xml"/><Relationship Id="rId21" Type="http://schemas.openxmlformats.org/officeDocument/2006/relationships/ctrlProp" Target="../ctrlProps/ctrlProp3276.xml"/><Relationship Id="rId34" Type="http://schemas.openxmlformats.org/officeDocument/2006/relationships/ctrlProp" Target="../ctrlProps/ctrlProp3289.xml"/><Relationship Id="rId7" Type="http://schemas.openxmlformats.org/officeDocument/2006/relationships/ctrlProp" Target="../ctrlProps/ctrlProp3262.xml"/><Relationship Id="rId2" Type="http://schemas.openxmlformats.org/officeDocument/2006/relationships/printerSettings" Target="../printerSettings/printerSettings78.bin"/><Relationship Id="rId16" Type="http://schemas.openxmlformats.org/officeDocument/2006/relationships/ctrlProp" Target="../ctrlProps/ctrlProp3271.xml"/><Relationship Id="rId20" Type="http://schemas.openxmlformats.org/officeDocument/2006/relationships/ctrlProp" Target="../ctrlProps/ctrlProp3275.xml"/><Relationship Id="rId29" Type="http://schemas.openxmlformats.org/officeDocument/2006/relationships/ctrlProp" Target="../ctrlProps/ctrlProp3284.xml"/><Relationship Id="rId41" Type="http://schemas.openxmlformats.org/officeDocument/2006/relationships/ctrlProp" Target="../ctrlProps/ctrlProp3296.xml"/><Relationship Id="rId1" Type="http://schemas.openxmlformats.org/officeDocument/2006/relationships/hyperlink" Target="mailto:jjltcstevens@gmail.com" TargetMode="External"/><Relationship Id="rId6" Type="http://schemas.openxmlformats.org/officeDocument/2006/relationships/ctrlProp" Target="../ctrlProps/ctrlProp3261.xml"/><Relationship Id="rId11" Type="http://schemas.openxmlformats.org/officeDocument/2006/relationships/ctrlProp" Target="../ctrlProps/ctrlProp3266.xml"/><Relationship Id="rId24" Type="http://schemas.openxmlformats.org/officeDocument/2006/relationships/ctrlProp" Target="../ctrlProps/ctrlProp3279.xml"/><Relationship Id="rId32" Type="http://schemas.openxmlformats.org/officeDocument/2006/relationships/ctrlProp" Target="../ctrlProps/ctrlProp3287.xml"/><Relationship Id="rId37" Type="http://schemas.openxmlformats.org/officeDocument/2006/relationships/ctrlProp" Target="../ctrlProps/ctrlProp3292.xml"/><Relationship Id="rId40" Type="http://schemas.openxmlformats.org/officeDocument/2006/relationships/ctrlProp" Target="../ctrlProps/ctrlProp3295.xml"/><Relationship Id="rId5" Type="http://schemas.openxmlformats.org/officeDocument/2006/relationships/ctrlProp" Target="../ctrlProps/ctrlProp3260.xml"/><Relationship Id="rId15" Type="http://schemas.openxmlformats.org/officeDocument/2006/relationships/ctrlProp" Target="../ctrlProps/ctrlProp3270.xml"/><Relationship Id="rId23" Type="http://schemas.openxmlformats.org/officeDocument/2006/relationships/ctrlProp" Target="../ctrlProps/ctrlProp3278.xml"/><Relationship Id="rId28" Type="http://schemas.openxmlformats.org/officeDocument/2006/relationships/ctrlProp" Target="../ctrlProps/ctrlProp3283.xml"/><Relationship Id="rId36" Type="http://schemas.openxmlformats.org/officeDocument/2006/relationships/ctrlProp" Target="../ctrlProps/ctrlProp3291.xml"/><Relationship Id="rId10" Type="http://schemas.openxmlformats.org/officeDocument/2006/relationships/ctrlProp" Target="../ctrlProps/ctrlProp3265.xml"/><Relationship Id="rId19" Type="http://schemas.openxmlformats.org/officeDocument/2006/relationships/ctrlProp" Target="../ctrlProps/ctrlProp3274.xml"/><Relationship Id="rId31" Type="http://schemas.openxmlformats.org/officeDocument/2006/relationships/ctrlProp" Target="../ctrlProps/ctrlProp3286.xml"/><Relationship Id="rId4" Type="http://schemas.openxmlformats.org/officeDocument/2006/relationships/vmlDrawing" Target="../drawings/vmlDrawing77.vml"/><Relationship Id="rId9" Type="http://schemas.openxmlformats.org/officeDocument/2006/relationships/ctrlProp" Target="../ctrlProps/ctrlProp3264.xml"/><Relationship Id="rId14" Type="http://schemas.openxmlformats.org/officeDocument/2006/relationships/ctrlProp" Target="../ctrlProps/ctrlProp3269.xml"/><Relationship Id="rId22" Type="http://schemas.openxmlformats.org/officeDocument/2006/relationships/ctrlProp" Target="../ctrlProps/ctrlProp3277.xml"/><Relationship Id="rId27" Type="http://schemas.openxmlformats.org/officeDocument/2006/relationships/ctrlProp" Target="../ctrlProps/ctrlProp3282.xml"/><Relationship Id="rId30" Type="http://schemas.openxmlformats.org/officeDocument/2006/relationships/ctrlProp" Target="../ctrlProps/ctrlProp3285.xml"/><Relationship Id="rId35" Type="http://schemas.openxmlformats.org/officeDocument/2006/relationships/ctrlProp" Target="../ctrlProps/ctrlProp3290.xml"/><Relationship Id="rId8" Type="http://schemas.openxmlformats.org/officeDocument/2006/relationships/ctrlProp" Target="../ctrlProps/ctrlProp3263.xml"/><Relationship Id="rId3" Type="http://schemas.openxmlformats.org/officeDocument/2006/relationships/drawing" Target="../drawings/drawing77.xml"/><Relationship Id="rId12" Type="http://schemas.openxmlformats.org/officeDocument/2006/relationships/ctrlProp" Target="../ctrlProps/ctrlProp3267.xml"/><Relationship Id="rId17" Type="http://schemas.openxmlformats.org/officeDocument/2006/relationships/ctrlProp" Target="../ctrlProps/ctrlProp3272.xml"/><Relationship Id="rId25" Type="http://schemas.openxmlformats.org/officeDocument/2006/relationships/ctrlProp" Target="../ctrlProps/ctrlProp3280.xml"/><Relationship Id="rId33" Type="http://schemas.openxmlformats.org/officeDocument/2006/relationships/ctrlProp" Target="../ctrlProps/ctrlProp3288.xml"/><Relationship Id="rId38" Type="http://schemas.openxmlformats.org/officeDocument/2006/relationships/ctrlProp" Target="../ctrlProps/ctrlProp3293.xml"/></Relationships>
</file>

<file path=xl/worksheets/_rels/sheet81.xml.rels><?xml version="1.0" encoding="UTF-8" standalone="yes"?>
<Relationships xmlns="http://schemas.openxmlformats.org/package/2006/relationships"><Relationship Id="rId13" Type="http://schemas.openxmlformats.org/officeDocument/2006/relationships/ctrlProp" Target="../ctrlProps/ctrlProp3306.xml"/><Relationship Id="rId18" Type="http://schemas.openxmlformats.org/officeDocument/2006/relationships/ctrlProp" Target="../ctrlProps/ctrlProp3311.xml"/><Relationship Id="rId26" Type="http://schemas.openxmlformats.org/officeDocument/2006/relationships/ctrlProp" Target="../ctrlProps/ctrlProp3319.xml"/><Relationship Id="rId39" Type="http://schemas.openxmlformats.org/officeDocument/2006/relationships/ctrlProp" Target="../ctrlProps/ctrlProp3332.xml"/><Relationship Id="rId21" Type="http://schemas.openxmlformats.org/officeDocument/2006/relationships/ctrlProp" Target="../ctrlProps/ctrlProp3314.xml"/><Relationship Id="rId34" Type="http://schemas.openxmlformats.org/officeDocument/2006/relationships/ctrlProp" Target="../ctrlProps/ctrlProp3327.xml"/><Relationship Id="rId7" Type="http://schemas.openxmlformats.org/officeDocument/2006/relationships/ctrlProp" Target="../ctrlProps/ctrlProp3300.xml"/><Relationship Id="rId12" Type="http://schemas.openxmlformats.org/officeDocument/2006/relationships/ctrlProp" Target="../ctrlProps/ctrlProp3305.xml"/><Relationship Id="rId17" Type="http://schemas.openxmlformats.org/officeDocument/2006/relationships/ctrlProp" Target="../ctrlProps/ctrlProp3310.xml"/><Relationship Id="rId25" Type="http://schemas.openxmlformats.org/officeDocument/2006/relationships/ctrlProp" Target="../ctrlProps/ctrlProp3318.xml"/><Relationship Id="rId33" Type="http://schemas.openxmlformats.org/officeDocument/2006/relationships/ctrlProp" Target="../ctrlProps/ctrlProp3326.xml"/><Relationship Id="rId38" Type="http://schemas.openxmlformats.org/officeDocument/2006/relationships/ctrlProp" Target="../ctrlProps/ctrlProp3331.xml"/><Relationship Id="rId2" Type="http://schemas.openxmlformats.org/officeDocument/2006/relationships/drawing" Target="../drawings/drawing78.xml"/><Relationship Id="rId16" Type="http://schemas.openxmlformats.org/officeDocument/2006/relationships/ctrlProp" Target="../ctrlProps/ctrlProp3309.xml"/><Relationship Id="rId20" Type="http://schemas.openxmlformats.org/officeDocument/2006/relationships/ctrlProp" Target="../ctrlProps/ctrlProp3313.xml"/><Relationship Id="rId29" Type="http://schemas.openxmlformats.org/officeDocument/2006/relationships/ctrlProp" Target="../ctrlProps/ctrlProp3322.xml"/><Relationship Id="rId1" Type="http://schemas.openxmlformats.org/officeDocument/2006/relationships/printerSettings" Target="../printerSettings/printerSettings79.bin"/><Relationship Id="rId6" Type="http://schemas.openxmlformats.org/officeDocument/2006/relationships/ctrlProp" Target="../ctrlProps/ctrlProp3299.xml"/><Relationship Id="rId11" Type="http://schemas.openxmlformats.org/officeDocument/2006/relationships/ctrlProp" Target="../ctrlProps/ctrlProp3304.xml"/><Relationship Id="rId24" Type="http://schemas.openxmlformats.org/officeDocument/2006/relationships/ctrlProp" Target="../ctrlProps/ctrlProp3317.xml"/><Relationship Id="rId32" Type="http://schemas.openxmlformats.org/officeDocument/2006/relationships/ctrlProp" Target="../ctrlProps/ctrlProp3325.xml"/><Relationship Id="rId37" Type="http://schemas.openxmlformats.org/officeDocument/2006/relationships/ctrlProp" Target="../ctrlProps/ctrlProp3330.xml"/><Relationship Id="rId40" Type="http://schemas.openxmlformats.org/officeDocument/2006/relationships/ctrlProp" Target="../ctrlProps/ctrlProp3333.xml"/><Relationship Id="rId5" Type="http://schemas.openxmlformats.org/officeDocument/2006/relationships/ctrlProp" Target="../ctrlProps/ctrlProp3298.xml"/><Relationship Id="rId15" Type="http://schemas.openxmlformats.org/officeDocument/2006/relationships/ctrlProp" Target="../ctrlProps/ctrlProp3308.xml"/><Relationship Id="rId23" Type="http://schemas.openxmlformats.org/officeDocument/2006/relationships/ctrlProp" Target="../ctrlProps/ctrlProp3316.xml"/><Relationship Id="rId28" Type="http://schemas.openxmlformats.org/officeDocument/2006/relationships/ctrlProp" Target="../ctrlProps/ctrlProp3321.xml"/><Relationship Id="rId36" Type="http://schemas.openxmlformats.org/officeDocument/2006/relationships/ctrlProp" Target="../ctrlProps/ctrlProp3329.xml"/><Relationship Id="rId10" Type="http://schemas.openxmlformats.org/officeDocument/2006/relationships/ctrlProp" Target="../ctrlProps/ctrlProp3303.xml"/><Relationship Id="rId19" Type="http://schemas.openxmlformats.org/officeDocument/2006/relationships/ctrlProp" Target="../ctrlProps/ctrlProp3312.xml"/><Relationship Id="rId31" Type="http://schemas.openxmlformats.org/officeDocument/2006/relationships/ctrlProp" Target="../ctrlProps/ctrlProp3324.xml"/><Relationship Id="rId4" Type="http://schemas.openxmlformats.org/officeDocument/2006/relationships/ctrlProp" Target="../ctrlProps/ctrlProp3297.xml"/><Relationship Id="rId9" Type="http://schemas.openxmlformats.org/officeDocument/2006/relationships/ctrlProp" Target="../ctrlProps/ctrlProp3302.xml"/><Relationship Id="rId14" Type="http://schemas.openxmlformats.org/officeDocument/2006/relationships/ctrlProp" Target="../ctrlProps/ctrlProp3307.xml"/><Relationship Id="rId22" Type="http://schemas.openxmlformats.org/officeDocument/2006/relationships/ctrlProp" Target="../ctrlProps/ctrlProp3315.xml"/><Relationship Id="rId27" Type="http://schemas.openxmlformats.org/officeDocument/2006/relationships/ctrlProp" Target="../ctrlProps/ctrlProp3320.xml"/><Relationship Id="rId30" Type="http://schemas.openxmlformats.org/officeDocument/2006/relationships/ctrlProp" Target="../ctrlProps/ctrlProp3323.xml"/><Relationship Id="rId35" Type="http://schemas.openxmlformats.org/officeDocument/2006/relationships/ctrlProp" Target="../ctrlProps/ctrlProp3328.xml"/><Relationship Id="rId8" Type="http://schemas.openxmlformats.org/officeDocument/2006/relationships/ctrlProp" Target="../ctrlProps/ctrlProp3301.xml"/><Relationship Id="rId3" Type="http://schemas.openxmlformats.org/officeDocument/2006/relationships/vmlDrawing" Target="../drawings/vmlDrawing78.vml"/></Relationships>
</file>

<file path=xl/worksheets/_rels/sheet82.xml.rels><?xml version="1.0" encoding="UTF-8" standalone="yes"?>
<Relationships xmlns="http://schemas.openxmlformats.org/package/2006/relationships"><Relationship Id="rId13" Type="http://schemas.openxmlformats.org/officeDocument/2006/relationships/ctrlProp" Target="../ctrlProps/ctrlProp3343.xml"/><Relationship Id="rId18" Type="http://schemas.openxmlformats.org/officeDocument/2006/relationships/ctrlProp" Target="../ctrlProps/ctrlProp3348.xml"/><Relationship Id="rId26" Type="http://schemas.openxmlformats.org/officeDocument/2006/relationships/ctrlProp" Target="../ctrlProps/ctrlProp3356.xml"/><Relationship Id="rId39" Type="http://schemas.openxmlformats.org/officeDocument/2006/relationships/ctrlProp" Target="../ctrlProps/ctrlProp3369.xml"/><Relationship Id="rId21" Type="http://schemas.openxmlformats.org/officeDocument/2006/relationships/ctrlProp" Target="../ctrlProps/ctrlProp3351.xml"/><Relationship Id="rId34" Type="http://schemas.openxmlformats.org/officeDocument/2006/relationships/ctrlProp" Target="../ctrlProps/ctrlProp3364.xml"/><Relationship Id="rId7" Type="http://schemas.openxmlformats.org/officeDocument/2006/relationships/ctrlProp" Target="../ctrlProps/ctrlProp3337.xml"/><Relationship Id="rId12" Type="http://schemas.openxmlformats.org/officeDocument/2006/relationships/ctrlProp" Target="../ctrlProps/ctrlProp3342.xml"/><Relationship Id="rId17" Type="http://schemas.openxmlformats.org/officeDocument/2006/relationships/ctrlProp" Target="../ctrlProps/ctrlProp3347.xml"/><Relationship Id="rId25" Type="http://schemas.openxmlformats.org/officeDocument/2006/relationships/ctrlProp" Target="../ctrlProps/ctrlProp3355.xml"/><Relationship Id="rId33" Type="http://schemas.openxmlformats.org/officeDocument/2006/relationships/ctrlProp" Target="../ctrlProps/ctrlProp3363.xml"/><Relationship Id="rId38" Type="http://schemas.openxmlformats.org/officeDocument/2006/relationships/ctrlProp" Target="../ctrlProps/ctrlProp3368.xml"/><Relationship Id="rId2" Type="http://schemas.openxmlformats.org/officeDocument/2006/relationships/drawing" Target="../drawings/drawing79.xml"/><Relationship Id="rId16" Type="http://schemas.openxmlformats.org/officeDocument/2006/relationships/ctrlProp" Target="../ctrlProps/ctrlProp3346.xml"/><Relationship Id="rId20" Type="http://schemas.openxmlformats.org/officeDocument/2006/relationships/ctrlProp" Target="../ctrlProps/ctrlProp3350.xml"/><Relationship Id="rId29" Type="http://schemas.openxmlformats.org/officeDocument/2006/relationships/ctrlProp" Target="../ctrlProps/ctrlProp3359.xml"/><Relationship Id="rId1" Type="http://schemas.openxmlformats.org/officeDocument/2006/relationships/printerSettings" Target="../printerSettings/printerSettings80.bin"/><Relationship Id="rId6" Type="http://schemas.openxmlformats.org/officeDocument/2006/relationships/ctrlProp" Target="../ctrlProps/ctrlProp3336.xml"/><Relationship Id="rId11" Type="http://schemas.openxmlformats.org/officeDocument/2006/relationships/ctrlProp" Target="../ctrlProps/ctrlProp3341.xml"/><Relationship Id="rId24" Type="http://schemas.openxmlformats.org/officeDocument/2006/relationships/ctrlProp" Target="../ctrlProps/ctrlProp3354.xml"/><Relationship Id="rId32" Type="http://schemas.openxmlformats.org/officeDocument/2006/relationships/ctrlProp" Target="../ctrlProps/ctrlProp3362.xml"/><Relationship Id="rId37" Type="http://schemas.openxmlformats.org/officeDocument/2006/relationships/ctrlProp" Target="../ctrlProps/ctrlProp3367.xml"/><Relationship Id="rId40" Type="http://schemas.openxmlformats.org/officeDocument/2006/relationships/ctrlProp" Target="../ctrlProps/ctrlProp3370.xml"/><Relationship Id="rId5" Type="http://schemas.openxmlformats.org/officeDocument/2006/relationships/ctrlProp" Target="../ctrlProps/ctrlProp3335.xml"/><Relationship Id="rId15" Type="http://schemas.openxmlformats.org/officeDocument/2006/relationships/ctrlProp" Target="../ctrlProps/ctrlProp3345.xml"/><Relationship Id="rId23" Type="http://schemas.openxmlformats.org/officeDocument/2006/relationships/ctrlProp" Target="../ctrlProps/ctrlProp3353.xml"/><Relationship Id="rId28" Type="http://schemas.openxmlformats.org/officeDocument/2006/relationships/ctrlProp" Target="../ctrlProps/ctrlProp3358.xml"/><Relationship Id="rId36" Type="http://schemas.openxmlformats.org/officeDocument/2006/relationships/ctrlProp" Target="../ctrlProps/ctrlProp3366.xml"/><Relationship Id="rId10" Type="http://schemas.openxmlformats.org/officeDocument/2006/relationships/ctrlProp" Target="../ctrlProps/ctrlProp3340.xml"/><Relationship Id="rId19" Type="http://schemas.openxmlformats.org/officeDocument/2006/relationships/ctrlProp" Target="../ctrlProps/ctrlProp3349.xml"/><Relationship Id="rId31" Type="http://schemas.openxmlformats.org/officeDocument/2006/relationships/ctrlProp" Target="../ctrlProps/ctrlProp3361.xml"/><Relationship Id="rId4" Type="http://schemas.openxmlformats.org/officeDocument/2006/relationships/ctrlProp" Target="../ctrlProps/ctrlProp3334.xml"/><Relationship Id="rId9" Type="http://schemas.openxmlformats.org/officeDocument/2006/relationships/ctrlProp" Target="../ctrlProps/ctrlProp3339.xml"/><Relationship Id="rId14" Type="http://schemas.openxmlformats.org/officeDocument/2006/relationships/ctrlProp" Target="../ctrlProps/ctrlProp3344.xml"/><Relationship Id="rId22" Type="http://schemas.openxmlformats.org/officeDocument/2006/relationships/ctrlProp" Target="../ctrlProps/ctrlProp3352.xml"/><Relationship Id="rId27" Type="http://schemas.openxmlformats.org/officeDocument/2006/relationships/ctrlProp" Target="../ctrlProps/ctrlProp3357.xml"/><Relationship Id="rId30" Type="http://schemas.openxmlformats.org/officeDocument/2006/relationships/ctrlProp" Target="../ctrlProps/ctrlProp3360.xml"/><Relationship Id="rId35" Type="http://schemas.openxmlformats.org/officeDocument/2006/relationships/ctrlProp" Target="../ctrlProps/ctrlProp3365.xml"/><Relationship Id="rId8" Type="http://schemas.openxmlformats.org/officeDocument/2006/relationships/ctrlProp" Target="../ctrlProps/ctrlProp3338.xml"/><Relationship Id="rId3" Type="http://schemas.openxmlformats.org/officeDocument/2006/relationships/vmlDrawing" Target="../drawings/vmlDrawing79.vml"/></Relationships>
</file>

<file path=xl/worksheets/_rels/sheet83.xml.rels><?xml version="1.0" encoding="UTF-8" standalone="yes"?>
<Relationships xmlns="http://schemas.openxmlformats.org/package/2006/relationships"><Relationship Id="rId13" Type="http://schemas.openxmlformats.org/officeDocument/2006/relationships/ctrlProp" Target="../ctrlProps/ctrlProp3380.xml"/><Relationship Id="rId18" Type="http://schemas.openxmlformats.org/officeDocument/2006/relationships/ctrlProp" Target="../ctrlProps/ctrlProp3385.xml"/><Relationship Id="rId26" Type="http://schemas.openxmlformats.org/officeDocument/2006/relationships/ctrlProp" Target="../ctrlProps/ctrlProp3393.xml"/><Relationship Id="rId39" Type="http://schemas.openxmlformats.org/officeDocument/2006/relationships/ctrlProp" Target="../ctrlProps/ctrlProp3406.xml"/><Relationship Id="rId21" Type="http://schemas.openxmlformats.org/officeDocument/2006/relationships/ctrlProp" Target="../ctrlProps/ctrlProp3388.xml"/><Relationship Id="rId34" Type="http://schemas.openxmlformats.org/officeDocument/2006/relationships/ctrlProp" Target="../ctrlProps/ctrlProp3401.xml"/><Relationship Id="rId7" Type="http://schemas.openxmlformats.org/officeDocument/2006/relationships/ctrlProp" Target="../ctrlProps/ctrlProp3374.xml"/><Relationship Id="rId12" Type="http://schemas.openxmlformats.org/officeDocument/2006/relationships/ctrlProp" Target="../ctrlProps/ctrlProp3379.xml"/><Relationship Id="rId17" Type="http://schemas.openxmlformats.org/officeDocument/2006/relationships/ctrlProp" Target="../ctrlProps/ctrlProp3384.xml"/><Relationship Id="rId25" Type="http://schemas.openxmlformats.org/officeDocument/2006/relationships/ctrlProp" Target="../ctrlProps/ctrlProp3392.xml"/><Relationship Id="rId33" Type="http://schemas.openxmlformats.org/officeDocument/2006/relationships/ctrlProp" Target="../ctrlProps/ctrlProp3400.xml"/><Relationship Id="rId38" Type="http://schemas.openxmlformats.org/officeDocument/2006/relationships/ctrlProp" Target="../ctrlProps/ctrlProp3405.xml"/><Relationship Id="rId2" Type="http://schemas.openxmlformats.org/officeDocument/2006/relationships/drawing" Target="../drawings/drawing80.xml"/><Relationship Id="rId16" Type="http://schemas.openxmlformats.org/officeDocument/2006/relationships/ctrlProp" Target="../ctrlProps/ctrlProp3383.xml"/><Relationship Id="rId20" Type="http://schemas.openxmlformats.org/officeDocument/2006/relationships/ctrlProp" Target="../ctrlProps/ctrlProp3387.xml"/><Relationship Id="rId29" Type="http://schemas.openxmlformats.org/officeDocument/2006/relationships/ctrlProp" Target="../ctrlProps/ctrlProp3396.xml"/><Relationship Id="rId1" Type="http://schemas.openxmlformats.org/officeDocument/2006/relationships/printerSettings" Target="../printerSettings/printerSettings81.bin"/><Relationship Id="rId6" Type="http://schemas.openxmlformats.org/officeDocument/2006/relationships/ctrlProp" Target="../ctrlProps/ctrlProp3373.xml"/><Relationship Id="rId11" Type="http://schemas.openxmlformats.org/officeDocument/2006/relationships/ctrlProp" Target="../ctrlProps/ctrlProp3378.xml"/><Relationship Id="rId24" Type="http://schemas.openxmlformats.org/officeDocument/2006/relationships/ctrlProp" Target="../ctrlProps/ctrlProp3391.xml"/><Relationship Id="rId32" Type="http://schemas.openxmlformats.org/officeDocument/2006/relationships/ctrlProp" Target="../ctrlProps/ctrlProp3399.xml"/><Relationship Id="rId37" Type="http://schemas.openxmlformats.org/officeDocument/2006/relationships/ctrlProp" Target="../ctrlProps/ctrlProp3404.xml"/><Relationship Id="rId40" Type="http://schemas.openxmlformats.org/officeDocument/2006/relationships/ctrlProp" Target="../ctrlProps/ctrlProp3407.xml"/><Relationship Id="rId5" Type="http://schemas.openxmlformats.org/officeDocument/2006/relationships/ctrlProp" Target="../ctrlProps/ctrlProp3372.xml"/><Relationship Id="rId15" Type="http://schemas.openxmlformats.org/officeDocument/2006/relationships/ctrlProp" Target="../ctrlProps/ctrlProp3382.xml"/><Relationship Id="rId23" Type="http://schemas.openxmlformats.org/officeDocument/2006/relationships/ctrlProp" Target="../ctrlProps/ctrlProp3390.xml"/><Relationship Id="rId28" Type="http://schemas.openxmlformats.org/officeDocument/2006/relationships/ctrlProp" Target="../ctrlProps/ctrlProp3395.xml"/><Relationship Id="rId36" Type="http://schemas.openxmlformats.org/officeDocument/2006/relationships/ctrlProp" Target="../ctrlProps/ctrlProp3403.xml"/><Relationship Id="rId10" Type="http://schemas.openxmlformats.org/officeDocument/2006/relationships/ctrlProp" Target="../ctrlProps/ctrlProp3377.xml"/><Relationship Id="rId19" Type="http://schemas.openxmlformats.org/officeDocument/2006/relationships/ctrlProp" Target="../ctrlProps/ctrlProp3386.xml"/><Relationship Id="rId31" Type="http://schemas.openxmlformats.org/officeDocument/2006/relationships/ctrlProp" Target="../ctrlProps/ctrlProp3398.xml"/><Relationship Id="rId4" Type="http://schemas.openxmlformats.org/officeDocument/2006/relationships/ctrlProp" Target="../ctrlProps/ctrlProp3371.xml"/><Relationship Id="rId9" Type="http://schemas.openxmlformats.org/officeDocument/2006/relationships/ctrlProp" Target="../ctrlProps/ctrlProp3376.xml"/><Relationship Id="rId14" Type="http://schemas.openxmlformats.org/officeDocument/2006/relationships/ctrlProp" Target="../ctrlProps/ctrlProp3381.xml"/><Relationship Id="rId22" Type="http://schemas.openxmlformats.org/officeDocument/2006/relationships/ctrlProp" Target="../ctrlProps/ctrlProp3389.xml"/><Relationship Id="rId27" Type="http://schemas.openxmlformats.org/officeDocument/2006/relationships/ctrlProp" Target="../ctrlProps/ctrlProp3394.xml"/><Relationship Id="rId30" Type="http://schemas.openxmlformats.org/officeDocument/2006/relationships/ctrlProp" Target="../ctrlProps/ctrlProp3397.xml"/><Relationship Id="rId35" Type="http://schemas.openxmlformats.org/officeDocument/2006/relationships/ctrlProp" Target="../ctrlProps/ctrlProp3402.xml"/><Relationship Id="rId8" Type="http://schemas.openxmlformats.org/officeDocument/2006/relationships/ctrlProp" Target="../ctrlProps/ctrlProp3375.xml"/><Relationship Id="rId3" Type="http://schemas.openxmlformats.org/officeDocument/2006/relationships/vmlDrawing" Target="../drawings/vmlDrawing80.vml"/></Relationships>
</file>

<file path=xl/worksheets/_rels/sheet84.xml.rels><?xml version="1.0" encoding="UTF-8" standalone="yes"?>
<Relationships xmlns="http://schemas.openxmlformats.org/package/2006/relationships"><Relationship Id="rId13" Type="http://schemas.openxmlformats.org/officeDocument/2006/relationships/ctrlProp" Target="../ctrlProps/ctrlProp3416.xml"/><Relationship Id="rId18" Type="http://schemas.openxmlformats.org/officeDocument/2006/relationships/ctrlProp" Target="../ctrlProps/ctrlProp3421.xml"/><Relationship Id="rId26" Type="http://schemas.openxmlformats.org/officeDocument/2006/relationships/ctrlProp" Target="../ctrlProps/ctrlProp3429.xml"/><Relationship Id="rId39" Type="http://schemas.openxmlformats.org/officeDocument/2006/relationships/ctrlProp" Target="../ctrlProps/ctrlProp3442.xml"/><Relationship Id="rId21" Type="http://schemas.openxmlformats.org/officeDocument/2006/relationships/ctrlProp" Target="../ctrlProps/ctrlProp3424.xml"/><Relationship Id="rId34" Type="http://schemas.openxmlformats.org/officeDocument/2006/relationships/ctrlProp" Target="../ctrlProps/ctrlProp3437.xml"/><Relationship Id="rId7" Type="http://schemas.openxmlformats.org/officeDocument/2006/relationships/ctrlProp" Target="../ctrlProps/ctrlProp3410.xml"/><Relationship Id="rId2" Type="http://schemas.openxmlformats.org/officeDocument/2006/relationships/printerSettings" Target="../printerSettings/printerSettings82.bin"/><Relationship Id="rId16" Type="http://schemas.openxmlformats.org/officeDocument/2006/relationships/ctrlProp" Target="../ctrlProps/ctrlProp3419.xml"/><Relationship Id="rId20" Type="http://schemas.openxmlformats.org/officeDocument/2006/relationships/ctrlProp" Target="../ctrlProps/ctrlProp3423.xml"/><Relationship Id="rId29" Type="http://schemas.openxmlformats.org/officeDocument/2006/relationships/ctrlProp" Target="../ctrlProps/ctrlProp3432.xml"/><Relationship Id="rId41" Type="http://schemas.openxmlformats.org/officeDocument/2006/relationships/ctrlProp" Target="../ctrlProps/ctrlProp3444.xml"/><Relationship Id="rId1" Type="http://schemas.openxmlformats.org/officeDocument/2006/relationships/hyperlink" Target="mailto:foxn22@y7mail.com" TargetMode="External"/><Relationship Id="rId6" Type="http://schemas.openxmlformats.org/officeDocument/2006/relationships/ctrlProp" Target="../ctrlProps/ctrlProp3409.xml"/><Relationship Id="rId11" Type="http://schemas.openxmlformats.org/officeDocument/2006/relationships/ctrlProp" Target="../ctrlProps/ctrlProp3414.xml"/><Relationship Id="rId24" Type="http://schemas.openxmlformats.org/officeDocument/2006/relationships/ctrlProp" Target="../ctrlProps/ctrlProp3427.xml"/><Relationship Id="rId32" Type="http://schemas.openxmlformats.org/officeDocument/2006/relationships/ctrlProp" Target="../ctrlProps/ctrlProp3435.xml"/><Relationship Id="rId37" Type="http://schemas.openxmlformats.org/officeDocument/2006/relationships/ctrlProp" Target="../ctrlProps/ctrlProp3440.xml"/><Relationship Id="rId40" Type="http://schemas.openxmlformats.org/officeDocument/2006/relationships/ctrlProp" Target="../ctrlProps/ctrlProp3443.xml"/><Relationship Id="rId5" Type="http://schemas.openxmlformats.org/officeDocument/2006/relationships/ctrlProp" Target="../ctrlProps/ctrlProp3408.xml"/><Relationship Id="rId15" Type="http://schemas.openxmlformats.org/officeDocument/2006/relationships/ctrlProp" Target="../ctrlProps/ctrlProp3418.xml"/><Relationship Id="rId23" Type="http://schemas.openxmlformats.org/officeDocument/2006/relationships/ctrlProp" Target="../ctrlProps/ctrlProp3426.xml"/><Relationship Id="rId28" Type="http://schemas.openxmlformats.org/officeDocument/2006/relationships/ctrlProp" Target="../ctrlProps/ctrlProp3431.xml"/><Relationship Id="rId36" Type="http://schemas.openxmlformats.org/officeDocument/2006/relationships/ctrlProp" Target="../ctrlProps/ctrlProp3439.xml"/><Relationship Id="rId10" Type="http://schemas.openxmlformats.org/officeDocument/2006/relationships/ctrlProp" Target="../ctrlProps/ctrlProp3413.xml"/><Relationship Id="rId19" Type="http://schemas.openxmlformats.org/officeDocument/2006/relationships/ctrlProp" Target="../ctrlProps/ctrlProp3422.xml"/><Relationship Id="rId31" Type="http://schemas.openxmlformats.org/officeDocument/2006/relationships/ctrlProp" Target="../ctrlProps/ctrlProp3434.xml"/><Relationship Id="rId4" Type="http://schemas.openxmlformats.org/officeDocument/2006/relationships/vmlDrawing" Target="../drawings/vmlDrawing81.vml"/><Relationship Id="rId9" Type="http://schemas.openxmlformats.org/officeDocument/2006/relationships/ctrlProp" Target="../ctrlProps/ctrlProp3412.xml"/><Relationship Id="rId14" Type="http://schemas.openxmlformats.org/officeDocument/2006/relationships/ctrlProp" Target="../ctrlProps/ctrlProp3417.xml"/><Relationship Id="rId22" Type="http://schemas.openxmlformats.org/officeDocument/2006/relationships/ctrlProp" Target="../ctrlProps/ctrlProp3425.xml"/><Relationship Id="rId27" Type="http://schemas.openxmlformats.org/officeDocument/2006/relationships/ctrlProp" Target="../ctrlProps/ctrlProp3430.xml"/><Relationship Id="rId30" Type="http://schemas.openxmlformats.org/officeDocument/2006/relationships/ctrlProp" Target="../ctrlProps/ctrlProp3433.xml"/><Relationship Id="rId35" Type="http://schemas.openxmlformats.org/officeDocument/2006/relationships/ctrlProp" Target="../ctrlProps/ctrlProp3438.xml"/><Relationship Id="rId8" Type="http://schemas.openxmlformats.org/officeDocument/2006/relationships/ctrlProp" Target="../ctrlProps/ctrlProp3411.xml"/><Relationship Id="rId3" Type="http://schemas.openxmlformats.org/officeDocument/2006/relationships/drawing" Target="../drawings/drawing81.xml"/><Relationship Id="rId12" Type="http://schemas.openxmlformats.org/officeDocument/2006/relationships/ctrlProp" Target="../ctrlProps/ctrlProp3415.xml"/><Relationship Id="rId17" Type="http://schemas.openxmlformats.org/officeDocument/2006/relationships/ctrlProp" Target="../ctrlProps/ctrlProp3420.xml"/><Relationship Id="rId25" Type="http://schemas.openxmlformats.org/officeDocument/2006/relationships/ctrlProp" Target="../ctrlProps/ctrlProp3428.xml"/><Relationship Id="rId33" Type="http://schemas.openxmlformats.org/officeDocument/2006/relationships/ctrlProp" Target="../ctrlProps/ctrlProp3436.xml"/><Relationship Id="rId38" Type="http://schemas.openxmlformats.org/officeDocument/2006/relationships/ctrlProp" Target="../ctrlProps/ctrlProp3441.xml"/></Relationships>
</file>

<file path=xl/worksheets/_rels/sheet85.xml.rels><?xml version="1.0" encoding="UTF-8" standalone="yes"?>
<Relationships xmlns="http://schemas.openxmlformats.org/package/2006/relationships"><Relationship Id="rId13" Type="http://schemas.openxmlformats.org/officeDocument/2006/relationships/ctrlProp" Target="../ctrlProps/ctrlProp3453.xml"/><Relationship Id="rId18" Type="http://schemas.openxmlformats.org/officeDocument/2006/relationships/ctrlProp" Target="../ctrlProps/ctrlProp3458.xml"/><Relationship Id="rId26" Type="http://schemas.openxmlformats.org/officeDocument/2006/relationships/ctrlProp" Target="../ctrlProps/ctrlProp3466.xml"/><Relationship Id="rId39" Type="http://schemas.openxmlformats.org/officeDocument/2006/relationships/ctrlProp" Target="../ctrlProps/ctrlProp3479.xml"/><Relationship Id="rId21" Type="http://schemas.openxmlformats.org/officeDocument/2006/relationships/ctrlProp" Target="../ctrlProps/ctrlProp3461.xml"/><Relationship Id="rId34" Type="http://schemas.openxmlformats.org/officeDocument/2006/relationships/ctrlProp" Target="../ctrlProps/ctrlProp3474.xml"/><Relationship Id="rId7" Type="http://schemas.openxmlformats.org/officeDocument/2006/relationships/ctrlProp" Target="../ctrlProps/ctrlProp3447.xml"/><Relationship Id="rId2" Type="http://schemas.openxmlformats.org/officeDocument/2006/relationships/printerSettings" Target="../printerSettings/printerSettings83.bin"/><Relationship Id="rId16" Type="http://schemas.openxmlformats.org/officeDocument/2006/relationships/ctrlProp" Target="../ctrlProps/ctrlProp3456.xml"/><Relationship Id="rId20" Type="http://schemas.openxmlformats.org/officeDocument/2006/relationships/ctrlProp" Target="../ctrlProps/ctrlProp3460.xml"/><Relationship Id="rId29" Type="http://schemas.openxmlformats.org/officeDocument/2006/relationships/ctrlProp" Target="../ctrlProps/ctrlProp3469.xml"/><Relationship Id="rId41" Type="http://schemas.openxmlformats.org/officeDocument/2006/relationships/ctrlProp" Target="../ctrlProps/ctrlProp3481.xml"/><Relationship Id="rId1" Type="http://schemas.openxmlformats.org/officeDocument/2006/relationships/hyperlink" Target="mailto:stjepanmarinovic9@gmail.com" TargetMode="External"/><Relationship Id="rId6" Type="http://schemas.openxmlformats.org/officeDocument/2006/relationships/ctrlProp" Target="../ctrlProps/ctrlProp3446.xml"/><Relationship Id="rId11" Type="http://schemas.openxmlformats.org/officeDocument/2006/relationships/ctrlProp" Target="../ctrlProps/ctrlProp3451.xml"/><Relationship Id="rId24" Type="http://schemas.openxmlformats.org/officeDocument/2006/relationships/ctrlProp" Target="../ctrlProps/ctrlProp3464.xml"/><Relationship Id="rId32" Type="http://schemas.openxmlformats.org/officeDocument/2006/relationships/ctrlProp" Target="../ctrlProps/ctrlProp3472.xml"/><Relationship Id="rId37" Type="http://schemas.openxmlformats.org/officeDocument/2006/relationships/ctrlProp" Target="../ctrlProps/ctrlProp3477.xml"/><Relationship Id="rId40" Type="http://schemas.openxmlformats.org/officeDocument/2006/relationships/ctrlProp" Target="../ctrlProps/ctrlProp3480.xml"/><Relationship Id="rId5" Type="http://schemas.openxmlformats.org/officeDocument/2006/relationships/ctrlProp" Target="../ctrlProps/ctrlProp3445.xml"/><Relationship Id="rId15" Type="http://schemas.openxmlformats.org/officeDocument/2006/relationships/ctrlProp" Target="../ctrlProps/ctrlProp3455.xml"/><Relationship Id="rId23" Type="http://schemas.openxmlformats.org/officeDocument/2006/relationships/ctrlProp" Target="../ctrlProps/ctrlProp3463.xml"/><Relationship Id="rId28" Type="http://schemas.openxmlformats.org/officeDocument/2006/relationships/ctrlProp" Target="../ctrlProps/ctrlProp3468.xml"/><Relationship Id="rId36" Type="http://schemas.openxmlformats.org/officeDocument/2006/relationships/ctrlProp" Target="../ctrlProps/ctrlProp3476.xml"/><Relationship Id="rId10" Type="http://schemas.openxmlformats.org/officeDocument/2006/relationships/ctrlProp" Target="../ctrlProps/ctrlProp3450.xml"/><Relationship Id="rId19" Type="http://schemas.openxmlformats.org/officeDocument/2006/relationships/ctrlProp" Target="../ctrlProps/ctrlProp3459.xml"/><Relationship Id="rId31" Type="http://schemas.openxmlformats.org/officeDocument/2006/relationships/ctrlProp" Target="../ctrlProps/ctrlProp3471.xml"/><Relationship Id="rId4" Type="http://schemas.openxmlformats.org/officeDocument/2006/relationships/vmlDrawing" Target="../drawings/vmlDrawing82.vml"/><Relationship Id="rId9" Type="http://schemas.openxmlformats.org/officeDocument/2006/relationships/ctrlProp" Target="../ctrlProps/ctrlProp3449.xml"/><Relationship Id="rId14" Type="http://schemas.openxmlformats.org/officeDocument/2006/relationships/ctrlProp" Target="../ctrlProps/ctrlProp3454.xml"/><Relationship Id="rId22" Type="http://schemas.openxmlformats.org/officeDocument/2006/relationships/ctrlProp" Target="../ctrlProps/ctrlProp3462.xml"/><Relationship Id="rId27" Type="http://schemas.openxmlformats.org/officeDocument/2006/relationships/ctrlProp" Target="../ctrlProps/ctrlProp3467.xml"/><Relationship Id="rId30" Type="http://schemas.openxmlformats.org/officeDocument/2006/relationships/ctrlProp" Target="../ctrlProps/ctrlProp3470.xml"/><Relationship Id="rId35" Type="http://schemas.openxmlformats.org/officeDocument/2006/relationships/ctrlProp" Target="../ctrlProps/ctrlProp3475.xml"/><Relationship Id="rId8" Type="http://schemas.openxmlformats.org/officeDocument/2006/relationships/ctrlProp" Target="../ctrlProps/ctrlProp3448.xml"/><Relationship Id="rId3" Type="http://schemas.openxmlformats.org/officeDocument/2006/relationships/drawing" Target="../drawings/drawing82.xml"/><Relationship Id="rId12" Type="http://schemas.openxmlformats.org/officeDocument/2006/relationships/ctrlProp" Target="../ctrlProps/ctrlProp3452.xml"/><Relationship Id="rId17" Type="http://schemas.openxmlformats.org/officeDocument/2006/relationships/ctrlProp" Target="../ctrlProps/ctrlProp3457.xml"/><Relationship Id="rId25" Type="http://schemas.openxmlformats.org/officeDocument/2006/relationships/ctrlProp" Target="../ctrlProps/ctrlProp3465.xml"/><Relationship Id="rId33" Type="http://schemas.openxmlformats.org/officeDocument/2006/relationships/ctrlProp" Target="../ctrlProps/ctrlProp3473.xml"/><Relationship Id="rId38" Type="http://schemas.openxmlformats.org/officeDocument/2006/relationships/ctrlProp" Target="../ctrlProps/ctrlProp3478.xml"/></Relationships>
</file>

<file path=xl/worksheets/_rels/sheet86.xml.rels><?xml version="1.0" encoding="UTF-8" standalone="yes"?>
<Relationships xmlns="http://schemas.openxmlformats.org/package/2006/relationships"><Relationship Id="rId13" Type="http://schemas.openxmlformats.org/officeDocument/2006/relationships/ctrlProp" Target="../ctrlProps/ctrlProp3490.xml"/><Relationship Id="rId18" Type="http://schemas.openxmlformats.org/officeDocument/2006/relationships/ctrlProp" Target="../ctrlProps/ctrlProp3495.xml"/><Relationship Id="rId26" Type="http://schemas.openxmlformats.org/officeDocument/2006/relationships/ctrlProp" Target="../ctrlProps/ctrlProp3503.xml"/><Relationship Id="rId39" Type="http://schemas.openxmlformats.org/officeDocument/2006/relationships/ctrlProp" Target="../ctrlProps/ctrlProp3516.xml"/><Relationship Id="rId21" Type="http://schemas.openxmlformats.org/officeDocument/2006/relationships/ctrlProp" Target="../ctrlProps/ctrlProp3498.xml"/><Relationship Id="rId34" Type="http://schemas.openxmlformats.org/officeDocument/2006/relationships/ctrlProp" Target="../ctrlProps/ctrlProp3511.xml"/><Relationship Id="rId7" Type="http://schemas.openxmlformats.org/officeDocument/2006/relationships/ctrlProp" Target="../ctrlProps/ctrlProp3484.xml"/><Relationship Id="rId2" Type="http://schemas.openxmlformats.org/officeDocument/2006/relationships/printerSettings" Target="../printerSettings/printerSettings84.bin"/><Relationship Id="rId16" Type="http://schemas.openxmlformats.org/officeDocument/2006/relationships/ctrlProp" Target="../ctrlProps/ctrlProp3493.xml"/><Relationship Id="rId20" Type="http://schemas.openxmlformats.org/officeDocument/2006/relationships/ctrlProp" Target="../ctrlProps/ctrlProp3497.xml"/><Relationship Id="rId29" Type="http://schemas.openxmlformats.org/officeDocument/2006/relationships/ctrlProp" Target="../ctrlProps/ctrlProp3506.xml"/><Relationship Id="rId41" Type="http://schemas.openxmlformats.org/officeDocument/2006/relationships/ctrlProp" Target="../ctrlProps/ctrlProp3518.xml"/><Relationship Id="rId1" Type="http://schemas.openxmlformats.org/officeDocument/2006/relationships/hyperlink" Target="mailto:erniesexcavations@gmail.com" TargetMode="External"/><Relationship Id="rId6" Type="http://schemas.openxmlformats.org/officeDocument/2006/relationships/ctrlProp" Target="../ctrlProps/ctrlProp3483.xml"/><Relationship Id="rId11" Type="http://schemas.openxmlformats.org/officeDocument/2006/relationships/ctrlProp" Target="../ctrlProps/ctrlProp3488.xml"/><Relationship Id="rId24" Type="http://schemas.openxmlformats.org/officeDocument/2006/relationships/ctrlProp" Target="../ctrlProps/ctrlProp3501.xml"/><Relationship Id="rId32" Type="http://schemas.openxmlformats.org/officeDocument/2006/relationships/ctrlProp" Target="../ctrlProps/ctrlProp3509.xml"/><Relationship Id="rId37" Type="http://schemas.openxmlformats.org/officeDocument/2006/relationships/ctrlProp" Target="../ctrlProps/ctrlProp3514.xml"/><Relationship Id="rId40" Type="http://schemas.openxmlformats.org/officeDocument/2006/relationships/ctrlProp" Target="../ctrlProps/ctrlProp3517.xml"/><Relationship Id="rId5" Type="http://schemas.openxmlformats.org/officeDocument/2006/relationships/ctrlProp" Target="../ctrlProps/ctrlProp3482.xml"/><Relationship Id="rId15" Type="http://schemas.openxmlformats.org/officeDocument/2006/relationships/ctrlProp" Target="../ctrlProps/ctrlProp3492.xml"/><Relationship Id="rId23" Type="http://schemas.openxmlformats.org/officeDocument/2006/relationships/ctrlProp" Target="../ctrlProps/ctrlProp3500.xml"/><Relationship Id="rId28" Type="http://schemas.openxmlformats.org/officeDocument/2006/relationships/ctrlProp" Target="../ctrlProps/ctrlProp3505.xml"/><Relationship Id="rId36" Type="http://schemas.openxmlformats.org/officeDocument/2006/relationships/ctrlProp" Target="../ctrlProps/ctrlProp3513.xml"/><Relationship Id="rId10" Type="http://schemas.openxmlformats.org/officeDocument/2006/relationships/ctrlProp" Target="../ctrlProps/ctrlProp3487.xml"/><Relationship Id="rId19" Type="http://schemas.openxmlformats.org/officeDocument/2006/relationships/ctrlProp" Target="../ctrlProps/ctrlProp3496.xml"/><Relationship Id="rId31" Type="http://schemas.openxmlformats.org/officeDocument/2006/relationships/ctrlProp" Target="../ctrlProps/ctrlProp3508.xml"/><Relationship Id="rId4" Type="http://schemas.openxmlformats.org/officeDocument/2006/relationships/vmlDrawing" Target="../drawings/vmlDrawing83.vml"/><Relationship Id="rId9" Type="http://schemas.openxmlformats.org/officeDocument/2006/relationships/ctrlProp" Target="../ctrlProps/ctrlProp3486.xml"/><Relationship Id="rId14" Type="http://schemas.openxmlformats.org/officeDocument/2006/relationships/ctrlProp" Target="../ctrlProps/ctrlProp3491.xml"/><Relationship Id="rId22" Type="http://schemas.openxmlformats.org/officeDocument/2006/relationships/ctrlProp" Target="../ctrlProps/ctrlProp3499.xml"/><Relationship Id="rId27" Type="http://schemas.openxmlformats.org/officeDocument/2006/relationships/ctrlProp" Target="../ctrlProps/ctrlProp3504.xml"/><Relationship Id="rId30" Type="http://schemas.openxmlformats.org/officeDocument/2006/relationships/ctrlProp" Target="../ctrlProps/ctrlProp3507.xml"/><Relationship Id="rId35" Type="http://schemas.openxmlformats.org/officeDocument/2006/relationships/ctrlProp" Target="../ctrlProps/ctrlProp3512.xml"/><Relationship Id="rId8" Type="http://schemas.openxmlformats.org/officeDocument/2006/relationships/ctrlProp" Target="../ctrlProps/ctrlProp3485.xml"/><Relationship Id="rId3" Type="http://schemas.openxmlformats.org/officeDocument/2006/relationships/drawing" Target="../drawings/drawing83.xml"/><Relationship Id="rId12" Type="http://schemas.openxmlformats.org/officeDocument/2006/relationships/ctrlProp" Target="../ctrlProps/ctrlProp3489.xml"/><Relationship Id="rId17" Type="http://schemas.openxmlformats.org/officeDocument/2006/relationships/ctrlProp" Target="../ctrlProps/ctrlProp3494.xml"/><Relationship Id="rId25" Type="http://schemas.openxmlformats.org/officeDocument/2006/relationships/ctrlProp" Target="../ctrlProps/ctrlProp3502.xml"/><Relationship Id="rId33" Type="http://schemas.openxmlformats.org/officeDocument/2006/relationships/ctrlProp" Target="../ctrlProps/ctrlProp3510.xml"/><Relationship Id="rId38" Type="http://schemas.openxmlformats.org/officeDocument/2006/relationships/ctrlProp" Target="../ctrlProps/ctrlProp3515.xml"/></Relationships>
</file>

<file path=xl/worksheets/_rels/sheet87.xml.rels><?xml version="1.0" encoding="UTF-8" standalone="yes"?>
<Relationships xmlns="http://schemas.openxmlformats.org/package/2006/relationships"><Relationship Id="rId13" Type="http://schemas.openxmlformats.org/officeDocument/2006/relationships/ctrlProp" Target="../ctrlProps/ctrlProp3527.xml"/><Relationship Id="rId18" Type="http://schemas.openxmlformats.org/officeDocument/2006/relationships/ctrlProp" Target="../ctrlProps/ctrlProp3532.xml"/><Relationship Id="rId26" Type="http://schemas.openxmlformats.org/officeDocument/2006/relationships/ctrlProp" Target="../ctrlProps/ctrlProp3540.xml"/><Relationship Id="rId39" Type="http://schemas.openxmlformats.org/officeDocument/2006/relationships/ctrlProp" Target="../ctrlProps/ctrlProp3553.xml"/><Relationship Id="rId21" Type="http://schemas.openxmlformats.org/officeDocument/2006/relationships/ctrlProp" Target="../ctrlProps/ctrlProp3535.xml"/><Relationship Id="rId34" Type="http://schemas.openxmlformats.org/officeDocument/2006/relationships/ctrlProp" Target="../ctrlProps/ctrlProp3548.xml"/><Relationship Id="rId7" Type="http://schemas.openxmlformats.org/officeDocument/2006/relationships/ctrlProp" Target="../ctrlProps/ctrlProp3521.xml"/><Relationship Id="rId2" Type="http://schemas.openxmlformats.org/officeDocument/2006/relationships/printerSettings" Target="../printerSettings/printerSettings85.bin"/><Relationship Id="rId16" Type="http://schemas.openxmlformats.org/officeDocument/2006/relationships/ctrlProp" Target="../ctrlProps/ctrlProp3530.xml"/><Relationship Id="rId20" Type="http://schemas.openxmlformats.org/officeDocument/2006/relationships/ctrlProp" Target="../ctrlProps/ctrlProp3534.xml"/><Relationship Id="rId29" Type="http://schemas.openxmlformats.org/officeDocument/2006/relationships/ctrlProp" Target="../ctrlProps/ctrlProp3543.xml"/><Relationship Id="rId41" Type="http://schemas.openxmlformats.org/officeDocument/2006/relationships/ctrlProp" Target="../ctrlProps/ctrlProp3555.xml"/><Relationship Id="rId1" Type="http://schemas.openxmlformats.org/officeDocument/2006/relationships/hyperlink" Target="mailto:kevinhooper@live.com.au" TargetMode="External"/><Relationship Id="rId6" Type="http://schemas.openxmlformats.org/officeDocument/2006/relationships/ctrlProp" Target="../ctrlProps/ctrlProp3520.xml"/><Relationship Id="rId11" Type="http://schemas.openxmlformats.org/officeDocument/2006/relationships/ctrlProp" Target="../ctrlProps/ctrlProp3525.xml"/><Relationship Id="rId24" Type="http://schemas.openxmlformats.org/officeDocument/2006/relationships/ctrlProp" Target="../ctrlProps/ctrlProp3538.xml"/><Relationship Id="rId32" Type="http://schemas.openxmlformats.org/officeDocument/2006/relationships/ctrlProp" Target="../ctrlProps/ctrlProp3546.xml"/><Relationship Id="rId37" Type="http://schemas.openxmlformats.org/officeDocument/2006/relationships/ctrlProp" Target="../ctrlProps/ctrlProp3551.xml"/><Relationship Id="rId40" Type="http://schemas.openxmlformats.org/officeDocument/2006/relationships/ctrlProp" Target="../ctrlProps/ctrlProp3554.xml"/><Relationship Id="rId5" Type="http://schemas.openxmlformats.org/officeDocument/2006/relationships/ctrlProp" Target="../ctrlProps/ctrlProp3519.xml"/><Relationship Id="rId15" Type="http://schemas.openxmlformats.org/officeDocument/2006/relationships/ctrlProp" Target="../ctrlProps/ctrlProp3529.xml"/><Relationship Id="rId23" Type="http://schemas.openxmlformats.org/officeDocument/2006/relationships/ctrlProp" Target="../ctrlProps/ctrlProp3537.xml"/><Relationship Id="rId28" Type="http://schemas.openxmlformats.org/officeDocument/2006/relationships/ctrlProp" Target="../ctrlProps/ctrlProp3542.xml"/><Relationship Id="rId36" Type="http://schemas.openxmlformats.org/officeDocument/2006/relationships/ctrlProp" Target="../ctrlProps/ctrlProp3550.xml"/><Relationship Id="rId10" Type="http://schemas.openxmlformats.org/officeDocument/2006/relationships/ctrlProp" Target="../ctrlProps/ctrlProp3524.xml"/><Relationship Id="rId19" Type="http://schemas.openxmlformats.org/officeDocument/2006/relationships/ctrlProp" Target="../ctrlProps/ctrlProp3533.xml"/><Relationship Id="rId31" Type="http://schemas.openxmlformats.org/officeDocument/2006/relationships/ctrlProp" Target="../ctrlProps/ctrlProp3545.xml"/><Relationship Id="rId4" Type="http://schemas.openxmlformats.org/officeDocument/2006/relationships/vmlDrawing" Target="../drawings/vmlDrawing84.vml"/><Relationship Id="rId9" Type="http://schemas.openxmlformats.org/officeDocument/2006/relationships/ctrlProp" Target="../ctrlProps/ctrlProp3523.xml"/><Relationship Id="rId14" Type="http://schemas.openxmlformats.org/officeDocument/2006/relationships/ctrlProp" Target="../ctrlProps/ctrlProp3528.xml"/><Relationship Id="rId22" Type="http://schemas.openxmlformats.org/officeDocument/2006/relationships/ctrlProp" Target="../ctrlProps/ctrlProp3536.xml"/><Relationship Id="rId27" Type="http://schemas.openxmlformats.org/officeDocument/2006/relationships/ctrlProp" Target="../ctrlProps/ctrlProp3541.xml"/><Relationship Id="rId30" Type="http://schemas.openxmlformats.org/officeDocument/2006/relationships/ctrlProp" Target="../ctrlProps/ctrlProp3544.xml"/><Relationship Id="rId35" Type="http://schemas.openxmlformats.org/officeDocument/2006/relationships/ctrlProp" Target="../ctrlProps/ctrlProp3549.xml"/><Relationship Id="rId8" Type="http://schemas.openxmlformats.org/officeDocument/2006/relationships/ctrlProp" Target="../ctrlProps/ctrlProp3522.xml"/><Relationship Id="rId3" Type="http://schemas.openxmlformats.org/officeDocument/2006/relationships/drawing" Target="../drawings/drawing84.xml"/><Relationship Id="rId12" Type="http://schemas.openxmlformats.org/officeDocument/2006/relationships/ctrlProp" Target="../ctrlProps/ctrlProp3526.xml"/><Relationship Id="rId17" Type="http://schemas.openxmlformats.org/officeDocument/2006/relationships/ctrlProp" Target="../ctrlProps/ctrlProp3531.xml"/><Relationship Id="rId25" Type="http://schemas.openxmlformats.org/officeDocument/2006/relationships/ctrlProp" Target="../ctrlProps/ctrlProp3539.xml"/><Relationship Id="rId33" Type="http://schemas.openxmlformats.org/officeDocument/2006/relationships/ctrlProp" Target="../ctrlProps/ctrlProp3547.xml"/><Relationship Id="rId38" Type="http://schemas.openxmlformats.org/officeDocument/2006/relationships/ctrlProp" Target="../ctrlProps/ctrlProp3552.xml"/></Relationships>
</file>

<file path=xl/worksheets/_rels/sheet88.xml.rels><?xml version="1.0" encoding="UTF-8" standalone="yes"?>
<Relationships xmlns="http://schemas.openxmlformats.org/package/2006/relationships"><Relationship Id="rId13" Type="http://schemas.openxmlformats.org/officeDocument/2006/relationships/ctrlProp" Target="../ctrlProps/ctrlProp3565.xml"/><Relationship Id="rId18" Type="http://schemas.openxmlformats.org/officeDocument/2006/relationships/ctrlProp" Target="../ctrlProps/ctrlProp3570.xml"/><Relationship Id="rId26" Type="http://schemas.openxmlformats.org/officeDocument/2006/relationships/ctrlProp" Target="../ctrlProps/ctrlProp3578.xml"/><Relationship Id="rId39" Type="http://schemas.openxmlformats.org/officeDocument/2006/relationships/ctrlProp" Target="../ctrlProps/ctrlProp3591.xml"/><Relationship Id="rId21" Type="http://schemas.openxmlformats.org/officeDocument/2006/relationships/ctrlProp" Target="../ctrlProps/ctrlProp3573.xml"/><Relationship Id="rId34" Type="http://schemas.openxmlformats.org/officeDocument/2006/relationships/ctrlProp" Target="../ctrlProps/ctrlProp3586.xml"/><Relationship Id="rId7" Type="http://schemas.openxmlformats.org/officeDocument/2006/relationships/ctrlProp" Target="../ctrlProps/ctrlProp3559.xml"/><Relationship Id="rId12" Type="http://schemas.openxmlformats.org/officeDocument/2006/relationships/ctrlProp" Target="../ctrlProps/ctrlProp3564.xml"/><Relationship Id="rId17" Type="http://schemas.openxmlformats.org/officeDocument/2006/relationships/ctrlProp" Target="../ctrlProps/ctrlProp3569.xml"/><Relationship Id="rId25" Type="http://schemas.openxmlformats.org/officeDocument/2006/relationships/ctrlProp" Target="../ctrlProps/ctrlProp3577.xml"/><Relationship Id="rId33" Type="http://schemas.openxmlformats.org/officeDocument/2006/relationships/ctrlProp" Target="../ctrlProps/ctrlProp3585.xml"/><Relationship Id="rId38" Type="http://schemas.openxmlformats.org/officeDocument/2006/relationships/ctrlProp" Target="../ctrlProps/ctrlProp3590.xml"/><Relationship Id="rId2" Type="http://schemas.openxmlformats.org/officeDocument/2006/relationships/drawing" Target="../drawings/drawing85.xml"/><Relationship Id="rId16" Type="http://schemas.openxmlformats.org/officeDocument/2006/relationships/ctrlProp" Target="../ctrlProps/ctrlProp3568.xml"/><Relationship Id="rId20" Type="http://schemas.openxmlformats.org/officeDocument/2006/relationships/ctrlProp" Target="../ctrlProps/ctrlProp3572.xml"/><Relationship Id="rId29" Type="http://schemas.openxmlformats.org/officeDocument/2006/relationships/ctrlProp" Target="../ctrlProps/ctrlProp3581.xml"/><Relationship Id="rId1" Type="http://schemas.openxmlformats.org/officeDocument/2006/relationships/printerSettings" Target="../printerSettings/printerSettings86.bin"/><Relationship Id="rId6" Type="http://schemas.openxmlformats.org/officeDocument/2006/relationships/ctrlProp" Target="../ctrlProps/ctrlProp3558.xml"/><Relationship Id="rId11" Type="http://schemas.openxmlformats.org/officeDocument/2006/relationships/ctrlProp" Target="../ctrlProps/ctrlProp3563.xml"/><Relationship Id="rId24" Type="http://schemas.openxmlformats.org/officeDocument/2006/relationships/ctrlProp" Target="../ctrlProps/ctrlProp3576.xml"/><Relationship Id="rId32" Type="http://schemas.openxmlformats.org/officeDocument/2006/relationships/ctrlProp" Target="../ctrlProps/ctrlProp3584.xml"/><Relationship Id="rId37" Type="http://schemas.openxmlformats.org/officeDocument/2006/relationships/ctrlProp" Target="../ctrlProps/ctrlProp3589.xml"/><Relationship Id="rId40" Type="http://schemas.openxmlformats.org/officeDocument/2006/relationships/ctrlProp" Target="../ctrlProps/ctrlProp3592.xml"/><Relationship Id="rId5" Type="http://schemas.openxmlformats.org/officeDocument/2006/relationships/ctrlProp" Target="../ctrlProps/ctrlProp3557.xml"/><Relationship Id="rId15" Type="http://schemas.openxmlformats.org/officeDocument/2006/relationships/ctrlProp" Target="../ctrlProps/ctrlProp3567.xml"/><Relationship Id="rId23" Type="http://schemas.openxmlformats.org/officeDocument/2006/relationships/ctrlProp" Target="../ctrlProps/ctrlProp3575.xml"/><Relationship Id="rId28" Type="http://schemas.openxmlformats.org/officeDocument/2006/relationships/ctrlProp" Target="../ctrlProps/ctrlProp3580.xml"/><Relationship Id="rId36" Type="http://schemas.openxmlformats.org/officeDocument/2006/relationships/ctrlProp" Target="../ctrlProps/ctrlProp3588.xml"/><Relationship Id="rId10" Type="http://schemas.openxmlformats.org/officeDocument/2006/relationships/ctrlProp" Target="../ctrlProps/ctrlProp3562.xml"/><Relationship Id="rId19" Type="http://schemas.openxmlformats.org/officeDocument/2006/relationships/ctrlProp" Target="../ctrlProps/ctrlProp3571.xml"/><Relationship Id="rId31" Type="http://schemas.openxmlformats.org/officeDocument/2006/relationships/ctrlProp" Target="../ctrlProps/ctrlProp3583.xml"/><Relationship Id="rId4" Type="http://schemas.openxmlformats.org/officeDocument/2006/relationships/ctrlProp" Target="../ctrlProps/ctrlProp3556.xml"/><Relationship Id="rId9" Type="http://schemas.openxmlformats.org/officeDocument/2006/relationships/ctrlProp" Target="../ctrlProps/ctrlProp3561.xml"/><Relationship Id="rId14" Type="http://schemas.openxmlformats.org/officeDocument/2006/relationships/ctrlProp" Target="../ctrlProps/ctrlProp3566.xml"/><Relationship Id="rId22" Type="http://schemas.openxmlformats.org/officeDocument/2006/relationships/ctrlProp" Target="../ctrlProps/ctrlProp3574.xml"/><Relationship Id="rId27" Type="http://schemas.openxmlformats.org/officeDocument/2006/relationships/ctrlProp" Target="../ctrlProps/ctrlProp3579.xml"/><Relationship Id="rId30" Type="http://schemas.openxmlformats.org/officeDocument/2006/relationships/ctrlProp" Target="../ctrlProps/ctrlProp3582.xml"/><Relationship Id="rId35" Type="http://schemas.openxmlformats.org/officeDocument/2006/relationships/ctrlProp" Target="../ctrlProps/ctrlProp3587.xml"/><Relationship Id="rId8" Type="http://schemas.openxmlformats.org/officeDocument/2006/relationships/ctrlProp" Target="../ctrlProps/ctrlProp3560.xml"/><Relationship Id="rId3" Type="http://schemas.openxmlformats.org/officeDocument/2006/relationships/vmlDrawing" Target="../drawings/vmlDrawing85.vml"/></Relationships>
</file>

<file path=xl/worksheets/_rels/sheet89.xml.rels><?xml version="1.0" encoding="UTF-8" standalone="yes"?>
<Relationships xmlns="http://schemas.openxmlformats.org/package/2006/relationships"><Relationship Id="rId13" Type="http://schemas.openxmlformats.org/officeDocument/2006/relationships/ctrlProp" Target="../ctrlProps/ctrlProp3602.xml"/><Relationship Id="rId18" Type="http://schemas.openxmlformats.org/officeDocument/2006/relationships/ctrlProp" Target="../ctrlProps/ctrlProp3607.xml"/><Relationship Id="rId26" Type="http://schemas.openxmlformats.org/officeDocument/2006/relationships/ctrlProp" Target="../ctrlProps/ctrlProp3615.xml"/><Relationship Id="rId39" Type="http://schemas.openxmlformats.org/officeDocument/2006/relationships/ctrlProp" Target="../ctrlProps/ctrlProp3628.xml"/><Relationship Id="rId21" Type="http://schemas.openxmlformats.org/officeDocument/2006/relationships/ctrlProp" Target="../ctrlProps/ctrlProp3610.xml"/><Relationship Id="rId34" Type="http://schemas.openxmlformats.org/officeDocument/2006/relationships/ctrlProp" Target="../ctrlProps/ctrlProp3623.xml"/><Relationship Id="rId7" Type="http://schemas.openxmlformats.org/officeDocument/2006/relationships/ctrlProp" Target="../ctrlProps/ctrlProp3596.xml"/><Relationship Id="rId12" Type="http://schemas.openxmlformats.org/officeDocument/2006/relationships/ctrlProp" Target="../ctrlProps/ctrlProp3601.xml"/><Relationship Id="rId17" Type="http://schemas.openxmlformats.org/officeDocument/2006/relationships/ctrlProp" Target="../ctrlProps/ctrlProp3606.xml"/><Relationship Id="rId25" Type="http://schemas.openxmlformats.org/officeDocument/2006/relationships/ctrlProp" Target="../ctrlProps/ctrlProp3614.xml"/><Relationship Id="rId33" Type="http://schemas.openxmlformats.org/officeDocument/2006/relationships/ctrlProp" Target="../ctrlProps/ctrlProp3622.xml"/><Relationship Id="rId38" Type="http://schemas.openxmlformats.org/officeDocument/2006/relationships/ctrlProp" Target="../ctrlProps/ctrlProp3627.xml"/><Relationship Id="rId2" Type="http://schemas.openxmlformats.org/officeDocument/2006/relationships/drawing" Target="../drawings/drawing86.xml"/><Relationship Id="rId16" Type="http://schemas.openxmlformats.org/officeDocument/2006/relationships/ctrlProp" Target="../ctrlProps/ctrlProp3605.xml"/><Relationship Id="rId20" Type="http://schemas.openxmlformats.org/officeDocument/2006/relationships/ctrlProp" Target="../ctrlProps/ctrlProp3609.xml"/><Relationship Id="rId29" Type="http://schemas.openxmlformats.org/officeDocument/2006/relationships/ctrlProp" Target="../ctrlProps/ctrlProp3618.xml"/><Relationship Id="rId1" Type="http://schemas.openxmlformats.org/officeDocument/2006/relationships/printerSettings" Target="../printerSettings/printerSettings87.bin"/><Relationship Id="rId6" Type="http://schemas.openxmlformats.org/officeDocument/2006/relationships/ctrlProp" Target="../ctrlProps/ctrlProp3595.xml"/><Relationship Id="rId11" Type="http://schemas.openxmlformats.org/officeDocument/2006/relationships/ctrlProp" Target="../ctrlProps/ctrlProp3600.xml"/><Relationship Id="rId24" Type="http://schemas.openxmlformats.org/officeDocument/2006/relationships/ctrlProp" Target="../ctrlProps/ctrlProp3613.xml"/><Relationship Id="rId32" Type="http://schemas.openxmlformats.org/officeDocument/2006/relationships/ctrlProp" Target="../ctrlProps/ctrlProp3621.xml"/><Relationship Id="rId37" Type="http://schemas.openxmlformats.org/officeDocument/2006/relationships/ctrlProp" Target="../ctrlProps/ctrlProp3626.xml"/><Relationship Id="rId40" Type="http://schemas.openxmlformats.org/officeDocument/2006/relationships/ctrlProp" Target="../ctrlProps/ctrlProp3629.xml"/><Relationship Id="rId5" Type="http://schemas.openxmlformats.org/officeDocument/2006/relationships/ctrlProp" Target="../ctrlProps/ctrlProp3594.xml"/><Relationship Id="rId15" Type="http://schemas.openxmlformats.org/officeDocument/2006/relationships/ctrlProp" Target="../ctrlProps/ctrlProp3604.xml"/><Relationship Id="rId23" Type="http://schemas.openxmlformats.org/officeDocument/2006/relationships/ctrlProp" Target="../ctrlProps/ctrlProp3612.xml"/><Relationship Id="rId28" Type="http://schemas.openxmlformats.org/officeDocument/2006/relationships/ctrlProp" Target="../ctrlProps/ctrlProp3617.xml"/><Relationship Id="rId36" Type="http://schemas.openxmlformats.org/officeDocument/2006/relationships/ctrlProp" Target="../ctrlProps/ctrlProp3625.xml"/><Relationship Id="rId10" Type="http://schemas.openxmlformats.org/officeDocument/2006/relationships/ctrlProp" Target="../ctrlProps/ctrlProp3599.xml"/><Relationship Id="rId19" Type="http://schemas.openxmlformats.org/officeDocument/2006/relationships/ctrlProp" Target="../ctrlProps/ctrlProp3608.xml"/><Relationship Id="rId31" Type="http://schemas.openxmlformats.org/officeDocument/2006/relationships/ctrlProp" Target="../ctrlProps/ctrlProp3620.xml"/><Relationship Id="rId4" Type="http://schemas.openxmlformats.org/officeDocument/2006/relationships/ctrlProp" Target="../ctrlProps/ctrlProp3593.xml"/><Relationship Id="rId9" Type="http://schemas.openxmlformats.org/officeDocument/2006/relationships/ctrlProp" Target="../ctrlProps/ctrlProp3598.xml"/><Relationship Id="rId14" Type="http://schemas.openxmlformats.org/officeDocument/2006/relationships/ctrlProp" Target="../ctrlProps/ctrlProp3603.xml"/><Relationship Id="rId22" Type="http://schemas.openxmlformats.org/officeDocument/2006/relationships/ctrlProp" Target="../ctrlProps/ctrlProp3611.xml"/><Relationship Id="rId27" Type="http://schemas.openxmlformats.org/officeDocument/2006/relationships/ctrlProp" Target="../ctrlProps/ctrlProp3616.xml"/><Relationship Id="rId30" Type="http://schemas.openxmlformats.org/officeDocument/2006/relationships/ctrlProp" Target="../ctrlProps/ctrlProp3619.xml"/><Relationship Id="rId35" Type="http://schemas.openxmlformats.org/officeDocument/2006/relationships/ctrlProp" Target="../ctrlProps/ctrlProp3624.xml"/><Relationship Id="rId8" Type="http://schemas.openxmlformats.org/officeDocument/2006/relationships/ctrlProp" Target="../ctrlProps/ctrlProp3597.xml"/><Relationship Id="rId3" Type="http://schemas.openxmlformats.org/officeDocument/2006/relationships/vmlDrawing" Target="../drawings/vmlDrawing86.vml"/></Relationships>
</file>

<file path=xl/worksheets/_rels/sheet90.xml.rels><?xml version="1.0" encoding="UTF-8" standalone="yes"?>
<Relationships xmlns="http://schemas.openxmlformats.org/package/2006/relationships"><Relationship Id="rId13" Type="http://schemas.openxmlformats.org/officeDocument/2006/relationships/ctrlProp" Target="../ctrlProps/ctrlProp3639.xml"/><Relationship Id="rId18" Type="http://schemas.openxmlformats.org/officeDocument/2006/relationships/ctrlProp" Target="../ctrlProps/ctrlProp3644.xml"/><Relationship Id="rId26" Type="http://schemas.openxmlformats.org/officeDocument/2006/relationships/ctrlProp" Target="../ctrlProps/ctrlProp3652.xml"/><Relationship Id="rId39" Type="http://schemas.openxmlformats.org/officeDocument/2006/relationships/ctrlProp" Target="../ctrlProps/ctrlProp3665.xml"/><Relationship Id="rId21" Type="http://schemas.openxmlformats.org/officeDocument/2006/relationships/ctrlProp" Target="../ctrlProps/ctrlProp3647.xml"/><Relationship Id="rId34" Type="http://schemas.openxmlformats.org/officeDocument/2006/relationships/ctrlProp" Target="../ctrlProps/ctrlProp3660.xml"/><Relationship Id="rId7" Type="http://schemas.openxmlformats.org/officeDocument/2006/relationships/ctrlProp" Target="../ctrlProps/ctrlProp3633.xml"/><Relationship Id="rId12" Type="http://schemas.openxmlformats.org/officeDocument/2006/relationships/ctrlProp" Target="../ctrlProps/ctrlProp3638.xml"/><Relationship Id="rId17" Type="http://schemas.openxmlformats.org/officeDocument/2006/relationships/ctrlProp" Target="../ctrlProps/ctrlProp3643.xml"/><Relationship Id="rId25" Type="http://schemas.openxmlformats.org/officeDocument/2006/relationships/ctrlProp" Target="../ctrlProps/ctrlProp3651.xml"/><Relationship Id="rId33" Type="http://schemas.openxmlformats.org/officeDocument/2006/relationships/ctrlProp" Target="../ctrlProps/ctrlProp3659.xml"/><Relationship Id="rId38" Type="http://schemas.openxmlformats.org/officeDocument/2006/relationships/ctrlProp" Target="../ctrlProps/ctrlProp3664.xml"/><Relationship Id="rId2" Type="http://schemas.openxmlformats.org/officeDocument/2006/relationships/drawing" Target="../drawings/drawing87.xml"/><Relationship Id="rId16" Type="http://schemas.openxmlformats.org/officeDocument/2006/relationships/ctrlProp" Target="../ctrlProps/ctrlProp3642.xml"/><Relationship Id="rId20" Type="http://schemas.openxmlformats.org/officeDocument/2006/relationships/ctrlProp" Target="../ctrlProps/ctrlProp3646.xml"/><Relationship Id="rId29" Type="http://schemas.openxmlformats.org/officeDocument/2006/relationships/ctrlProp" Target="../ctrlProps/ctrlProp3655.xml"/><Relationship Id="rId1" Type="http://schemas.openxmlformats.org/officeDocument/2006/relationships/printerSettings" Target="../printerSettings/printerSettings88.bin"/><Relationship Id="rId6" Type="http://schemas.openxmlformats.org/officeDocument/2006/relationships/ctrlProp" Target="../ctrlProps/ctrlProp3632.xml"/><Relationship Id="rId11" Type="http://schemas.openxmlformats.org/officeDocument/2006/relationships/ctrlProp" Target="../ctrlProps/ctrlProp3637.xml"/><Relationship Id="rId24" Type="http://schemas.openxmlformats.org/officeDocument/2006/relationships/ctrlProp" Target="../ctrlProps/ctrlProp3650.xml"/><Relationship Id="rId32" Type="http://schemas.openxmlformats.org/officeDocument/2006/relationships/ctrlProp" Target="../ctrlProps/ctrlProp3658.xml"/><Relationship Id="rId37" Type="http://schemas.openxmlformats.org/officeDocument/2006/relationships/ctrlProp" Target="../ctrlProps/ctrlProp3663.xml"/><Relationship Id="rId40" Type="http://schemas.openxmlformats.org/officeDocument/2006/relationships/ctrlProp" Target="../ctrlProps/ctrlProp3666.xml"/><Relationship Id="rId5" Type="http://schemas.openxmlformats.org/officeDocument/2006/relationships/ctrlProp" Target="../ctrlProps/ctrlProp3631.xml"/><Relationship Id="rId15" Type="http://schemas.openxmlformats.org/officeDocument/2006/relationships/ctrlProp" Target="../ctrlProps/ctrlProp3641.xml"/><Relationship Id="rId23" Type="http://schemas.openxmlformats.org/officeDocument/2006/relationships/ctrlProp" Target="../ctrlProps/ctrlProp3649.xml"/><Relationship Id="rId28" Type="http://schemas.openxmlformats.org/officeDocument/2006/relationships/ctrlProp" Target="../ctrlProps/ctrlProp3654.xml"/><Relationship Id="rId36" Type="http://schemas.openxmlformats.org/officeDocument/2006/relationships/ctrlProp" Target="../ctrlProps/ctrlProp3662.xml"/><Relationship Id="rId10" Type="http://schemas.openxmlformats.org/officeDocument/2006/relationships/ctrlProp" Target="../ctrlProps/ctrlProp3636.xml"/><Relationship Id="rId19" Type="http://schemas.openxmlformats.org/officeDocument/2006/relationships/ctrlProp" Target="../ctrlProps/ctrlProp3645.xml"/><Relationship Id="rId31" Type="http://schemas.openxmlformats.org/officeDocument/2006/relationships/ctrlProp" Target="../ctrlProps/ctrlProp3657.xml"/><Relationship Id="rId4" Type="http://schemas.openxmlformats.org/officeDocument/2006/relationships/ctrlProp" Target="../ctrlProps/ctrlProp3630.xml"/><Relationship Id="rId9" Type="http://schemas.openxmlformats.org/officeDocument/2006/relationships/ctrlProp" Target="../ctrlProps/ctrlProp3635.xml"/><Relationship Id="rId14" Type="http://schemas.openxmlformats.org/officeDocument/2006/relationships/ctrlProp" Target="../ctrlProps/ctrlProp3640.xml"/><Relationship Id="rId22" Type="http://schemas.openxmlformats.org/officeDocument/2006/relationships/ctrlProp" Target="../ctrlProps/ctrlProp3648.xml"/><Relationship Id="rId27" Type="http://schemas.openxmlformats.org/officeDocument/2006/relationships/ctrlProp" Target="../ctrlProps/ctrlProp3653.xml"/><Relationship Id="rId30" Type="http://schemas.openxmlformats.org/officeDocument/2006/relationships/ctrlProp" Target="../ctrlProps/ctrlProp3656.xml"/><Relationship Id="rId35" Type="http://schemas.openxmlformats.org/officeDocument/2006/relationships/ctrlProp" Target="../ctrlProps/ctrlProp3661.xml"/><Relationship Id="rId8" Type="http://schemas.openxmlformats.org/officeDocument/2006/relationships/ctrlProp" Target="../ctrlProps/ctrlProp3634.xml"/><Relationship Id="rId3" Type="http://schemas.openxmlformats.org/officeDocument/2006/relationships/vmlDrawing" Target="../drawings/vmlDrawing87.vml"/></Relationships>
</file>

<file path=xl/worksheets/_rels/sheet91.xml.rels><?xml version="1.0" encoding="UTF-8" standalone="yes"?>
<Relationships xmlns="http://schemas.openxmlformats.org/package/2006/relationships"><Relationship Id="rId13" Type="http://schemas.openxmlformats.org/officeDocument/2006/relationships/ctrlProp" Target="../ctrlProps/ctrlProp3675.xml"/><Relationship Id="rId18" Type="http://schemas.openxmlformats.org/officeDocument/2006/relationships/ctrlProp" Target="../ctrlProps/ctrlProp3680.xml"/><Relationship Id="rId26" Type="http://schemas.openxmlformats.org/officeDocument/2006/relationships/ctrlProp" Target="../ctrlProps/ctrlProp3688.xml"/><Relationship Id="rId39" Type="http://schemas.openxmlformats.org/officeDocument/2006/relationships/ctrlProp" Target="../ctrlProps/ctrlProp3701.xml"/><Relationship Id="rId21" Type="http://schemas.openxmlformats.org/officeDocument/2006/relationships/ctrlProp" Target="../ctrlProps/ctrlProp3683.xml"/><Relationship Id="rId34" Type="http://schemas.openxmlformats.org/officeDocument/2006/relationships/ctrlProp" Target="../ctrlProps/ctrlProp3696.xml"/><Relationship Id="rId7" Type="http://schemas.openxmlformats.org/officeDocument/2006/relationships/ctrlProp" Target="../ctrlProps/ctrlProp3669.xml"/><Relationship Id="rId2" Type="http://schemas.openxmlformats.org/officeDocument/2006/relationships/printerSettings" Target="../printerSettings/printerSettings89.bin"/><Relationship Id="rId16" Type="http://schemas.openxmlformats.org/officeDocument/2006/relationships/ctrlProp" Target="../ctrlProps/ctrlProp3678.xml"/><Relationship Id="rId20" Type="http://schemas.openxmlformats.org/officeDocument/2006/relationships/ctrlProp" Target="../ctrlProps/ctrlProp3682.xml"/><Relationship Id="rId29" Type="http://schemas.openxmlformats.org/officeDocument/2006/relationships/ctrlProp" Target="../ctrlProps/ctrlProp3691.xml"/><Relationship Id="rId41" Type="http://schemas.openxmlformats.org/officeDocument/2006/relationships/ctrlProp" Target="../ctrlProps/ctrlProp3703.xml"/><Relationship Id="rId1" Type="http://schemas.openxmlformats.org/officeDocument/2006/relationships/hyperlink" Target="mailto:kersten.vogel1@gmail.com" TargetMode="External"/><Relationship Id="rId6" Type="http://schemas.openxmlformats.org/officeDocument/2006/relationships/ctrlProp" Target="../ctrlProps/ctrlProp3668.xml"/><Relationship Id="rId11" Type="http://schemas.openxmlformats.org/officeDocument/2006/relationships/ctrlProp" Target="../ctrlProps/ctrlProp3673.xml"/><Relationship Id="rId24" Type="http://schemas.openxmlformats.org/officeDocument/2006/relationships/ctrlProp" Target="../ctrlProps/ctrlProp3686.xml"/><Relationship Id="rId32" Type="http://schemas.openxmlformats.org/officeDocument/2006/relationships/ctrlProp" Target="../ctrlProps/ctrlProp3694.xml"/><Relationship Id="rId37" Type="http://schemas.openxmlformats.org/officeDocument/2006/relationships/ctrlProp" Target="../ctrlProps/ctrlProp3699.xml"/><Relationship Id="rId40" Type="http://schemas.openxmlformats.org/officeDocument/2006/relationships/ctrlProp" Target="../ctrlProps/ctrlProp3702.xml"/><Relationship Id="rId5" Type="http://schemas.openxmlformats.org/officeDocument/2006/relationships/ctrlProp" Target="../ctrlProps/ctrlProp3667.xml"/><Relationship Id="rId15" Type="http://schemas.openxmlformats.org/officeDocument/2006/relationships/ctrlProp" Target="../ctrlProps/ctrlProp3677.xml"/><Relationship Id="rId23" Type="http://schemas.openxmlformats.org/officeDocument/2006/relationships/ctrlProp" Target="../ctrlProps/ctrlProp3685.xml"/><Relationship Id="rId28" Type="http://schemas.openxmlformats.org/officeDocument/2006/relationships/ctrlProp" Target="../ctrlProps/ctrlProp3690.xml"/><Relationship Id="rId36" Type="http://schemas.openxmlformats.org/officeDocument/2006/relationships/ctrlProp" Target="../ctrlProps/ctrlProp3698.xml"/><Relationship Id="rId10" Type="http://schemas.openxmlformats.org/officeDocument/2006/relationships/ctrlProp" Target="../ctrlProps/ctrlProp3672.xml"/><Relationship Id="rId19" Type="http://schemas.openxmlformats.org/officeDocument/2006/relationships/ctrlProp" Target="../ctrlProps/ctrlProp3681.xml"/><Relationship Id="rId31" Type="http://schemas.openxmlformats.org/officeDocument/2006/relationships/ctrlProp" Target="../ctrlProps/ctrlProp3693.xml"/><Relationship Id="rId4" Type="http://schemas.openxmlformats.org/officeDocument/2006/relationships/vmlDrawing" Target="../drawings/vmlDrawing88.vml"/><Relationship Id="rId9" Type="http://schemas.openxmlformats.org/officeDocument/2006/relationships/ctrlProp" Target="../ctrlProps/ctrlProp3671.xml"/><Relationship Id="rId14" Type="http://schemas.openxmlformats.org/officeDocument/2006/relationships/ctrlProp" Target="../ctrlProps/ctrlProp3676.xml"/><Relationship Id="rId22" Type="http://schemas.openxmlformats.org/officeDocument/2006/relationships/ctrlProp" Target="../ctrlProps/ctrlProp3684.xml"/><Relationship Id="rId27" Type="http://schemas.openxmlformats.org/officeDocument/2006/relationships/ctrlProp" Target="../ctrlProps/ctrlProp3689.xml"/><Relationship Id="rId30" Type="http://schemas.openxmlformats.org/officeDocument/2006/relationships/ctrlProp" Target="../ctrlProps/ctrlProp3692.xml"/><Relationship Id="rId35" Type="http://schemas.openxmlformats.org/officeDocument/2006/relationships/ctrlProp" Target="../ctrlProps/ctrlProp3697.xml"/><Relationship Id="rId8" Type="http://schemas.openxmlformats.org/officeDocument/2006/relationships/ctrlProp" Target="../ctrlProps/ctrlProp3670.xml"/><Relationship Id="rId3" Type="http://schemas.openxmlformats.org/officeDocument/2006/relationships/drawing" Target="../drawings/drawing88.xml"/><Relationship Id="rId12" Type="http://schemas.openxmlformats.org/officeDocument/2006/relationships/ctrlProp" Target="../ctrlProps/ctrlProp3674.xml"/><Relationship Id="rId17" Type="http://schemas.openxmlformats.org/officeDocument/2006/relationships/ctrlProp" Target="../ctrlProps/ctrlProp3679.xml"/><Relationship Id="rId25" Type="http://schemas.openxmlformats.org/officeDocument/2006/relationships/ctrlProp" Target="../ctrlProps/ctrlProp3687.xml"/><Relationship Id="rId33" Type="http://schemas.openxmlformats.org/officeDocument/2006/relationships/ctrlProp" Target="../ctrlProps/ctrlProp3695.xml"/><Relationship Id="rId38" Type="http://schemas.openxmlformats.org/officeDocument/2006/relationships/ctrlProp" Target="../ctrlProps/ctrlProp3700.xml"/></Relationships>
</file>

<file path=xl/worksheets/_rels/sheet92.xml.rels><?xml version="1.0" encoding="UTF-8" standalone="yes"?>
<Relationships xmlns="http://schemas.openxmlformats.org/package/2006/relationships"><Relationship Id="rId13" Type="http://schemas.openxmlformats.org/officeDocument/2006/relationships/ctrlProp" Target="../ctrlProps/ctrlProp3713.xml"/><Relationship Id="rId18" Type="http://schemas.openxmlformats.org/officeDocument/2006/relationships/ctrlProp" Target="../ctrlProps/ctrlProp3718.xml"/><Relationship Id="rId26" Type="http://schemas.openxmlformats.org/officeDocument/2006/relationships/ctrlProp" Target="../ctrlProps/ctrlProp3726.xml"/><Relationship Id="rId39" Type="http://schemas.openxmlformats.org/officeDocument/2006/relationships/ctrlProp" Target="../ctrlProps/ctrlProp3739.xml"/><Relationship Id="rId21" Type="http://schemas.openxmlformats.org/officeDocument/2006/relationships/ctrlProp" Target="../ctrlProps/ctrlProp3721.xml"/><Relationship Id="rId34" Type="http://schemas.openxmlformats.org/officeDocument/2006/relationships/ctrlProp" Target="../ctrlProps/ctrlProp3734.xml"/><Relationship Id="rId7" Type="http://schemas.openxmlformats.org/officeDocument/2006/relationships/ctrlProp" Target="../ctrlProps/ctrlProp3707.xml"/><Relationship Id="rId12" Type="http://schemas.openxmlformats.org/officeDocument/2006/relationships/ctrlProp" Target="../ctrlProps/ctrlProp3712.xml"/><Relationship Id="rId17" Type="http://schemas.openxmlformats.org/officeDocument/2006/relationships/ctrlProp" Target="../ctrlProps/ctrlProp3717.xml"/><Relationship Id="rId25" Type="http://schemas.openxmlformats.org/officeDocument/2006/relationships/ctrlProp" Target="../ctrlProps/ctrlProp3725.xml"/><Relationship Id="rId33" Type="http://schemas.openxmlformats.org/officeDocument/2006/relationships/ctrlProp" Target="../ctrlProps/ctrlProp3733.xml"/><Relationship Id="rId38" Type="http://schemas.openxmlformats.org/officeDocument/2006/relationships/ctrlProp" Target="../ctrlProps/ctrlProp3738.xml"/><Relationship Id="rId2" Type="http://schemas.openxmlformats.org/officeDocument/2006/relationships/drawing" Target="../drawings/drawing89.xml"/><Relationship Id="rId16" Type="http://schemas.openxmlformats.org/officeDocument/2006/relationships/ctrlProp" Target="../ctrlProps/ctrlProp3716.xml"/><Relationship Id="rId20" Type="http://schemas.openxmlformats.org/officeDocument/2006/relationships/ctrlProp" Target="../ctrlProps/ctrlProp3720.xml"/><Relationship Id="rId29" Type="http://schemas.openxmlformats.org/officeDocument/2006/relationships/ctrlProp" Target="../ctrlProps/ctrlProp3729.xml"/><Relationship Id="rId1" Type="http://schemas.openxmlformats.org/officeDocument/2006/relationships/printerSettings" Target="../printerSettings/printerSettings90.bin"/><Relationship Id="rId6" Type="http://schemas.openxmlformats.org/officeDocument/2006/relationships/ctrlProp" Target="../ctrlProps/ctrlProp3706.xml"/><Relationship Id="rId11" Type="http://schemas.openxmlformats.org/officeDocument/2006/relationships/ctrlProp" Target="../ctrlProps/ctrlProp3711.xml"/><Relationship Id="rId24" Type="http://schemas.openxmlformats.org/officeDocument/2006/relationships/ctrlProp" Target="../ctrlProps/ctrlProp3724.xml"/><Relationship Id="rId32" Type="http://schemas.openxmlformats.org/officeDocument/2006/relationships/ctrlProp" Target="../ctrlProps/ctrlProp3732.xml"/><Relationship Id="rId37" Type="http://schemas.openxmlformats.org/officeDocument/2006/relationships/ctrlProp" Target="../ctrlProps/ctrlProp3737.xml"/><Relationship Id="rId40" Type="http://schemas.openxmlformats.org/officeDocument/2006/relationships/ctrlProp" Target="../ctrlProps/ctrlProp3740.xml"/><Relationship Id="rId5" Type="http://schemas.openxmlformats.org/officeDocument/2006/relationships/ctrlProp" Target="../ctrlProps/ctrlProp3705.xml"/><Relationship Id="rId15" Type="http://schemas.openxmlformats.org/officeDocument/2006/relationships/ctrlProp" Target="../ctrlProps/ctrlProp3715.xml"/><Relationship Id="rId23" Type="http://schemas.openxmlformats.org/officeDocument/2006/relationships/ctrlProp" Target="../ctrlProps/ctrlProp3723.xml"/><Relationship Id="rId28" Type="http://schemas.openxmlformats.org/officeDocument/2006/relationships/ctrlProp" Target="../ctrlProps/ctrlProp3728.xml"/><Relationship Id="rId36" Type="http://schemas.openxmlformats.org/officeDocument/2006/relationships/ctrlProp" Target="../ctrlProps/ctrlProp3736.xml"/><Relationship Id="rId10" Type="http://schemas.openxmlformats.org/officeDocument/2006/relationships/ctrlProp" Target="../ctrlProps/ctrlProp3710.xml"/><Relationship Id="rId19" Type="http://schemas.openxmlformats.org/officeDocument/2006/relationships/ctrlProp" Target="../ctrlProps/ctrlProp3719.xml"/><Relationship Id="rId31" Type="http://schemas.openxmlformats.org/officeDocument/2006/relationships/ctrlProp" Target="../ctrlProps/ctrlProp3731.xml"/><Relationship Id="rId4" Type="http://schemas.openxmlformats.org/officeDocument/2006/relationships/ctrlProp" Target="../ctrlProps/ctrlProp3704.xml"/><Relationship Id="rId9" Type="http://schemas.openxmlformats.org/officeDocument/2006/relationships/ctrlProp" Target="../ctrlProps/ctrlProp3709.xml"/><Relationship Id="rId14" Type="http://schemas.openxmlformats.org/officeDocument/2006/relationships/ctrlProp" Target="../ctrlProps/ctrlProp3714.xml"/><Relationship Id="rId22" Type="http://schemas.openxmlformats.org/officeDocument/2006/relationships/ctrlProp" Target="../ctrlProps/ctrlProp3722.xml"/><Relationship Id="rId27" Type="http://schemas.openxmlformats.org/officeDocument/2006/relationships/ctrlProp" Target="../ctrlProps/ctrlProp3727.xml"/><Relationship Id="rId30" Type="http://schemas.openxmlformats.org/officeDocument/2006/relationships/ctrlProp" Target="../ctrlProps/ctrlProp3730.xml"/><Relationship Id="rId35" Type="http://schemas.openxmlformats.org/officeDocument/2006/relationships/ctrlProp" Target="../ctrlProps/ctrlProp3735.xml"/><Relationship Id="rId8" Type="http://schemas.openxmlformats.org/officeDocument/2006/relationships/ctrlProp" Target="../ctrlProps/ctrlProp3708.xml"/><Relationship Id="rId3" Type="http://schemas.openxmlformats.org/officeDocument/2006/relationships/vmlDrawing" Target="../drawings/vmlDrawing89.vml"/></Relationships>
</file>

<file path=xl/worksheets/_rels/sheet93.xml.rels><?xml version="1.0" encoding="UTF-8" standalone="yes"?>
<Relationships xmlns="http://schemas.openxmlformats.org/package/2006/relationships"><Relationship Id="rId13" Type="http://schemas.openxmlformats.org/officeDocument/2006/relationships/ctrlProp" Target="../ctrlProps/ctrlProp3750.xml"/><Relationship Id="rId18" Type="http://schemas.openxmlformats.org/officeDocument/2006/relationships/ctrlProp" Target="../ctrlProps/ctrlProp3755.xml"/><Relationship Id="rId26" Type="http://schemas.openxmlformats.org/officeDocument/2006/relationships/ctrlProp" Target="../ctrlProps/ctrlProp3763.xml"/><Relationship Id="rId39" Type="http://schemas.openxmlformats.org/officeDocument/2006/relationships/ctrlProp" Target="../ctrlProps/ctrlProp3776.xml"/><Relationship Id="rId21" Type="http://schemas.openxmlformats.org/officeDocument/2006/relationships/ctrlProp" Target="../ctrlProps/ctrlProp3758.xml"/><Relationship Id="rId34" Type="http://schemas.openxmlformats.org/officeDocument/2006/relationships/ctrlProp" Target="../ctrlProps/ctrlProp3771.xml"/><Relationship Id="rId7" Type="http://schemas.openxmlformats.org/officeDocument/2006/relationships/ctrlProp" Target="../ctrlProps/ctrlProp3744.xml"/><Relationship Id="rId12" Type="http://schemas.openxmlformats.org/officeDocument/2006/relationships/ctrlProp" Target="../ctrlProps/ctrlProp3749.xml"/><Relationship Id="rId17" Type="http://schemas.openxmlformats.org/officeDocument/2006/relationships/ctrlProp" Target="../ctrlProps/ctrlProp3754.xml"/><Relationship Id="rId25" Type="http://schemas.openxmlformats.org/officeDocument/2006/relationships/ctrlProp" Target="../ctrlProps/ctrlProp3762.xml"/><Relationship Id="rId33" Type="http://schemas.openxmlformats.org/officeDocument/2006/relationships/ctrlProp" Target="../ctrlProps/ctrlProp3770.xml"/><Relationship Id="rId38" Type="http://schemas.openxmlformats.org/officeDocument/2006/relationships/ctrlProp" Target="../ctrlProps/ctrlProp3775.xml"/><Relationship Id="rId2" Type="http://schemas.openxmlformats.org/officeDocument/2006/relationships/drawing" Target="../drawings/drawing90.xml"/><Relationship Id="rId16" Type="http://schemas.openxmlformats.org/officeDocument/2006/relationships/ctrlProp" Target="../ctrlProps/ctrlProp3753.xml"/><Relationship Id="rId20" Type="http://schemas.openxmlformats.org/officeDocument/2006/relationships/ctrlProp" Target="../ctrlProps/ctrlProp3757.xml"/><Relationship Id="rId29" Type="http://schemas.openxmlformats.org/officeDocument/2006/relationships/ctrlProp" Target="../ctrlProps/ctrlProp3766.xml"/><Relationship Id="rId1" Type="http://schemas.openxmlformats.org/officeDocument/2006/relationships/printerSettings" Target="../printerSettings/printerSettings91.bin"/><Relationship Id="rId6" Type="http://schemas.openxmlformats.org/officeDocument/2006/relationships/ctrlProp" Target="../ctrlProps/ctrlProp3743.xml"/><Relationship Id="rId11" Type="http://schemas.openxmlformats.org/officeDocument/2006/relationships/ctrlProp" Target="../ctrlProps/ctrlProp3748.xml"/><Relationship Id="rId24" Type="http://schemas.openxmlformats.org/officeDocument/2006/relationships/ctrlProp" Target="../ctrlProps/ctrlProp3761.xml"/><Relationship Id="rId32" Type="http://schemas.openxmlformats.org/officeDocument/2006/relationships/ctrlProp" Target="../ctrlProps/ctrlProp3769.xml"/><Relationship Id="rId37" Type="http://schemas.openxmlformats.org/officeDocument/2006/relationships/ctrlProp" Target="../ctrlProps/ctrlProp3774.xml"/><Relationship Id="rId40" Type="http://schemas.openxmlformats.org/officeDocument/2006/relationships/ctrlProp" Target="../ctrlProps/ctrlProp3777.xml"/><Relationship Id="rId5" Type="http://schemas.openxmlformats.org/officeDocument/2006/relationships/ctrlProp" Target="../ctrlProps/ctrlProp3742.xml"/><Relationship Id="rId15" Type="http://schemas.openxmlformats.org/officeDocument/2006/relationships/ctrlProp" Target="../ctrlProps/ctrlProp3752.xml"/><Relationship Id="rId23" Type="http://schemas.openxmlformats.org/officeDocument/2006/relationships/ctrlProp" Target="../ctrlProps/ctrlProp3760.xml"/><Relationship Id="rId28" Type="http://schemas.openxmlformats.org/officeDocument/2006/relationships/ctrlProp" Target="../ctrlProps/ctrlProp3765.xml"/><Relationship Id="rId36" Type="http://schemas.openxmlformats.org/officeDocument/2006/relationships/ctrlProp" Target="../ctrlProps/ctrlProp3773.xml"/><Relationship Id="rId10" Type="http://schemas.openxmlformats.org/officeDocument/2006/relationships/ctrlProp" Target="../ctrlProps/ctrlProp3747.xml"/><Relationship Id="rId19" Type="http://schemas.openxmlformats.org/officeDocument/2006/relationships/ctrlProp" Target="../ctrlProps/ctrlProp3756.xml"/><Relationship Id="rId31" Type="http://schemas.openxmlformats.org/officeDocument/2006/relationships/ctrlProp" Target="../ctrlProps/ctrlProp3768.xml"/><Relationship Id="rId4" Type="http://schemas.openxmlformats.org/officeDocument/2006/relationships/ctrlProp" Target="../ctrlProps/ctrlProp3741.xml"/><Relationship Id="rId9" Type="http://schemas.openxmlformats.org/officeDocument/2006/relationships/ctrlProp" Target="../ctrlProps/ctrlProp3746.xml"/><Relationship Id="rId14" Type="http://schemas.openxmlformats.org/officeDocument/2006/relationships/ctrlProp" Target="../ctrlProps/ctrlProp3751.xml"/><Relationship Id="rId22" Type="http://schemas.openxmlformats.org/officeDocument/2006/relationships/ctrlProp" Target="../ctrlProps/ctrlProp3759.xml"/><Relationship Id="rId27" Type="http://schemas.openxmlformats.org/officeDocument/2006/relationships/ctrlProp" Target="../ctrlProps/ctrlProp3764.xml"/><Relationship Id="rId30" Type="http://schemas.openxmlformats.org/officeDocument/2006/relationships/ctrlProp" Target="../ctrlProps/ctrlProp3767.xml"/><Relationship Id="rId35" Type="http://schemas.openxmlformats.org/officeDocument/2006/relationships/ctrlProp" Target="../ctrlProps/ctrlProp3772.xml"/><Relationship Id="rId8" Type="http://schemas.openxmlformats.org/officeDocument/2006/relationships/ctrlProp" Target="../ctrlProps/ctrlProp3745.xml"/><Relationship Id="rId3" Type="http://schemas.openxmlformats.org/officeDocument/2006/relationships/vmlDrawing" Target="../drawings/vmlDrawing90.vml"/></Relationships>
</file>

<file path=xl/worksheets/_rels/sheet94.xml.rels><?xml version="1.0" encoding="UTF-8" standalone="yes"?>
<Relationships xmlns="http://schemas.openxmlformats.org/package/2006/relationships"><Relationship Id="rId13" Type="http://schemas.openxmlformats.org/officeDocument/2006/relationships/ctrlProp" Target="../ctrlProps/ctrlProp3787.xml"/><Relationship Id="rId18" Type="http://schemas.openxmlformats.org/officeDocument/2006/relationships/ctrlProp" Target="../ctrlProps/ctrlProp3792.xml"/><Relationship Id="rId26" Type="http://schemas.openxmlformats.org/officeDocument/2006/relationships/ctrlProp" Target="../ctrlProps/ctrlProp3800.xml"/><Relationship Id="rId39" Type="http://schemas.openxmlformats.org/officeDocument/2006/relationships/ctrlProp" Target="../ctrlProps/ctrlProp3813.xml"/><Relationship Id="rId21" Type="http://schemas.openxmlformats.org/officeDocument/2006/relationships/ctrlProp" Target="../ctrlProps/ctrlProp3795.xml"/><Relationship Id="rId34" Type="http://schemas.openxmlformats.org/officeDocument/2006/relationships/ctrlProp" Target="../ctrlProps/ctrlProp3808.xml"/><Relationship Id="rId7" Type="http://schemas.openxmlformats.org/officeDocument/2006/relationships/ctrlProp" Target="../ctrlProps/ctrlProp3781.xml"/><Relationship Id="rId12" Type="http://schemas.openxmlformats.org/officeDocument/2006/relationships/ctrlProp" Target="../ctrlProps/ctrlProp3786.xml"/><Relationship Id="rId17" Type="http://schemas.openxmlformats.org/officeDocument/2006/relationships/ctrlProp" Target="../ctrlProps/ctrlProp3791.xml"/><Relationship Id="rId25" Type="http://schemas.openxmlformats.org/officeDocument/2006/relationships/ctrlProp" Target="../ctrlProps/ctrlProp3799.xml"/><Relationship Id="rId33" Type="http://schemas.openxmlformats.org/officeDocument/2006/relationships/ctrlProp" Target="../ctrlProps/ctrlProp3807.xml"/><Relationship Id="rId38" Type="http://schemas.openxmlformats.org/officeDocument/2006/relationships/ctrlProp" Target="../ctrlProps/ctrlProp3812.xml"/><Relationship Id="rId2" Type="http://schemas.openxmlformats.org/officeDocument/2006/relationships/drawing" Target="../drawings/drawing91.xml"/><Relationship Id="rId16" Type="http://schemas.openxmlformats.org/officeDocument/2006/relationships/ctrlProp" Target="../ctrlProps/ctrlProp3790.xml"/><Relationship Id="rId20" Type="http://schemas.openxmlformats.org/officeDocument/2006/relationships/ctrlProp" Target="../ctrlProps/ctrlProp3794.xml"/><Relationship Id="rId29" Type="http://schemas.openxmlformats.org/officeDocument/2006/relationships/ctrlProp" Target="../ctrlProps/ctrlProp3803.xml"/><Relationship Id="rId1" Type="http://schemas.openxmlformats.org/officeDocument/2006/relationships/printerSettings" Target="../printerSettings/printerSettings92.bin"/><Relationship Id="rId6" Type="http://schemas.openxmlformats.org/officeDocument/2006/relationships/ctrlProp" Target="../ctrlProps/ctrlProp3780.xml"/><Relationship Id="rId11" Type="http://schemas.openxmlformats.org/officeDocument/2006/relationships/ctrlProp" Target="../ctrlProps/ctrlProp3785.xml"/><Relationship Id="rId24" Type="http://schemas.openxmlformats.org/officeDocument/2006/relationships/ctrlProp" Target="../ctrlProps/ctrlProp3798.xml"/><Relationship Id="rId32" Type="http://schemas.openxmlformats.org/officeDocument/2006/relationships/ctrlProp" Target="../ctrlProps/ctrlProp3806.xml"/><Relationship Id="rId37" Type="http://schemas.openxmlformats.org/officeDocument/2006/relationships/ctrlProp" Target="../ctrlProps/ctrlProp3811.xml"/><Relationship Id="rId40" Type="http://schemas.openxmlformats.org/officeDocument/2006/relationships/ctrlProp" Target="../ctrlProps/ctrlProp3814.xml"/><Relationship Id="rId5" Type="http://schemas.openxmlformats.org/officeDocument/2006/relationships/ctrlProp" Target="../ctrlProps/ctrlProp3779.xml"/><Relationship Id="rId15" Type="http://schemas.openxmlformats.org/officeDocument/2006/relationships/ctrlProp" Target="../ctrlProps/ctrlProp3789.xml"/><Relationship Id="rId23" Type="http://schemas.openxmlformats.org/officeDocument/2006/relationships/ctrlProp" Target="../ctrlProps/ctrlProp3797.xml"/><Relationship Id="rId28" Type="http://schemas.openxmlformats.org/officeDocument/2006/relationships/ctrlProp" Target="../ctrlProps/ctrlProp3802.xml"/><Relationship Id="rId36" Type="http://schemas.openxmlformats.org/officeDocument/2006/relationships/ctrlProp" Target="../ctrlProps/ctrlProp3810.xml"/><Relationship Id="rId10" Type="http://schemas.openxmlformats.org/officeDocument/2006/relationships/ctrlProp" Target="../ctrlProps/ctrlProp3784.xml"/><Relationship Id="rId19" Type="http://schemas.openxmlformats.org/officeDocument/2006/relationships/ctrlProp" Target="../ctrlProps/ctrlProp3793.xml"/><Relationship Id="rId31" Type="http://schemas.openxmlformats.org/officeDocument/2006/relationships/ctrlProp" Target="../ctrlProps/ctrlProp3805.xml"/><Relationship Id="rId4" Type="http://schemas.openxmlformats.org/officeDocument/2006/relationships/ctrlProp" Target="../ctrlProps/ctrlProp3778.xml"/><Relationship Id="rId9" Type="http://schemas.openxmlformats.org/officeDocument/2006/relationships/ctrlProp" Target="../ctrlProps/ctrlProp3783.xml"/><Relationship Id="rId14" Type="http://schemas.openxmlformats.org/officeDocument/2006/relationships/ctrlProp" Target="../ctrlProps/ctrlProp3788.xml"/><Relationship Id="rId22" Type="http://schemas.openxmlformats.org/officeDocument/2006/relationships/ctrlProp" Target="../ctrlProps/ctrlProp3796.xml"/><Relationship Id="rId27" Type="http://schemas.openxmlformats.org/officeDocument/2006/relationships/ctrlProp" Target="../ctrlProps/ctrlProp3801.xml"/><Relationship Id="rId30" Type="http://schemas.openxmlformats.org/officeDocument/2006/relationships/ctrlProp" Target="../ctrlProps/ctrlProp3804.xml"/><Relationship Id="rId35" Type="http://schemas.openxmlformats.org/officeDocument/2006/relationships/ctrlProp" Target="../ctrlProps/ctrlProp3809.xml"/><Relationship Id="rId8" Type="http://schemas.openxmlformats.org/officeDocument/2006/relationships/ctrlProp" Target="../ctrlProps/ctrlProp3782.xml"/><Relationship Id="rId3" Type="http://schemas.openxmlformats.org/officeDocument/2006/relationships/vmlDrawing" Target="../drawings/vmlDrawing91.vml"/></Relationships>
</file>

<file path=xl/worksheets/_rels/sheet95.xml.rels><?xml version="1.0" encoding="UTF-8" standalone="yes"?>
<Relationships xmlns="http://schemas.openxmlformats.org/package/2006/relationships"><Relationship Id="rId13" Type="http://schemas.openxmlformats.org/officeDocument/2006/relationships/ctrlProp" Target="../ctrlProps/ctrlProp3824.xml"/><Relationship Id="rId18" Type="http://schemas.openxmlformats.org/officeDocument/2006/relationships/ctrlProp" Target="../ctrlProps/ctrlProp3829.xml"/><Relationship Id="rId26" Type="http://schemas.openxmlformats.org/officeDocument/2006/relationships/ctrlProp" Target="../ctrlProps/ctrlProp3837.xml"/><Relationship Id="rId39" Type="http://schemas.openxmlformats.org/officeDocument/2006/relationships/ctrlProp" Target="../ctrlProps/ctrlProp3850.xml"/><Relationship Id="rId21" Type="http://schemas.openxmlformats.org/officeDocument/2006/relationships/ctrlProp" Target="../ctrlProps/ctrlProp3832.xml"/><Relationship Id="rId34" Type="http://schemas.openxmlformats.org/officeDocument/2006/relationships/ctrlProp" Target="../ctrlProps/ctrlProp3845.xml"/><Relationship Id="rId7" Type="http://schemas.openxmlformats.org/officeDocument/2006/relationships/ctrlProp" Target="../ctrlProps/ctrlProp3818.xml"/><Relationship Id="rId12" Type="http://schemas.openxmlformats.org/officeDocument/2006/relationships/ctrlProp" Target="../ctrlProps/ctrlProp3823.xml"/><Relationship Id="rId17" Type="http://schemas.openxmlformats.org/officeDocument/2006/relationships/ctrlProp" Target="../ctrlProps/ctrlProp3828.xml"/><Relationship Id="rId25" Type="http://schemas.openxmlformats.org/officeDocument/2006/relationships/ctrlProp" Target="../ctrlProps/ctrlProp3836.xml"/><Relationship Id="rId33" Type="http://schemas.openxmlformats.org/officeDocument/2006/relationships/ctrlProp" Target="../ctrlProps/ctrlProp3844.xml"/><Relationship Id="rId38" Type="http://schemas.openxmlformats.org/officeDocument/2006/relationships/ctrlProp" Target="../ctrlProps/ctrlProp3849.xml"/><Relationship Id="rId2" Type="http://schemas.openxmlformats.org/officeDocument/2006/relationships/drawing" Target="../drawings/drawing92.xml"/><Relationship Id="rId16" Type="http://schemas.openxmlformats.org/officeDocument/2006/relationships/ctrlProp" Target="../ctrlProps/ctrlProp3827.xml"/><Relationship Id="rId20" Type="http://schemas.openxmlformats.org/officeDocument/2006/relationships/ctrlProp" Target="../ctrlProps/ctrlProp3831.xml"/><Relationship Id="rId29" Type="http://schemas.openxmlformats.org/officeDocument/2006/relationships/ctrlProp" Target="../ctrlProps/ctrlProp3840.xml"/><Relationship Id="rId1" Type="http://schemas.openxmlformats.org/officeDocument/2006/relationships/printerSettings" Target="../printerSettings/printerSettings93.bin"/><Relationship Id="rId6" Type="http://schemas.openxmlformats.org/officeDocument/2006/relationships/ctrlProp" Target="../ctrlProps/ctrlProp3817.xml"/><Relationship Id="rId11" Type="http://schemas.openxmlformats.org/officeDocument/2006/relationships/ctrlProp" Target="../ctrlProps/ctrlProp3822.xml"/><Relationship Id="rId24" Type="http://schemas.openxmlformats.org/officeDocument/2006/relationships/ctrlProp" Target="../ctrlProps/ctrlProp3835.xml"/><Relationship Id="rId32" Type="http://schemas.openxmlformats.org/officeDocument/2006/relationships/ctrlProp" Target="../ctrlProps/ctrlProp3843.xml"/><Relationship Id="rId37" Type="http://schemas.openxmlformats.org/officeDocument/2006/relationships/ctrlProp" Target="../ctrlProps/ctrlProp3848.xml"/><Relationship Id="rId40" Type="http://schemas.openxmlformats.org/officeDocument/2006/relationships/ctrlProp" Target="../ctrlProps/ctrlProp3851.xml"/><Relationship Id="rId5" Type="http://schemas.openxmlformats.org/officeDocument/2006/relationships/ctrlProp" Target="../ctrlProps/ctrlProp3816.xml"/><Relationship Id="rId15" Type="http://schemas.openxmlformats.org/officeDocument/2006/relationships/ctrlProp" Target="../ctrlProps/ctrlProp3826.xml"/><Relationship Id="rId23" Type="http://schemas.openxmlformats.org/officeDocument/2006/relationships/ctrlProp" Target="../ctrlProps/ctrlProp3834.xml"/><Relationship Id="rId28" Type="http://schemas.openxmlformats.org/officeDocument/2006/relationships/ctrlProp" Target="../ctrlProps/ctrlProp3839.xml"/><Relationship Id="rId36" Type="http://schemas.openxmlformats.org/officeDocument/2006/relationships/ctrlProp" Target="../ctrlProps/ctrlProp3847.xml"/><Relationship Id="rId10" Type="http://schemas.openxmlformats.org/officeDocument/2006/relationships/ctrlProp" Target="../ctrlProps/ctrlProp3821.xml"/><Relationship Id="rId19" Type="http://schemas.openxmlformats.org/officeDocument/2006/relationships/ctrlProp" Target="../ctrlProps/ctrlProp3830.xml"/><Relationship Id="rId31" Type="http://schemas.openxmlformats.org/officeDocument/2006/relationships/ctrlProp" Target="../ctrlProps/ctrlProp3842.xml"/><Relationship Id="rId4" Type="http://schemas.openxmlformats.org/officeDocument/2006/relationships/ctrlProp" Target="../ctrlProps/ctrlProp3815.xml"/><Relationship Id="rId9" Type="http://schemas.openxmlformats.org/officeDocument/2006/relationships/ctrlProp" Target="../ctrlProps/ctrlProp3820.xml"/><Relationship Id="rId14" Type="http://schemas.openxmlformats.org/officeDocument/2006/relationships/ctrlProp" Target="../ctrlProps/ctrlProp3825.xml"/><Relationship Id="rId22" Type="http://schemas.openxmlformats.org/officeDocument/2006/relationships/ctrlProp" Target="../ctrlProps/ctrlProp3833.xml"/><Relationship Id="rId27" Type="http://schemas.openxmlformats.org/officeDocument/2006/relationships/ctrlProp" Target="../ctrlProps/ctrlProp3838.xml"/><Relationship Id="rId30" Type="http://schemas.openxmlformats.org/officeDocument/2006/relationships/ctrlProp" Target="../ctrlProps/ctrlProp3841.xml"/><Relationship Id="rId35" Type="http://schemas.openxmlformats.org/officeDocument/2006/relationships/ctrlProp" Target="../ctrlProps/ctrlProp3846.xml"/><Relationship Id="rId8" Type="http://schemas.openxmlformats.org/officeDocument/2006/relationships/ctrlProp" Target="../ctrlProps/ctrlProp3819.xml"/><Relationship Id="rId3" Type="http://schemas.openxmlformats.org/officeDocument/2006/relationships/vmlDrawing" Target="../drawings/vmlDrawing92.vml"/></Relationships>
</file>

<file path=xl/worksheets/_rels/sheet96.xml.rels><?xml version="1.0" encoding="UTF-8" standalone="yes"?>
<Relationships xmlns="http://schemas.openxmlformats.org/package/2006/relationships"><Relationship Id="rId13" Type="http://schemas.openxmlformats.org/officeDocument/2006/relationships/ctrlProp" Target="../ctrlProps/ctrlProp3860.xml"/><Relationship Id="rId18" Type="http://schemas.openxmlformats.org/officeDocument/2006/relationships/ctrlProp" Target="../ctrlProps/ctrlProp3865.xml"/><Relationship Id="rId26" Type="http://schemas.openxmlformats.org/officeDocument/2006/relationships/ctrlProp" Target="../ctrlProps/ctrlProp3873.xml"/><Relationship Id="rId39" Type="http://schemas.openxmlformats.org/officeDocument/2006/relationships/ctrlProp" Target="../ctrlProps/ctrlProp3886.xml"/><Relationship Id="rId21" Type="http://schemas.openxmlformats.org/officeDocument/2006/relationships/ctrlProp" Target="../ctrlProps/ctrlProp3868.xml"/><Relationship Id="rId34" Type="http://schemas.openxmlformats.org/officeDocument/2006/relationships/ctrlProp" Target="../ctrlProps/ctrlProp3881.xml"/><Relationship Id="rId7" Type="http://schemas.openxmlformats.org/officeDocument/2006/relationships/ctrlProp" Target="../ctrlProps/ctrlProp3854.xml"/><Relationship Id="rId2" Type="http://schemas.openxmlformats.org/officeDocument/2006/relationships/printerSettings" Target="../printerSettings/printerSettings94.bin"/><Relationship Id="rId16" Type="http://schemas.openxmlformats.org/officeDocument/2006/relationships/ctrlProp" Target="../ctrlProps/ctrlProp3863.xml"/><Relationship Id="rId20" Type="http://schemas.openxmlformats.org/officeDocument/2006/relationships/ctrlProp" Target="../ctrlProps/ctrlProp3867.xml"/><Relationship Id="rId29" Type="http://schemas.openxmlformats.org/officeDocument/2006/relationships/ctrlProp" Target="../ctrlProps/ctrlProp3876.xml"/><Relationship Id="rId41" Type="http://schemas.openxmlformats.org/officeDocument/2006/relationships/ctrlProp" Target="../ctrlProps/ctrlProp3888.xml"/><Relationship Id="rId1" Type="http://schemas.openxmlformats.org/officeDocument/2006/relationships/hyperlink" Target="mailto:hannahdeon@gmail.com" TargetMode="External"/><Relationship Id="rId6" Type="http://schemas.openxmlformats.org/officeDocument/2006/relationships/ctrlProp" Target="../ctrlProps/ctrlProp3853.xml"/><Relationship Id="rId11" Type="http://schemas.openxmlformats.org/officeDocument/2006/relationships/ctrlProp" Target="../ctrlProps/ctrlProp3858.xml"/><Relationship Id="rId24" Type="http://schemas.openxmlformats.org/officeDocument/2006/relationships/ctrlProp" Target="../ctrlProps/ctrlProp3871.xml"/><Relationship Id="rId32" Type="http://schemas.openxmlformats.org/officeDocument/2006/relationships/ctrlProp" Target="../ctrlProps/ctrlProp3879.xml"/><Relationship Id="rId37" Type="http://schemas.openxmlformats.org/officeDocument/2006/relationships/ctrlProp" Target="../ctrlProps/ctrlProp3884.xml"/><Relationship Id="rId40" Type="http://schemas.openxmlformats.org/officeDocument/2006/relationships/ctrlProp" Target="../ctrlProps/ctrlProp3887.xml"/><Relationship Id="rId5" Type="http://schemas.openxmlformats.org/officeDocument/2006/relationships/ctrlProp" Target="../ctrlProps/ctrlProp3852.xml"/><Relationship Id="rId15" Type="http://schemas.openxmlformats.org/officeDocument/2006/relationships/ctrlProp" Target="../ctrlProps/ctrlProp3862.xml"/><Relationship Id="rId23" Type="http://schemas.openxmlformats.org/officeDocument/2006/relationships/ctrlProp" Target="../ctrlProps/ctrlProp3870.xml"/><Relationship Id="rId28" Type="http://schemas.openxmlformats.org/officeDocument/2006/relationships/ctrlProp" Target="../ctrlProps/ctrlProp3875.xml"/><Relationship Id="rId36" Type="http://schemas.openxmlformats.org/officeDocument/2006/relationships/ctrlProp" Target="../ctrlProps/ctrlProp3883.xml"/><Relationship Id="rId10" Type="http://schemas.openxmlformats.org/officeDocument/2006/relationships/ctrlProp" Target="../ctrlProps/ctrlProp3857.xml"/><Relationship Id="rId19" Type="http://schemas.openxmlformats.org/officeDocument/2006/relationships/ctrlProp" Target="../ctrlProps/ctrlProp3866.xml"/><Relationship Id="rId31" Type="http://schemas.openxmlformats.org/officeDocument/2006/relationships/ctrlProp" Target="../ctrlProps/ctrlProp3878.xml"/><Relationship Id="rId4" Type="http://schemas.openxmlformats.org/officeDocument/2006/relationships/vmlDrawing" Target="../drawings/vmlDrawing93.vml"/><Relationship Id="rId9" Type="http://schemas.openxmlformats.org/officeDocument/2006/relationships/ctrlProp" Target="../ctrlProps/ctrlProp3856.xml"/><Relationship Id="rId14" Type="http://schemas.openxmlformats.org/officeDocument/2006/relationships/ctrlProp" Target="../ctrlProps/ctrlProp3861.xml"/><Relationship Id="rId22" Type="http://schemas.openxmlformats.org/officeDocument/2006/relationships/ctrlProp" Target="../ctrlProps/ctrlProp3869.xml"/><Relationship Id="rId27" Type="http://schemas.openxmlformats.org/officeDocument/2006/relationships/ctrlProp" Target="../ctrlProps/ctrlProp3874.xml"/><Relationship Id="rId30" Type="http://schemas.openxmlformats.org/officeDocument/2006/relationships/ctrlProp" Target="../ctrlProps/ctrlProp3877.xml"/><Relationship Id="rId35" Type="http://schemas.openxmlformats.org/officeDocument/2006/relationships/ctrlProp" Target="../ctrlProps/ctrlProp3882.xml"/><Relationship Id="rId8" Type="http://schemas.openxmlformats.org/officeDocument/2006/relationships/ctrlProp" Target="../ctrlProps/ctrlProp3855.xml"/><Relationship Id="rId3" Type="http://schemas.openxmlformats.org/officeDocument/2006/relationships/drawing" Target="../drawings/drawing93.xml"/><Relationship Id="rId12" Type="http://schemas.openxmlformats.org/officeDocument/2006/relationships/ctrlProp" Target="../ctrlProps/ctrlProp3859.xml"/><Relationship Id="rId17" Type="http://schemas.openxmlformats.org/officeDocument/2006/relationships/ctrlProp" Target="../ctrlProps/ctrlProp3864.xml"/><Relationship Id="rId25" Type="http://schemas.openxmlformats.org/officeDocument/2006/relationships/ctrlProp" Target="../ctrlProps/ctrlProp3872.xml"/><Relationship Id="rId33" Type="http://schemas.openxmlformats.org/officeDocument/2006/relationships/ctrlProp" Target="../ctrlProps/ctrlProp3880.xml"/><Relationship Id="rId38" Type="http://schemas.openxmlformats.org/officeDocument/2006/relationships/ctrlProp" Target="../ctrlProps/ctrlProp3885.xml"/></Relationships>
</file>

<file path=xl/worksheets/_rels/sheet97.xml.rels><?xml version="1.0" encoding="UTF-8" standalone="yes"?>
<Relationships xmlns="http://schemas.openxmlformats.org/package/2006/relationships"><Relationship Id="rId13" Type="http://schemas.openxmlformats.org/officeDocument/2006/relationships/ctrlProp" Target="../ctrlProps/ctrlProp3898.xml"/><Relationship Id="rId18" Type="http://schemas.openxmlformats.org/officeDocument/2006/relationships/ctrlProp" Target="../ctrlProps/ctrlProp3903.xml"/><Relationship Id="rId26" Type="http://schemas.openxmlformats.org/officeDocument/2006/relationships/ctrlProp" Target="../ctrlProps/ctrlProp3911.xml"/><Relationship Id="rId39" Type="http://schemas.openxmlformats.org/officeDocument/2006/relationships/ctrlProp" Target="../ctrlProps/ctrlProp3924.xml"/><Relationship Id="rId21" Type="http://schemas.openxmlformats.org/officeDocument/2006/relationships/ctrlProp" Target="../ctrlProps/ctrlProp3906.xml"/><Relationship Id="rId34" Type="http://schemas.openxmlformats.org/officeDocument/2006/relationships/ctrlProp" Target="../ctrlProps/ctrlProp3919.xml"/><Relationship Id="rId7" Type="http://schemas.openxmlformats.org/officeDocument/2006/relationships/ctrlProp" Target="../ctrlProps/ctrlProp3892.xml"/><Relationship Id="rId12" Type="http://schemas.openxmlformats.org/officeDocument/2006/relationships/ctrlProp" Target="../ctrlProps/ctrlProp3897.xml"/><Relationship Id="rId17" Type="http://schemas.openxmlformats.org/officeDocument/2006/relationships/ctrlProp" Target="../ctrlProps/ctrlProp3902.xml"/><Relationship Id="rId25" Type="http://schemas.openxmlformats.org/officeDocument/2006/relationships/ctrlProp" Target="../ctrlProps/ctrlProp3910.xml"/><Relationship Id="rId33" Type="http://schemas.openxmlformats.org/officeDocument/2006/relationships/ctrlProp" Target="../ctrlProps/ctrlProp3918.xml"/><Relationship Id="rId38" Type="http://schemas.openxmlformats.org/officeDocument/2006/relationships/ctrlProp" Target="../ctrlProps/ctrlProp3923.xml"/><Relationship Id="rId2" Type="http://schemas.openxmlformats.org/officeDocument/2006/relationships/drawing" Target="../drawings/drawing94.xml"/><Relationship Id="rId16" Type="http://schemas.openxmlformats.org/officeDocument/2006/relationships/ctrlProp" Target="../ctrlProps/ctrlProp3901.xml"/><Relationship Id="rId20" Type="http://schemas.openxmlformats.org/officeDocument/2006/relationships/ctrlProp" Target="../ctrlProps/ctrlProp3905.xml"/><Relationship Id="rId29" Type="http://schemas.openxmlformats.org/officeDocument/2006/relationships/ctrlProp" Target="../ctrlProps/ctrlProp3914.xml"/><Relationship Id="rId1" Type="http://schemas.openxmlformats.org/officeDocument/2006/relationships/printerSettings" Target="../printerSettings/printerSettings95.bin"/><Relationship Id="rId6" Type="http://schemas.openxmlformats.org/officeDocument/2006/relationships/ctrlProp" Target="../ctrlProps/ctrlProp3891.xml"/><Relationship Id="rId11" Type="http://schemas.openxmlformats.org/officeDocument/2006/relationships/ctrlProp" Target="../ctrlProps/ctrlProp3896.xml"/><Relationship Id="rId24" Type="http://schemas.openxmlformats.org/officeDocument/2006/relationships/ctrlProp" Target="../ctrlProps/ctrlProp3909.xml"/><Relationship Id="rId32" Type="http://schemas.openxmlformats.org/officeDocument/2006/relationships/ctrlProp" Target="../ctrlProps/ctrlProp3917.xml"/><Relationship Id="rId37" Type="http://schemas.openxmlformats.org/officeDocument/2006/relationships/ctrlProp" Target="../ctrlProps/ctrlProp3922.xml"/><Relationship Id="rId40" Type="http://schemas.openxmlformats.org/officeDocument/2006/relationships/ctrlProp" Target="../ctrlProps/ctrlProp3925.xml"/><Relationship Id="rId5" Type="http://schemas.openxmlformats.org/officeDocument/2006/relationships/ctrlProp" Target="../ctrlProps/ctrlProp3890.xml"/><Relationship Id="rId15" Type="http://schemas.openxmlformats.org/officeDocument/2006/relationships/ctrlProp" Target="../ctrlProps/ctrlProp3900.xml"/><Relationship Id="rId23" Type="http://schemas.openxmlformats.org/officeDocument/2006/relationships/ctrlProp" Target="../ctrlProps/ctrlProp3908.xml"/><Relationship Id="rId28" Type="http://schemas.openxmlformats.org/officeDocument/2006/relationships/ctrlProp" Target="../ctrlProps/ctrlProp3913.xml"/><Relationship Id="rId36" Type="http://schemas.openxmlformats.org/officeDocument/2006/relationships/ctrlProp" Target="../ctrlProps/ctrlProp3921.xml"/><Relationship Id="rId10" Type="http://schemas.openxmlformats.org/officeDocument/2006/relationships/ctrlProp" Target="../ctrlProps/ctrlProp3895.xml"/><Relationship Id="rId19" Type="http://schemas.openxmlformats.org/officeDocument/2006/relationships/ctrlProp" Target="../ctrlProps/ctrlProp3904.xml"/><Relationship Id="rId31" Type="http://schemas.openxmlformats.org/officeDocument/2006/relationships/ctrlProp" Target="../ctrlProps/ctrlProp3916.xml"/><Relationship Id="rId4" Type="http://schemas.openxmlformats.org/officeDocument/2006/relationships/ctrlProp" Target="../ctrlProps/ctrlProp3889.xml"/><Relationship Id="rId9" Type="http://schemas.openxmlformats.org/officeDocument/2006/relationships/ctrlProp" Target="../ctrlProps/ctrlProp3894.xml"/><Relationship Id="rId14" Type="http://schemas.openxmlformats.org/officeDocument/2006/relationships/ctrlProp" Target="../ctrlProps/ctrlProp3899.xml"/><Relationship Id="rId22" Type="http://schemas.openxmlformats.org/officeDocument/2006/relationships/ctrlProp" Target="../ctrlProps/ctrlProp3907.xml"/><Relationship Id="rId27" Type="http://schemas.openxmlformats.org/officeDocument/2006/relationships/ctrlProp" Target="../ctrlProps/ctrlProp3912.xml"/><Relationship Id="rId30" Type="http://schemas.openxmlformats.org/officeDocument/2006/relationships/ctrlProp" Target="../ctrlProps/ctrlProp3915.xml"/><Relationship Id="rId35" Type="http://schemas.openxmlformats.org/officeDocument/2006/relationships/ctrlProp" Target="../ctrlProps/ctrlProp3920.xml"/><Relationship Id="rId8" Type="http://schemas.openxmlformats.org/officeDocument/2006/relationships/ctrlProp" Target="../ctrlProps/ctrlProp3893.xml"/><Relationship Id="rId3" Type="http://schemas.openxmlformats.org/officeDocument/2006/relationships/vmlDrawing" Target="../drawings/vmlDrawing94.vml"/></Relationships>
</file>

<file path=xl/worksheets/_rels/sheet98.xml.rels><?xml version="1.0" encoding="UTF-8" standalone="yes"?>
<Relationships xmlns="http://schemas.openxmlformats.org/package/2006/relationships"><Relationship Id="rId13" Type="http://schemas.openxmlformats.org/officeDocument/2006/relationships/ctrlProp" Target="../ctrlProps/ctrlProp3934.xml"/><Relationship Id="rId18" Type="http://schemas.openxmlformats.org/officeDocument/2006/relationships/ctrlProp" Target="../ctrlProps/ctrlProp3939.xml"/><Relationship Id="rId26" Type="http://schemas.openxmlformats.org/officeDocument/2006/relationships/ctrlProp" Target="../ctrlProps/ctrlProp3947.xml"/><Relationship Id="rId39" Type="http://schemas.openxmlformats.org/officeDocument/2006/relationships/ctrlProp" Target="../ctrlProps/ctrlProp3960.xml"/><Relationship Id="rId21" Type="http://schemas.openxmlformats.org/officeDocument/2006/relationships/ctrlProp" Target="../ctrlProps/ctrlProp3942.xml"/><Relationship Id="rId34" Type="http://schemas.openxmlformats.org/officeDocument/2006/relationships/ctrlProp" Target="../ctrlProps/ctrlProp3955.xml"/><Relationship Id="rId7" Type="http://schemas.openxmlformats.org/officeDocument/2006/relationships/ctrlProp" Target="../ctrlProps/ctrlProp3928.xml"/><Relationship Id="rId2" Type="http://schemas.openxmlformats.org/officeDocument/2006/relationships/printerSettings" Target="../printerSettings/printerSettings96.bin"/><Relationship Id="rId16" Type="http://schemas.openxmlformats.org/officeDocument/2006/relationships/ctrlProp" Target="../ctrlProps/ctrlProp3937.xml"/><Relationship Id="rId20" Type="http://schemas.openxmlformats.org/officeDocument/2006/relationships/ctrlProp" Target="../ctrlProps/ctrlProp3941.xml"/><Relationship Id="rId29" Type="http://schemas.openxmlformats.org/officeDocument/2006/relationships/ctrlProp" Target="../ctrlProps/ctrlProp3950.xml"/><Relationship Id="rId41" Type="http://schemas.openxmlformats.org/officeDocument/2006/relationships/ctrlProp" Target="../ctrlProps/ctrlProp3962.xml"/><Relationship Id="rId1" Type="http://schemas.openxmlformats.org/officeDocument/2006/relationships/hyperlink" Target="mailto:smicko56@yahoo.com" TargetMode="External"/><Relationship Id="rId6" Type="http://schemas.openxmlformats.org/officeDocument/2006/relationships/ctrlProp" Target="../ctrlProps/ctrlProp3927.xml"/><Relationship Id="rId11" Type="http://schemas.openxmlformats.org/officeDocument/2006/relationships/ctrlProp" Target="../ctrlProps/ctrlProp3932.xml"/><Relationship Id="rId24" Type="http://schemas.openxmlformats.org/officeDocument/2006/relationships/ctrlProp" Target="../ctrlProps/ctrlProp3945.xml"/><Relationship Id="rId32" Type="http://schemas.openxmlformats.org/officeDocument/2006/relationships/ctrlProp" Target="../ctrlProps/ctrlProp3953.xml"/><Relationship Id="rId37" Type="http://schemas.openxmlformats.org/officeDocument/2006/relationships/ctrlProp" Target="../ctrlProps/ctrlProp3958.xml"/><Relationship Id="rId40" Type="http://schemas.openxmlformats.org/officeDocument/2006/relationships/ctrlProp" Target="../ctrlProps/ctrlProp3961.xml"/><Relationship Id="rId5" Type="http://schemas.openxmlformats.org/officeDocument/2006/relationships/ctrlProp" Target="../ctrlProps/ctrlProp3926.xml"/><Relationship Id="rId15" Type="http://schemas.openxmlformats.org/officeDocument/2006/relationships/ctrlProp" Target="../ctrlProps/ctrlProp3936.xml"/><Relationship Id="rId23" Type="http://schemas.openxmlformats.org/officeDocument/2006/relationships/ctrlProp" Target="../ctrlProps/ctrlProp3944.xml"/><Relationship Id="rId28" Type="http://schemas.openxmlformats.org/officeDocument/2006/relationships/ctrlProp" Target="../ctrlProps/ctrlProp3949.xml"/><Relationship Id="rId36" Type="http://schemas.openxmlformats.org/officeDocument/2006/relationships/ctrlProp" Target="../ctrlProps/ctrlProp3957.xml"/><Relationship Id="rId10" Type="http://schemas.openxmlformats.org/officeDocument/2006/relationships/ctrlProp" Target="../ctrlProps/ctrlProp3931.xml"/><Relationship Id="rId19" Type="http://schemas.openxmlformats.org/officeDocument/2006/relationships/ctrlProp" Target="../ctrlProps/ctrlProp3940.xml"/><Relationship Id="rId31" Type="http://schemas.openxmlformats.org/officeDocument/2006/relationships/ctrlProp" Target="../ctrlProps/ctrlProp3952.xml"/><Relationship Id="rId4" Type="http://schemas.openxmlformats.org/officeDocument/2006/relationships/vmlDrawing" Target="../drawings/vmlDrawing95.vml"/><Relationship Id="rId9" Type="http://schemas.openxmlformats.org/officeDocument/2006/relationships/ctrlProp" Target="../ctrlProps/ctrlProp3930.xml"/><Relationship Id="rId14" Type="http://schemas.openxmlformats.org/officeDocument/2006/relationships/ctrlProp" Target="../ctrlProps/ctrlProp3935.xml"/><Relationship Id="rId22" Type="http://schemas.openxmlformats.org/officeDocument/2006/relationships/ctrlProp" Target="../ctrlProps/ctrlProp3943.xml"/><Relationship Id="rId27" Type="http://schemas.openxmlformats.org/officeDocument/2006/relationships/ctrlProp" Target="../ctrlProps/ctrlProp3948.xml"/><Relationship Id="rId30" Type="http://schemas.openxmlformats.org/officeDocument/2006/relationships/ctrlProp" Target="../ctrlProps/ctrlProp3951.xml"/><Relationship Id="rId35" Type="http://schemas.openxmlformats.org/officeDocument/2006/relationships/ctrlProp" Target="../ctrlProps/ctrlProp3956.xml"/><Relationship Id="rId8" Type="http://schemas.openxmlformats.org/officeDocument/2006/relationships/ctrlProp" Target="../ctrlProps/ctrlProp3929.xml"/><Relationship Id="rId3" Type="http://schemas.openxmlformats.org/officeDocument/2006/relationships/drawing" Target="../drawings/drawing95.xml"/><Relationship Id="rId12" Type="http://schemas.openxmlformats.org/officeDocument/2006/relationships/ctrlProp" Target="../ctrlProps/ctrlProp3933.xml"/><Relationship Id="rId17" Type="http://schemas.openxmlformats.org/officeDocument/2006/relationships/ctrlProp" Target="../ctrlProps/ctrlProp3938.xml"/><Relationship Id="rId25" Type="http://schemas.openxmlformats.org/officeDocument/2006/relationships/ctrlProp" Target="../ctrlProps/ctrlProp3946.xml"/><Relationship Id="rId33" Type="http://schemas.openxmlformats.org/officeDocument/2006/relationships/ctrlProp" Target="../ctrlProps/ctrlProp3954.xml"/><Relationship Id="rId38" Type="http://schemas.openxmlformats.org/officeDocument/2006/relationships/ctrlProp" Target="../ctrlProps/ctrlProp3959.xml"/></Relationships>
</file>

<file path=xl/worksheets/_rels/sheet99.xml.rels><?xml version="1.0" encoding="UTF-8" standalone="yes"?>
<Relationships xmlns="http://schemas.openxmlformats.org/package/2006/relationships"><Relationship Id="rId13" Type="http://schemas.openxmlformats.org/officeDocument/2006/relationships/ctrlProp" Target="../ctrlProps/ctrlProp3971.xml"/><Relationship Id="rId18" Type="http://schemas.openxmlformats.org/officeDocument/2006/relationships/ctrlProp" Target="../ctrlProps/ctrlProp3976.xml"/><Relationship Id="rId26" Type="http://schemas.openxmlformats.org/officeDocument/2006/relationships/ctrlProp" Target="../ctrlProps/ctrlProp3984.xml"/><Relationship Id="rId39" Type="http://schemas.openxmlformats.org/officeDocument/2006/relationships/ctrlProp" Target="../ctrlProps/ctrlProp3997.xml"/><Relationship Id="rId21" Type="http://schemas.openxmlformats.org/officeDocument/2006/relationships/ctrlProp" Target="../ctrlProps/ctrlProp3979.xml"/><Relationship Id="rId34" Type="http://schemas.openxmlformats.org/officeDocument/2006/relationships/ctrlProp" Target="../ctrlProps/ctrlProp3992.xml"/><Relationship Id="rId7" Type="http://schemas.openxmlformats.org/officeDocument/2006/relationships/ctrlProp" Target="../ctrlProps/ctrlProp3965.xml"/><Relationship Id="rId2" Type="http://schemas.openxmlformats.org/officeDocument/2006/relationships/printerSettings" Target="../printerSettings/printerSettings97.bin"/><Relationship Id="rId16" Type="http://schemas.openxmlformats.org/officeDocument/2006/relationships/ctrlProp" Target="../ctrlProps/ctrlProp3974.xml"/><Relationship Id="rId20" Type="http://schemas.openxmlformats.org/officeDocument/2006/relationships/ctrlProp" Target="../ctrlProps/ctrlProp3978.xml"/><Relationship Id="rId29" Type="http://schemas.openxmlformats.org/officeDocument/2006/relationships/ctrlProp" Target="../ctrlProps/ctrlProp3987.xml"/><Relationship Id="rId41" Type="http://schemas.openxmlformats.org/officeDocument/2006/relationships/ctrlProp" Target="../ctrlProps/ctrlProp3999.xml"/><Relationship Id="rId1" Type="http://schemas.openxmlformats.org/officeDocument/2006/relationships/hyperlink" Target="mailto:daniel.orr.1993@hotmail.com" TargetMode="External"/><Relationship Id="rId6" Type="http://schemas.openxmlformats.org/officeDocument/2006/relationships/ctrlProp" Target="../ctrlProps/ctrlProp3964.xml"/><Relationship Id="rId11" Type="http://schemas.openxmlformats.org/officeDocument/2006/relationships/ctrlProp" Target="../ctrlProps/ctrlProp3969.xml"/><Relationship Id="rId24" Type="http://schemas.openxmlformats.org/officeDocument/2006/relationships/ctrlProp" Target="../ctrlProps/ctrlProp3982.xml"/><Relationship Id="rId32" Type="http://schemas.openxmlformats.org/officeDocument/2006/relationships/ctrlProp" Target="../ctrlProps/ctrlProp3990.xml"/><Relationship Id="rId37" Type="http://schemas.openxmlformats.org/officeDocument/2006/relationships/ctrlProp" Target="../ctrlProps/ctrlProp3995.xml"/><Relationship Id="rId40" Type="http://schemas.openxmlformats.org/officeDocument/2006/relationships/ctrlProp" Target="../ctrlProps/ctrlProp3998.xml"/><Relationship Id="rId5" Type="http://schemas.openxmlformats.org/officeDocument/2006/relationships/ctrlProp" Target="../ctrlProps/ctrlProp3963.xml"/><Relationship Id="rId15" Type="http://schemas.openxmlformats.org/officeDocument/2006/relationships/ctrlProp" Target="../ctrlProps/ctrlProp3973.xml"/><Relationship Id="rId23" Type="http://schemas.openxmlformats.org/officeDocument/2006/relationships/ctrlProp" Target="../ctrlProps/ctrlProp3981.xml"/><Relationship Id="rId28" Type="http://schemas.openxmlformats.org/officeDocument/2006/relationships/ctrlProp" Target="../ctrlProps/ctrlProp3986.xml"/><Relationship Id="rId36" Type="http://schemas.openxmlformats.org/officeDocument/2006/relationships/ctrlProp" Target="../ctrlProps/ctrlProp3994.xml"/><Relationship Id="rId10" Type="http://schemas.openxmlformats.org/officeDocument/2006/relationships/ctrlProp" Target="../ctrlProps/ctrlProp3968.xml"/><Relationship Id="rId19" Type="http://schemas.openxmlformats.org/officeDocument/2006/relationships/ctrlProp" Target="../ctrlProps/ctrlProp3977.xml"/><Relationship Id="rId31" Type="http://schemas.openxmlformats.org/officeDocument/2006/relationships/ctrlProp" Target="../ctrlProps/ctrlProp3989.xml"/><Relationship Id="rId4" Type="http://schemas.openxmlformats.org/officeDocument/2006/relationships/vmlDrawing" Target="../drawings/vmlDrawing96.vml"/><Relationship Id="rId9" Type="http://schemas.openxmlformats.org/officeDocument/2006/relationships/ctrlProp" Target="../ctrlProps/ctrlProp3967.xml"/><Relationship Id="rId14" Type="http://schemas.openxmlformats.org/officeDocument/2006/relationships/ctrlProp" Target="../ctrlProps/ctrlProp3972.xml"/><Relationship Id="rId22" Type="http://schemas.openxmlformats.org/officeDocument/2006/relationships/ctrlProp" Target="../ctrlProps/ctrlProp3980.xml"/><Relationship Id="rId27" Type="http://schemas.openxmlformats.org/officeDocument/2006/relationships/ctrlProp" Target="../ctrlProps/ctrlProp3985.xml"/><Relationship Id="rId30" Type="http://schemas.openxmlformats.org/officeDocument/2006/relationships/ctrlProp" Target="../ctrlProps/ctrlProp3988.xml"/><Relationship Id="rId35" Type="http://schemas.openxmlformats.org/officeDocument/2006/relationships/ctrlProp" Target="../ctrlProps/ctrlProp3993.xml"/><Relationship Id="rId8" Type="http://schemas.openxmlformats.org/officeDocument/2006/relationships/ctrlProp" Target="../ctrlProps/ctrlProp3966.xml"/><Relationship Id="rId3" Type="http://schemas.openxmlformats.org/officeDocument/2006/relationships/drawing" Target="../drawings/drawing96.xml"/><Relationship Id="rId12" Type="http://schemas.openxmlformats.org/officeDocument/2006/relationships/ctrlProp" Target="../ctrlProps/ctrlProp3970.xml"/><Relationship Id="rId17" Type="http://schemas.openxmlformats.org/officeDocument/2006/relationships/ctrlProp" Target="../ctrlProps/ctrlProp3975.xml"/><Relationship Id="rId25" Type="http://schemas.openxmlformats.org/officeDocument/2006/relationships/ctrlProp" Target="../ctrlProps/ctrlProp3983.xml"/><Relationship Id="rId33" Type="http://schemas.openxmlformats.org/officeDocument/2006/relationships/ctrlProp" Target="../ctrlProps/ctrlProp3991.xml"/><Relationship Id="rId38" Type="http://schemas.openxmlformats.org/officeDocument/2006/relationships/ctrlProp" Target="../ctrlProps/ctrlProp3996.xml"/></Relationships>
</file>

<file path=xl/worksheets/_rels/sheet100.xml.rels><?xml version="1.0" encoding="UTF-8" standalone="yes"?>
<Relationships xmlns="http://schemas.openxmlformats.org/package/2006/relationships"><Relationship Id="rId13" Type="http://schemas.openxmlformats.org/officeDocument/2006/relationships/ctrlProp" Target="../ctrlProps/ctrlProp4008.xml"/><Relationship Id="rId18" Type="http://schemas.openxmlformats.org/officeDocument/2006/relationships/ctrlProp" Target="../ctrlProps/ctrlProp4013.xml"/><Relationship Id="rId26" Type="http://schemas.openxmlformats.org/officeDocument/2006/relationships/ctrlProp" Target="../ctrlProps/ctrlProp4021.xml"/><Relationship Id="rId39" Type="http://schemas.openxmlformats.org/officeDocument/2006/relationships/ctrlProp" Target="../ctrlProps/ctrlProp4034.xml"/><Relationship Id="rId21" Type="http://schemas.openxmlformats.org/officeDocument/2006/relationships/ctrlProp" Target="../ctrlProps/ctrlProp4016.xml"/><Relationship Id="rId34" Type="http://schemas.openxmlformats.org/officeDocument/2006/relationships/ctrlProp" Target="../ctrlProps/ctrlProp4029.xml"/><Relationship Id="rId7" Type="http://schemas.openxmlformats.org/officeDocument/2006/relationships/ctrlProp" Target="../ctrlProps/ctrlProp4002.xml"/><Relationship Id="rId2" Type="http://schemas.openxmlformats.org/officeDocument/2006/relationships/printerSettings" Target="../printerSettings/printerSettings98.bin"/><Relationship Id="rId16" Type="http://schemas.openxmlformats.org/officeDocument/2006/relationships/ctrlProp" Target="../ctrlProps/ctrlProp4011.xml"/><Relationship Id="rId20" Type="http://schemas.openxmlformats.org/officeDocument/2006/relationships/ctrlProp" Target="../ctrlProps/ctrlProp4015.xml"/><Relationship Id="rId29" Type="http://schemas.openxmlformats.org/officeDocument/2006/relationships/ctrlProp" Target="../ctrlProps/ctrlProp4024.xml"/><Relationship Id="rId41" Type="http://schemas.openxmlformats.org/officeDocument/2006/relationships/ctrlProp" Target="../ctrlProps/ctrlProp4036.xml"/><Relationship Id="rId1" Type="http://schemas.openxmlformats.org/officeDocument/2006/relationships/hyperlink" Target="mailto:hughbert.skypig@hotmail.com" TargetMode="External"/><Relationship Id="rId6" Type="http://schemas.openxmlformats.org/officeDocument/2006/relationships/ctrlProp" Target="../ctrlProps/ctrlProp4001.xml"/><Relationship Id="rId11" Type="http://schemas.openxmlformats.org/officeDocument/2006/relationships/ctrlProp" Target="../ctrlProps/ctrlProp4006.xml"/><Relationship Id="rId24" Type="http://schemas.openxmlformats.org/officeDocument/2006/relationships/ctrlProp" Target="../ctrlProps/ctrlProp4019.xml"/><Relationship Id="rId32" Type="http://schemas.openxmlformats.org/officeDocument/2006/relationships/ctrlProp" Target="../ctrlProps/ctrlProp4027.xml"/><Relationship Id="rId37" Type="http://schemas.openxmlformats.org/officeDocument/2006/relationships/ctrlProp" Target="../ctrlProps/ctrlProp4032.xml"/><Relationship Id="rId40" Type="http://schemas.openxmlformats.org/officeDocument/2006/relationships/ctrlProp" Target="../ctrlProps/ctrlProp4035.xml"/><Relationship Id="rId5" Type="http://schemas.openxmlformats.org/officeDocument/2006/relationships/ctrlProp" Target="../ctrlProps/ctrlProp4000.xml"/><Relationship Id="rId15" Type="http://schemas.openxmlformats.org/officeDocument/2006/relationships/ctrlProp" Target="../ctrlProps/ctrlProp4010.xml"/><Relationship Id="rId23" Type="http://schemas.openxmlformats.org/officeDocument/2006/relationships/ctrlProp" Target="../ctrlProps/ctrlProp4018.xml"/><Relationship Id="rId28" Type="http://schemas.openxmlformats.org/officeDocument/2006/relationships/ctrlProp" Target="../ctrlProps/ctrlProp4023.xml"/><Relationship Id="rId36" Type="http://schemas.openxmlformats.org/officeDocument/2006/relationships/ctrlProp" Target="../ctrlProps/ctrlProp4031.xml"/><Relationship Id="rId10" Type="http://schemas.openxmlformats.org/officeDocument/2006/relationships/ctrlProp" Target="../ctrlProps/ctrlProp4005.xml"/><Relationship Id="rId19" Type="http://schemas.openxmlformats.org/officeDocument/2006/relationships/ctrlProp" Target="../ctrlProps/ctrlProp4014.xml"/><Relationship Id="rId31" Type="http://schemas.openxmlformats.org/officeDocument/2006/relationships/ctrlProp" Target="../ctrlProps/ctrlProp4026.xml"/><Relationship Id="rId4" Type="http://schemas.openxmlformats.org/officeDocument/2006/relationships/vmlDrawing" Target="../drawings/vmlDrawing97.vml"/><Relationship Id="rId9" Type="http://schemas.openxmlformats.org/officeDocument/2006/relationships/ctrlProp" Target="../ctrlProps/ctrlProp4004.xml"/><Relationship Id="rId14" Type="http://schemas.openxmlformats.org/officeDocument/2006/relationships/ctrlProp" Target="../ctrlProps/ctrlProp4009.xml"/><Relationship Id="rId22" Type="http://schemas.openxmlformats.org/officeDocument/2006/relationships/ctrlProp" Target="../ctrlProps/ctrlProp4017.xml"/><Relationship Id="rId27" Type="http://schemas.openxmlformats.org/officeDocument/2006/relationships/ctrlProp" Target="../ctrlProps/ctrlProp4022.xml"/><Relationship Id="rId30" Type="http://schemas.openxmlformats.org/officeDocument/2006/relationships/ctrlProp" Target="../ctrlProps/ctrlProp4025.xml"/><Relationship Id="rId35" Type="http://schemas.openxmlformats.org/officeDocument/2006/relationships/ctrlProp" Target="../ctrlProps/ctrlProp4030.xml"/><Relationship Id="rId8" Type="http://schemas.openxmlformats.org/officeDocument/2006/relationships/ctrlProp" Target="../ctrlProps/ctrlProp4003.xml"/><Relationship Id="rId3" Type="http://schemas.openxmlformats.org/officeDocument/2006/relationships/drawing" Target="../drawings/drawing97.xml"/><Relationship Id="rId12" Type="http://schemas.openxmlformats.org/officeDocument/2006/relationships/ctrlProp" Target="../ctrlProps/ctrlProp4007.xml"/><Relationship Id="rId17" Type="http://schemas.openxmlformats.org/officeDocument/2006/relationships/ctrlProp" Target="../ctrlProps/ctrlProp4012.xml"/><Relationship Id="rId25" Type="http://schemas.openxmlformats.org/officeDocument/2006/relationships/ctrlProp" Target="../ctrlProps/ctrlProp4020.xml"/><Relationship Id="rId33" Type="http://schemas.openxmlformats.org/officeDocument/2006/relationships/ctrlProp" Target="../ctrlProps/ctrlProp4028.xml"/><Relationship Id="rId38" Type="http://schemas.openxmlformats.org/officeDocument/2006/relationships/ctrlProp" Target="../ctrlProps/ctrlProp4033.xml"/></Relationships>
</file>

<file path=xl/worksheets/_rels/sheet101.xml.rels><?xml version="1.0" encoding="UTF-8" standalone="yes"?>
<Relationships xmlns="http://schemas.openxmlformats.org/package/2006/relationships"><Relationship Id="rId13" Type="http://schemas.openxmlformats.org/officeDocument/2006/relationships/ctrlProp" Target="../ctrlProps/ctrlProp4046.xml"/><Relationship Id="rId18" Type="http://schemas.openxmlformats.org/officeDocument/2006/relationships/ctrlProp" Target="../ctrlProps/ctrlProp4051.xml"/><Relationship Id="rId26" Type="http://schemas.openxmlformats.org/officeDocument/2006/relationships/ctrlProp" Target="../ctrlProps/ctrlProp4059.xml"/><Relationship Id="rId39" Type="http://schemas.openxmlformats.org/officeDocument/2006/relationships/ctrlProp" Target="../ctrlProps/ctrlProp4072.xml"/><Relationship Id="rId21" Type="http://schemas.openxmlformats.org/officeDocument/2006/relationships/ctrlProp" Target="../ctrlProps/ctrlProp4054.xml"/><Relationship Id="rId34" Type="http://schemas.openxmlformats.org/officeDocument/2006/relationships/ctrlProp" Target="../ctrlProps/ctrlProp4067.xml"/><Relationship Id="rId7" Type="http://schemas.openxmlformats.org/officeDocument/2006/relationships/ctrlProp" Target="../ctrlProps/ctrlProp4040.xml"/><Relationship Id="rId12" Type="http://schemas.openxmlformats.org/officeDocument/2006/relationships/ctrlProp" Target="../ctrlProps/ctrlProp4045.xml"/><Relationship Id="rId17" Type="http://schemas.openxmlformats.org/officeDocument/2006/relationships/ctrlProp" Target="../ctrlProps/ctrlProp4050.xml"/><Relationship Id="rId25" Type="http://schemas.openxmlformats.org/officeDocument/2006/relationships/ctrlProp" Target="../ctrlProps/ctrlProp4058.xml"/><Relationship Id="rId33" Type="http://schemas.openxmlformats.org/officeDocument/2006/relationships/ctrlProp" Target="../ctrlProps/ctrlProp4066.xml"/><Relationship Id="rId38" Type="http://schemas.openxmlformats.org/officeDocument/2006/relationships/ctrlProp" Target="../ctrlProps/ctrlProp4071.xml"/><Relationship Id="rId2" Type="http://schemas.openxmlformats.org/officeDocument/2006/relationships/drawing" Target="../drawings/drawing98.xml"/><Relationship Id="rId16" Type="http://schemas.openxmlformats.org/officeDocument/2006/relationships/ctrlProp" Target="../ctrlProps/ctrlProp4049.xml"/><Relationship Id="rId20" Type="http://schemas.openxmlformats.org/officeDocument/2006/relationships/ctrlProp" Target="../ctrlProps/ctrlProp4053.xml"/><Relationship Id="rId29" Type="http://schemas.openxmlformats.org/officeDocument/2006/relationships/ctrlProp" Target="../ctrlProps/ctrlProp4062.xml"/><Relationship Id="rId1" Type="http://schemas.openxmlformats.org/officeDocument/2006/relationships/printerSettings" Target="../printerSettings/printerSettings99.bin"/><Relationship Id="rId6" Type="http://schemas.openxmlformats.org/officeDocument/2006/relationships/ctrlProp" Target="../ctrlProps/ctrlProp4039.xml"/><Relationship Id="rId11" Type="http://schemas.openxmlformats.org/officeDocument/2006/relationships/ctrlProp" Target="../ctrlProps/ctrlProp4044.xml"/><Relationship Id="rId24" Type="http://schemas.openxmlformats.org/officeDocument/2006/relationships/ctrlProp" Target="../ctrlProps/ctrlProp4057.xml"/><Relationship Id="rId32" Type="http://schemas.openxmlformats.org/officeDocument/2006/relationships/ctrlProp" Target="../ctrlProps/ctrlProp4065.xml"/><Relationship Id="rId37" Type="http://schemas.openxmlformats.org/officeDocument/2006/relationships/ctrlProp" Target="../ctrlProps/ctrlProp4070.xml"/><Relationship Id="rId40" Type="http://schemas.openxmlformats.org/officeDocument/2006/relationships/ctrlProp" Target="../ctrlProps/ctrlProp4073.xml"/><Relationship Id="rId5" Type="http://schemas.openxmlformats.org/officeDocument/2006/relationships/ctrlProp" Target="../ctrlProps/ctrlProp4038.xml"/><Relationship Id="rId15" Type="http://schemas.openxmlformats.org/officeDocument/2006/relationships/ctrlProp" Target="../ctrlProps/ctrlProp4048.xml"/><Relationship Id="rId23" Type="http://schemas.openxmlformats.org/officeDocument/2006/relationships/ctrlProp" Target="../ctrlProps/ctrlProp4056.xml"/><Relationship Id="rId28" Type="http://schemas.openxmlformats.org/officeDocument/2006/relationships/ctrlProp" Target="../ctrlProps/ctrlProp4061.xml"/><Relationship Id="rId36" Type="http://schemas.openxmlformats.org/officeDocument/2006/relationships/ctrlProp" Target="../ctrlProps/ctrlProp4069.xml"/><Relationship Id="rId10" Type="http://schemas.openxmlformats.org/officeDocument/2006/relationships/ctrlProp" Target="../ctrlProps/ctrlProp4043.xml"/><Relationship Id="rId19" Type="http://schemas.openxmlformats.org/officeDocument/2006/relationships/ctrlProp" Target="../ctrlProps/ctrlProp4052.xml"/><Relationship Id="rId31" Type="http://schemas.openxmlformats.org/officeDocument/2006/relationships/ctrlProp" Target="../ctrlProps/ctrlProp4064.xml"/><Relationship Id="rId4" Type="http://schemas.openxmlformats.org/officeDocument/2006/relationships/ctrlProp" Target="../ctrlProps/ctrlProp4037.xml"/><Relationship Id="rId9" Type="http://schemas.openxmlformats.org/officeDocument/2006/relationships/ctrlProp" Target="../ctrlProps/ctrlProp4042.xml"/><Relationship Id="rId14" Type="http://schemas.openxmlformats.org/officeDocument/2006/relationships/ctrlProp" Target="../ctrlProps/ctrlProp4047.xml"/><Relationship Id="rId22" Type="http://schemas.openxmlformats.org/officeDocument/2006/relationships/ctrlProp" Target="../ctrlProps/ctrlProp4055.xml"/><Relationship Id="rId27" Type="http://schemas.openxmlformats.org/officeDocument/2006/relationships/ctrlProp" Target="../ctrlProps/ctrlProp4060.xml"/><Relationship Id="rId30" Type="http://schemas.openxmlformats.org/officeDocument/2006/relationships/ctrlProp" Target="../ctrlProps/ctrlProp4063.xml"/><Relationship Id="rId35" Type="http://schemas.openxmlformats.org/officeDocument/2006/relationships/ctrlProp" Target="../ctrlProps/ctrlProp4068.xml"/><Relationship Id="rId8" Type="http://schemas.openxmlformats.org/officeDocument/2006/relationships/ctrlProp" Target="../ctrlProps/ctrlProp4041.xml"/><Relationship Id="rId3" Type="http://schemas.openxmlformats.org/officeDocument/2006/relationships/vmlDrawing" Target="../drawings/vmlDrawing98.vml"/></Relationships>
</file>

<file path=xl/worksheets/_rels/sheet102.xml.rels><?xml version="1.0" encoding="UTF-8" standalone="yes"?>
<Relationships xmlns="http://schemas.openxmlformats.org/package/2006/relationships"><Relationship Id="rId13" Type="http://schemas.openxmlformats.org/officeDocument/2006/relationships/ctrlProp" Target="../ctrlProps/ctrlProp4082.xml"/><Relationship Id="rId18" Type="http://schemas.openxmlformats.org/officeDocument/2006/relationships/ctrlProp" Target="../ctrlProps/ctrlProp4087.xml"/><Relationship Id="rId26" Type="http://schemas.openxmlformats.org/officeDocument/2006/relationships/ctrlProp" Target="../ctrlProps/ctrlProp4095.xml"/><Relationship Id="rId39" Type="http://schemas.openxmlformats.org/officeDocument/2006/relationships/ctrlProp" Target="../ctrlProps/ctrlProp4108.xml"/><Relationship Id="rId21" Type="http://schemas.openxmlformats.org/officeDocument/2006/relationships/ctrlProp" Target="../ctrlProps/ctrlProp4090.xml"/><Relationship Id="rId34" Type="http://schemas.openxmlformats.org/officeDocument/2006/relationships/ctrlProp" Target="../ctrlProps/ctrlProp4103.xml"/><Relationship Id="rId7" Type="http://schemas.openxmlformats.org/officeDocument/2006/relationships/ctrlProp" Target="../ctrlProps/ctrlProp4076.xml"/><Relationship Id="rId2" Type="http://schemas.openxmlformats.org/officeDocument/2006/relationships/printerSettings" Target="../printerSettings/printerSettings100.bin"/><Relationship Id="rId16" Type="http://schemas.openxmlformats.org/officeDocument/2006/relationships/ctrlProp" Target="../ctrlProps/ctrlProp4085.xml"/><Relationship Id="rId20" Type="http://schemas.openxmlformats.org/officeDocument/2006/relationships/ctrlProp" Target="../ctrlProps/ctrlProp4089.xml"/><Relationship Id="rId29" Type="http://schemas.openxmlformats.org/officeDocument/2006/relationships/ctrlProp" Target="../ctrlProps/ctrlProp4098.xml"/><Relationship Id="rId41" Type="http://schemas.openxmlformats.org/officeDocument/2006/relationships/ctrlProp" Target="../ctrlProps/ctrlProp4110.xml"/><Relationship Id="rId1" Type="http://schemas.openxmlformats.org/officeDocument/2006/relationships/hyperlink" Target="mailto:marksy14@hotmail.com" TargetMode="External"/><Relationship Id="rId6" Type="http://schemas.openxmlformats.org/officeDocument/2006/relationships/ctrlProp" Target="../ctrlProps/ctrlProp4075.xml"/><Relationship Id="rId11" Type="http://schemas.openxmlformats.org/officeDocument/2006/relationships/ctrlProp" Target="../ctrlProps/ctrlProp4080.xml"/><Relationship Id="rId24" Type="http://schemas.openxmlformats.org/officeDocument/2006/relationships/ctrlProp" Target="../ctrlProps/ctrlProp4093.xml"/><Relationship Id="rId32" Type="http://schemas.openxmlformats.org/officeDocument/2006/relationships/ctrlProp" Target="../ctrlProps/ctrlProp4101.xml"/><Relationship Id="rId37" Type="http://schemas.openxmlformats.org/officeDocument/2006/relationships/ctrlProp" Target="../ctrlProps/ctrlProp4106.xml"/><Relationship Id="rId40" Type="http://schemas.openxmlformats.org/officeDocument/2006/relationships/ctrlProp" Target="../ctrlProps/ctrlProp4109.xml"/><Relationship Id="rId5" Type="http://schemas.openxmlformats.org/officeDocument/2006/relationships/ctrlProp" Target="../ctrlProps/ctrlProp4074.xml"/><Relationship Id="rId15" Type="http://schemas.openxmlformats.org/officeDocument/2006/relationships/ctrlProp" Target="../ctrlProps/ctrlProp4084.xml"/><Relationship Id="rId23" Type="http://schemas.openxmlformats.org/officeDocument/2006/relationships/ctrlProp" Target="../ctrlProps/ctrlProp4092.xml"/><Relationship Id="rId28" Type="http://schemas.openxmlformats.org/officeDocument/2006/relationships/ctrlProp" Target="../ctrlProps/ctrlProp4097.xml"/><Relationship Id="rId36" Type="http://schemas.openxmlformats.org/officeDocument/2006/relationships/ctrlProp" Target="../ctrlProps/ctrlProp4105.xml"/><Relationship Id="rId10" Type="http://schemas.openxmlformats.org/officeDocument/2006/relationships/ctrlProp" Target="../ctrlProps/ctrlProp4079.xml"/><Relationship Id="rId19" Type="http://schemas.openxmlformats.org/officeDocument/2006/relationships/ctrlProp" Target="../ctrlProps/ctrlProp4088.xml"/><Relationship Id="rId31" Type="http://schemas.openxmlformats.org/officeDocument/2006/relationships/ctrlProp" Target="../ctrlProps/ctrlProp4100.xml"/><Relationship Id="rId4" Type="http://schemas.openxmlformats.org/officeDocument/2006/relationships/vmlDrawing" Target="../drawings/vmlDrawing99.vml"/><Relationship Id="rId9" Type="http://schemas.openxmlformats.org/officeDocument/2006/relationships/ctrlProp" Target="../ctrlProps/ctrlProp4078.xml"/><Relationship Id="rId14" Type="http://schemas.openxmlformats.org/officeDocument/2006/relationships/ctrlProp" Target="../ctrlProps/ctrlProp4083.xml"/><Relationship Id="rId22" Type="http://schemas.openxmlformats.org/officeDocument/2006/relationships/ctrlProp" Target="../ctrlProps/ctrlProp4091.xml"/><Relationship Id="rId27" Type="http://schemas.openxmlformats.org/officeDocument/2006/relationships/ctrlProp" Target="../ctrlProps/ctrlProp4096.xml"/><Relationship Id="rId30" Type="http://schemas.openxmlformats.org/officeDocument/2006/relationships/ctrlProp" Target="../ctrlProps/ctrlProp4099.xml"/><Relationship Id="rId35" Type="http://schemas.openxmlformats.org/officeDocument/2006/relationships/ctrlProp" Target="../ctrlProps/ctrlProp4104.xml"/><Relationship Id="rId8" Type="http://schemas.openxmlformats.org/officeDocument/2006/relationships/ctrlProp" Target="../ctrlProps/ctrlProp4077.xml"/><Relationship Id="rId3" Type="http://schemas.openxmlformats.org/officeDocument/2006/relationships/drawing" Target="../drawings/drawing99.xml"/><Relationship Id="rId12" Type="http://schemas.openxmlformats.org/officeDocument/2006/relationships/ctrlProp" Target="../ctrlProps/ctrlProp4081.xml"/><Relationship Id="rId17" Type="http://schemas.openxmlformats.org/officeDocument/2006/relationships/ctrlProp" Target="../ctrlProps/ctrlProp4086.xml"/><Relationship Id="rId25" Type="http://schemas.openxmlformats.org/officeDocument/2006/relationships/ctrlProp" Target="../ctrlProps/ctrlProp4094.xml"/><Relationship Id="rId33" Type="http://schemas.openxmlformats.org/officeDocument/2006/relationships/ctrlProp" Target="../ctrlProps/ctrlProp4102.xml"/><Relationship Id="rId38" Type="http://schemas.openxmlformats.org/officeDocument/2006/relationships/ctrlProp" Target="../ctrlProps/ctrlProp4107.xml"/></Relationships>
</file>

<file path=xl/worksheets/_rels/sheet103.xml.rels><?xml version="1.0" encoding="UTF-8" standalone="yes"?>
<Relationships xmlns="http://schemas.openxmlformats.org/package/2006/relationships"><Relationship Id="rId13" Type="http://schemas.openxmlformats.org/officeDocument/2006/relationships/ctrlProp" Target="../ctrlProps/ctrlProp4120.xml"/><Relationship Id="rId18" Type="http://schemas.openxmlformats.org/officeDocument/2006/relationships/ctrlProp" Target="../ctrlProps/ctrlProp4125.xml"/><Relationship Id="rId26" Type="http://schemas.openxmlformats.org/officeDocument/2006/relationships/ctrlProp" Target="../ctrlProps/ctrlProp4133.xml"/><Relationship Id="rId39" Type="http://schemas.openxmlformats.org/officeDocument/2006/relationships/ctrlProp" Target="../ctrlProps/ctrlProp4146.xml"/><Relationship Id="rId21" Type="http://schemas.openxmlformats.org/officeDocument/2006/relationships/ctrlProp" Target="../ctrlProps/ctrlProp4128.xml"/><Relationship Id="rId34" Type="http://schemas.openxmlformats.org/officeDocument/2006/relationships/ctrlProp" Target="../ctrlProps/ctrlProp4141.xml"/><Relationship Id="rId7" Type="http://schemas.openxmlformats.org/officeDocument/2006/relationships/ctrlProp" Target="../ctrlProps/ctrlProp4114.xml"/><Relationship Id="rId12" Type="http://schemas.openxmlformats.org/officeDocument/2006/relationships/ctrlProp" Target="../ctrlProps/ctrlProp4119.xml"/><Relationship Id="rId17" Type="http://schemas.openxmlformats.org/officeDocument/2006/relationships/ctrlProp" Target="../ctrlProps/ctrlProp4124.xml"/><Relationship Id="rId25" Type="http://schemas.openxmlformats.org/officeDocument/2006/relationships/ctrlProp" Target="../ctrlProps/ctrlProp4132.xml"/><Relationship Id="rId33" Type="http://schemas.openxmlformats.org/officeDocument/2006/relationships/ctrlProp" Target="../ctrlProps/ctrlProp4140.xml"/><Relationship Id="rId38" Type="http://schemas.openxmlformats.org/officeDocument/2006/relationships/ctrlProp" Target="../ctrlProps/ctrlProp4145.xml"/><Relationship Id="rId2" Type="http://schemas.openxmlformats.org/officeDocument/2006/relationships/drawing" Target="../drawings/drawing100.xml"/><Relationship Id="rId16" Type="http://schemas.openxmlformats.org/officeDocument/2006/relationships/ctrlProp" Target="../ctrlProps/ctrlProp4123.xml"/><Relationship Id="rId20" Type="http://schemas.openxmlformats.org/officeDocument/2006/relationships/ctrlProp" Target="../ctrlProps/ctrlProp4127.xml"/><Relationship Id="rId29" Type="http://schemas.openxmlformats.org/officeDocument/2006/relationships/ctrlProp" Target="../ctrlProps/ctrlProp4136.xml"/><Relationship Id="rId1" Type="http://schemas.openxmlformats.org/officeDocument/2006/relationships/printerSettings" Target="../printerSettings/printerSettings101.bin"/><Relationship Id="rId6" Type="http://schemas.openxmlformats.org/officeDocument/2006/relationships/ctrlProp" Target="../ctrlProps/ctrlProp4113.xml"/><Relationship Id="rId11" Type="http://schemas.openxmlformats.org/officeDocument/2006/relationships/ctrlProp" Target="../ctrlProps/ctrlProp4118.xml"/><Relationship Id="rId24" Type="http://schemas.openxmlformats.org/officeDocument/2006/relationships/ctrlProp" Target="../ctrlProps/ctrlProp4131.xml"/><Relationship Id="rId32" Type="http://schemas.openxmlformats.org/officeDocument/2006/relationships/ctrlProp" Target="../ctrlProps/ctrlProp4139.xml"/><Relationship Id="rId37" Type="http://schemas.openxmlformats.org/officeDocument/2006/relationships/ctrlProp" Target="../ctrlProps/ctrlProp4144.xml"/><Relationship Id="rId40" Type="http://schemas.openxmlformats.org/officeDocument/2006/relationships/ctrlProp" Target="../ctrlProps/ctrlProp4147.xml"/><Relationship Id="rId5" Type="http://schemas.openxmlformats.org/officeDocument/2006/relationships/ctrlProp" Target="../ctrlProps/ctrlProp4112.xml"/><Relationship Id="rId15" Type="http://schemas.openxmlformats.org/officeDocument/2006/relationships/ctrlProp" Target="../ctrlProps/ctrlProp4122.xml"/><Relationship Id="rId23" Type="http://schemas.openxmlformats.org/officeDocument/2006/relationships/ctrlProp" Target="../ctrlProps/ctrlProp4130.xml"/><Relationship Id="rId28" Type="http://schemas.openxmlformats.org/officeDocument/2006/relationships/ctrlProp" Target="../ctrlProps/ctrlProp4135.xml"/><Relationship Id="rId36" Type="http://schemas.openxmlformats.org/officeDocument/2006/relationships/ctrlProp" Target="../ctrlProps/ctrlProp4143.xml"/><Relationship Id="rId10" Type="http://schemas.openxmlformats.org/officeDocument/2006/relationships/ctrlProp" Target="../ctrlProps/ctrlProp4117.xml"/><Relationship Id="rId19" Type="http://schemas.openxmlformats.org/officeDocument/2006/relationships/ctrlProp" Target="../ctrlProps/ctrlProp4126.xml"/><Relationship Id="rId31" Type="http://schemas.openxmlformats.org/officeDocument/2006/relationships/ctrlProp" Target="../ctrlProps/ctrlProp4138.xml"/><Relationship Id="rId4" Type="http://schemas.openxmlformats.org/officeDocument/2006/relationships/ctrlProp" Target="../ctrlProps/ctrlProp4111.xml"/><Relationship Id="rId9" Type="http://schemas.openxmlformats.org/officeDocument/2006/relationships/ctrlProp" Target="../ctrlProps/ctrlProp4116.xml"/><Relationship Id="rId14" Type="http://schemas.openxmlformats.org/officeDocument/2006/relationships/ctrlProp" Target="../ctrlProps/ctrlProp4121.xml"/><Relationship Id="rId22" Type="http://schemas.openxmlformats.org/officeDocument/2006/relationships/ctrlProp" Target="../ctrlProps/ctrlProp4129.xml"/><Relationship Id="rId27" Type="http://schemas.openxmlformats.org/officeDocument/2006/relationships/ctrlProp" Target="../ctrlProps/ctrlProp4134.xml"/><Relationship Id="rId30" Type="http://schemas.openxmlformats.org/officeDocument/2006/relationships/ctrlProp" Target="../ctrlProps/ctrlProp4137.xml"/><Relationship Id="rId35" Type="http://schemas.openxmlformats.org/officeDocument/2006/relationships/ctrlProp" Target="../ctrlProps/ctrlProp4142.xml"/><Relationship Id="rId8" Type="http://schemas.openxmlformats.org/officeDocument/2006/relationships/ctrlProp" Target="../ctrlProps/ctrlProp4115.xml"/><Relationship Id="rId3" Type="http://schemas.openxmlformats.org/officeDocument/2006/relationships/vmlDrawing" Target="../drawings/vmlDrawing100.vml"/></Relationships>
</file>

<file path=xl/worksheets/_rels/sheet104.xml.rels><?xml version="1.0" encoding="UTF-8" standalone="yes"?>
<Relationships xmlns="http://schemas.openxmlformats.org/package/2006/relationships"><Relationship Id="rId13" Type="http://schemas.openxmlformats.org/officeDocument/2006/relationships/ctrlProp" Target="../ctrlProps/ctrlProp4156.xml"/><Relationship Id="rId18" Type="http://schemas.openxmlformats.org/officeDocument/2006/relationships/ctrlProp" Target="../ctrlProps/ctrlProp4161.xml"/><Relationship Id="rId26" Type="http://schemas.openxmlformats.org/officeDocument/2006/relationships/ctrlProp" Target="../ctrlProps/ctrlProp4169.xml"/><Relationship Id="rId39" Type="http://schemas.openxmlformats.org/officeDocument/2006/relationships/ctrlProp" Target="../ctrlProps/ctrlProp4182.xml"/><Relationship Id="rId21" Type="http://schemas.openxmlformats.org/officeDocument/2006/relationships/ctrlProp" Target="../ctrlProps/ctrlProp4164.xml"/><Relationship Id="rId34" Type="http://schemas.openxmlformats.org/officeDocument/2006/relationships/ctrlProp" Target="../ctrlProps/ctrlProp4177.xml"/><Relationship Id="rId7" Type="http://schemas.openxmlformats.org/officeDocument/2006/relationships/ctrlProp" Target="../ctrlProps/ctrlProp4150.xml"/><Relationship Id="rId2" Type="http://schemas.openxmlformats.org/officeDocument/2006/relationships/printerSettings" Target="../printerSettings/printerSettings102.bin"/><Relationship Id="rId16" Type="http://schemas.openxmlformats.org/officeDocument/2006/relationships/ctrlProp" Target="../ctrlProps/ctrlProp4159.xml"/><Relationship Id="rId20" Type="http://schemas.openxmlformats.org/officeDocument/2006/relationships/ctrlProp" Target="../ctrlProps/ctrlProp4163.xml"/><Relationship Id="rId29" Type="http://schemas.openxmlformats.org/officeDocument/2006/relationships/ctrlProp" Target="../ctrlProps/ctrlProp4172.xml"/><Relationship Id="rId41" Type="http://schemas.openxmlformats.org/officeDocument/2006/relationships/ctrlProp" Target="../ctrlProps/ctrlProp4184.xml"/><Relationship Id="rId1" Type="http://schemas.openxmlformats.org/officeDocument/2006/relationships/hyperlink" Target="mailto:lumsdens@live.com.au" TargetMode="External"/><Relationship Id="rId6" Type="http://schemas.openxmlformats.org/officeDocument/2006/relationships/ctrlProp" Target="../ctrlProps/ctrlProp4149.xml"/><Relationship Id="rId11" Type="http://schemas.openxmlformats.org/officeDocument/2006/relationships/ctrlProp" Target="../ctrlProps/ctrlProp4154.xml"/><Relationship Id="rId24" Type="http://schemas.openxmlformats.org/officeDocument/2006/relationships/ctrlProp" Target="../ctrlProps/ctrlProp4167.xml"/><Relationship Id="rId32" Type="http://schemas.openxmlformats.org/officeDocument/2006/relationships/ctrlProp" Target="../ctrlProps/ctrlProp4175.xml"/><Relationship Id="rId37" Type="http://schemas.openxmlformats.org/officeDocument/2006/relationships/ctrlProp" Target="../ctrlProps/ctrlProp4180.xml"/><Relationship Id="rId40" Type="http://schemas.openxmlformats.org/officeDocument/2006/relationships/ctrlProp" Target="../ctrlProps/ctrlProp4183.xml"/><Relationship Id="rId5" Type="http://schemas.openxmlformats.org/officeDocument/2006/relationships/ctrlProp" Target="../ctrlProps/ctrlProp4148.xml"/><Relationship Id="rId15" Type="http://schemas.openxmlformats.org/officeDocument/2006/relationships/ctrlProp" Target="../ctrlProps/ctrlProp4158.xml"/><Relationship Id="rId23" Type="http://schemas.openxmlformats.org/officeDocument/2006/relationships/ctrlProp" Target="../ctrlProps/ctrlProp4166.xml"/><Relationship Id="rId28" Type="http://schemas.openxmlformats.org/officeDocument/2006/relationships/ctrlProp" Target="../ctrlProps/ctrlProp4171.xml"/><Relationship Id="rId36" Type="http://schemas.openxmlformats.org/officeDocument/2006/relationships/ctrlProp" Target="../ctrlProps/ctrlProp4179.xml"/><Relationship Id="rId10" Type="http://schemas.openxmlformats.org/officeDocument/2006/relationships/ctrlProp" Target="../ctrlProps/ctrlProp4153.xml"/><Relationship Id="rId19" Type="http://schemas.openxmlformats.org/officeDocument/2006/relationships/ctrlProp" Target="../ctrlProps/ctrlProp4162.xml"/><Relationship Id="rId31" Type="http://schemas.openxmlformats.org/officeDocument/2006/relationships/ctrlProp" Target="../ctrlProps/ctrlProp4174.xml"/><Relationship Id="rId4" Type="http://schemas.openxmlformats.org/officeDocument/2006/relationships/vmlDrawing" Target="../drawings/vmlDrawing101.vml"/><Relationship Id="rId9" Type="http://schemas.openxmlformats.org/officeDocument/2006/relationships/ctrlProp" Target="../ctrlProps/ctrlProp4152.xml"/><Relationship Id="rId14" Type="http://schemas.openxmlformats.org/officeDocument/2006/relationships/ctrlProp" Target="../ctrlProps/ctrlProp4157.xml"/><Relationship Id="rId22" Type="http://schemas.openxmlformats.org/officeDocument/2006/relationships/ctrlProp" Target="../ctrlProps/ctrlProp4165.xml"/><Relationship Id="rId27" Type="http://schemas.openxmlformats.org/officeDocument/2006/relationships/ctrlProp" Target="../ctrlProps/ctrlProp4170.xml"/><Relationship Id="rId30" Type="http://schemas.openxmlformats.org/officeDocument/2006/relationships/ctrlProp" Target="../ctrlProps/ctrlProp4173.xml"/><Relationship Id="rId35" Type="http://schemas.openxmlformats.org/officeDocument/2006/relationships/ctrlProp" Target="../ctrlProps/ctrlProp4178.xml"/><Relationship Id="rId8" Type="http://schemas.openxmlformats.org/officeDocument/2006/relationships/ctrlProp" Target="../ctrlProps/ctrlProp4151.xml"/><Relationship Id="rId3" Type="http://schemas.openxmlformats.org/officeDocument/2006/relationships/drawing" Target="../drawings/drawing101.xml"/><Relationship Id="rId12" Type="http://schemas.openxmlformats.org/officeDocument/2006/relationships/ctrlProp" Target="../ctrlProps/ctrlProp4155.xml"/><Relationship Id="rId17" Type="http://schemas.openxmlformats.org/officeDocument/2006/relationships/ctrlProp" Target="../ctrlProps/ctrlProp4160.xml"/><Relationship Id="rId25" Type="http://schemas.openxmlformats.org/officeDocument/2006/relationships/ctrlProp" Target="../ctrlProps/ctrlProp4168.xml"/><Relationship Id="rId33" Type="http://schemas.openxmlformats.org/officeDocument/2006/relationships/ctrlProp" Target="../ctrlProps/ctrlProp4176.xml"/><Relationship Id="rId38" Type="http://schemas.openxmlformats.org/officeDocument/2006/relationships/ctrlProp" Target="../ctrlProps/ctrlProp4181.xml"/></Relationships>
</file>

<file path=xl/worksheets/_rels/sheet105.xml.rels><?xml version="1.0" encoding="UTF-8" standalone="yes"?>
<Relationships xmlns="http://schemas.openxmlformats.org/package/2006/relationships"><Relationship Id="rId13" Type="http://schemas.openxmlformats.org/officeDocument/2006/relationships/ctrlProp" Target="../ctrlProps/ctrlProp4194.xml"/><Relationship Id="rId18" Type="http://schemas.openxmlformats.org/officeDocument/2006/relationships/ctrlProp" Target="../ctrlProps/ctrlProp4199.xml"/><Relationship Id="rId26" Type="http://schemas.openxmlformats.org/officeDocument/2006/relationships/ctrlProp" Target="../ctrlProps/ctrlProp4207.xml"/><Relationship Id="rId39" Type="http://schemas.openxmlformats.org/officeDocument/2006/relationships/ctrlProp" Target="../ctrlProps/ctrlProp4220.xml"/><Relationship Id="rId21" Type="http://schemas.openxmlformats.org/officeDocument/2006/relationships/ctrlProp" Target="../ctrlProps/ctrlProp4202.xml"/><Relationship Id="rId34" Type="http://schemas.openxmlformats.org/officeDocument/2006/relationships/ctrlProp" Target="../ctrlProps/ctrlProp4215.xml"/><Relationship Id="rId7" Type="http://schemas.openxmlformats.org/officeDocument/2006/relationships/ctrlProp" Target="../ctrlProps/ctrlProp4188.xml"/><Relationship Id="rId12" Type="http://schemas.openxmlformats.org/officeDocument/2006/relationships/ctrlProp" Target="../ctrlProps/ctrlProp4193.xml"/><Relationship Id="rId17" Type="http://schemas.openxmlformats.org/officeDocument/2006/relationships/ctrlProp" Target="../ctrlProps/ctrlProp4198.xml"/><Relationship Id="rId25" Type="http://schemas.openxmlformats.org/officeDocument/2006/relationships/ctrlProp" Target="../ctrlProps/ctrlProp4206.xml"/><Relationship Id="rId33" Type="http://schemas.openxmlformats.org/officeDocument/2006/relationships/ctrlProp" Target="../ctrlProps/ctrlProp4214.xml"/><Relationship Id="rId38" Type="http://schemas.openxmlformats.org/officeDocument/2006/relationships/ctrlProp" Target="../ctrlProps/ctrlProp4219.xml"/><Relationship Id="rId2" Type="http://schemas.openxmlformats.org/officeDocument/2006/relationships/drawing" Target="../drawings/drawing102.xml"/><Relationship Id="rId16" Type="http://schemas.openxmlformats.org/officeDocument/2006/relationships/ctrlProp" Target="../ctrlProps/ctrlProp4197.xml"/><Relationship Id="rId20" Type="http://schemas.openxmlformats.org/officeDocument/2006/relationships/ctrlProp" Target="../ctrlProps/ctrlProp4201.xml"/><Relationship Id="rId29" Type="http://schemas.openxmlformats.org/officeDocument/2006/relationships/ctrlProp" Target="../ctrlProps/ctrlProp4210.xml"/><Relationship Id="rId1" Type="http://schemas.openxmlformats.org/officeDocument/2006/relationships/printerSettings" Target="../printerSettings/printerSettings103.bin"/><Relationship Id="rId6" Type="http://schemas.openxmlformats.org/officeDocument/2006/relationships/ctrlProp" Target="../ctrlProps/ctrlProp4187.xml"/><Relationship Id="rId11" Type="http://schemas.openxmlformats.org/officeDocument/2006/relationships/ctrlProp" Target="../ctrlProps/ctrlProp4192.xml"/><Relationship Id="rId24" Type="http://schemas.openxmlformats.org/officeDocument/2006/relationships/ctrlProp" Target="../ctrlProps/ctrlProp4205.xml"/><Relationship Id="rId32" Type="http://schemas.openxmlformats.org/officeDocument/2006/relationships/ctrlProp" Target="../ctrlProps/ctrlProp4213.xml"/><Relationship Id="rId37" Type="http://schemas.openxmlformats.org/officeDocument/2006/relationships/ctrlProp" Target="../ctrlProps/ctrlProp4218.xml"/><Relationship Id="rId40" Type="http://schemas.openxmlformats.org/officeDocument/2006/relationships/ctrlProp" Target="../ctrlProps/ctrlProp4221.xml"/><Relationship Id="rId5" Type="http://schemas.openxmlformats.org/officeDocument/2006/relationships/ctrlProp" Target="../ctrlProps/ctrlProp4186.xml"/><Relationship Id="rId15" Type="http://schemas.openxmlformats.org/officeDocument/2006/relationships/ctrlProp" Target="../ctrlProps/ctrlProp4196.xml"/><Relationship Id="rId23" Type="http://schemas.openxmlformats.org/officeDocument/2006/relationships/ctrlProp" Target="../ctrlProps/ctrlProp4204.xml"/><Relationship Id="rId28" Type="http://schemas.openxmlformats.org/officeDocument/2006/relationships/ctrlProp" Target="../ctrlProps/ctrlProp4209.xml"/><Relationship Id="rId36" Type="http://schemas.openxmlformats.org/officeDocument/2006/relationships/ctrlProp" Target="../ctrlProps/ctrlProp4217.xml"/><Relationship Id="rId10" Type="http://schemas.openxmlformats.org/officeDocument/2006/relationships/ctrlProp" Target="../ctrlProps/ctrlProp4191.xml"/><Relationship Id="rId19" Type="http://schemas.openxmlformats.org/officeDocument/2006/relationships/ctrlProp" Target="../ctrlProps/ctrlProp4200.xml"/><Relationship Id="rId31" Type="http://schemas.openxmlformats.org/officeDocument/2006/relationships/ctrlProp" Target="../ctrlProps/ctrlProp4212.xml"/><Relationship Id="rId4" Type="http://schemas.openxmlformats.org/officeDocument/2006/relationships/ctrlProp" Target="../ctrlProps/ctrlProp4185.xml"/><Relationship Id="rId9" Type="http://schemas.openxmlformats.org/officeDocument/2006/relationships/ctrlProp" Target="../ctrlProps/ctrlProp4190.xml"/><Relationship Id="rId14" Type="http://schemas.openxmlformats.org/officeDocument/2006/relationships/ctrlProp" Target="../ctrlProps/ctrlProp4195.xml"/><Relationship Id="rId22" Type="http://schemas.openxmlformats.org/officeDocument/2006/relationships/ctrlProp" Target="../ctrlProps/ctrlProp4203.xml"/><Relationship Id="rId27" Type="http://schemas.openxmlformats.org/officeDocument/2006/relationships/ctrlProp" Target="../ctrlProps/ctrlProp4208.xml"/><Relationship Id="rId30" Type="http://schemas.openxmlformats.org/officeDocument/2006/relationships/ctrlProp" Target="../ctrlProps/ctrlProp4211.xml"/><Relationship Id="rId35" Type="http://schemas.openxmlformats.org/officeDocument/2006/relationships/ctrlProp" Target="../ctrlProps/ctrlProp4216.xml"/><Relationship Id="rId8" Type="http://schemas.openxmlformats.org/officeDocument/2006/relationships/ctrlProp" Target="../ctrlProps/ctrlProp4189.xml"/><Relationship Id="rId3" Type="http://schemas.openxmlformats.org/officeDocument/2006/relationships/vmlDrawing" Target="../drawings/vmlDrawing102.vml"/></Relationships>
</file>

<file path=xl/worksheets/_rels/sheet106.xml.rels><?xml version="1.0" encoding="UTF-8" standalone="yes"?>
<Relationships xmlns="http://schemas.openxmlformats.org/package/2006/relationships"><Relationship Id="rId13" Type="http://schemas.openxmlformats.org/officeDocument/2006/relationships/ctrlProp" Target="../ctrlProps/ctrlProp4231.xml"/><Relationship Id="rId18" Type="http://schemas.openxmlformats.org/officeDocument/2006/relationships/ctrlProp" Target="../ctrlProps/ctrlProp4236.xml"/><Relationship Id="rId26" Type="http://schemas.openxmlformats.org/officeDocument/2006/relationships/ctrlProp" Target="../ctrlProps/ctrlProp4244.xml"/><Relationship Id="rId39" Type="http://schemas.openxmlformats.org/officeDocument/2006/relationships/ctrlProp" Target="../ctrlProps/ctrlProp4257.xml"/><Relationship Id="rId21" Type="http://schemas.openxmlformats.org/officeDocument/2006/relationships/ctrlProp" Target="../ctrlProps/ctrlProp4239.xml"/><Relationship Id="rId34" Type="http://schemas.openxmlformats.org/officeDocument/2006/relationships/ctrlProp" Target="../ctrlProps/ctrlProp4252.xml"/><Relationship Id="rId42" Type="http://schemas.openxmlformats.org/officeDocument/2006/relationships/ctrlProp" Target="../ctrlProps/ctrlProp4260.xml"/><Relationship Id="rId7" Type="http://schemas.openxmlformats.org/officeDocument/2006/relationships/ctrlProp" Target="../ctrlProps/ctrlProp4225.xml"/><Relationship Id="rId2" Type="http://schemas.openxmlformats.org/officeDocument/2006/relationships/drawing" Target="../drawings/drawing103.xml"/><Relationship Id="rId16" Type="http://schemas.openxmlformats.org/officeDocument/2006/relationships/ctrlProp" Target="../ctrlProps/ctrlProp4234.xml"/><Relationship Id="rId20" Type="http://schemas.openxmlformats.org/officeDocument/2006/relationships/ctrlProp" Target="../ctrlProps/ctrlProp4238.xml"/><Relationship Id="rId29" Type="http://schemas.openxmlformats.org/officeDocument/2006/relationships/ctrlProp" Target="../ctrlProps/ctrlProp4247.xml"/><Relationship Id="rId41" Type="http://schemas.openxmlformats.org/officeDocument/2006/relationships/ctrlProp" Target="../ctrlProps/ctrlProp4259.xml"/><Relationship Id="rId1" Type="http://schemas.openxmlformats.org/officeDocument/2006/relationships/printerSettings" Target="../printerSettings/printerSettings104.bin"/><Relationship Id="rId6" Type="http://schemas.openxmlformats.org/officeDocument/2006/relationships/ctrlProp" Target="../ctrlProps/ctrlProp4224.xml"/><Relationship Id="rId11" Type="http://schemas.openxmlformats.org/officeDocument/2006/relationships/ctrlProp" Target="../ctrlProps/ctrlProp4229.xml"/><Relationship Id="rId24" Type="http://schemas.openxmlformats.org/officeDocument/2006/relationships/ctrlProp" Target="../ctrlProps/ctrlProp4242.xml"/><Relationship Id="rId32" Type="http://schemas.openxmlformats.org/officeDocument/2006/relationships/ctrlProp" Target="../ctrlProps/ctrlProp4250.xml"/><Relationship Id="rId37" Type="http://schemas.openxmlformats.org/officeDocument/2006/relationships/ctrlProp" Target="../ctrlProps/ctrlProp4255.xml"/><Relationship Id="rId40" Type="http://schemas.openxmlformats.org/officeDocument/2006/relationships/ctrlProp" Target="../ctrlProps/ctrlProp4258.xml"/><Relationship Id="rId5" Type="http://schemas.openxmlformats.org/officeDocument/2006/relationships/ctrlProp" Target="../ctrlProps/ctrlProp4223.xml"/><Relationship Id="rId15" Type="http://schemas.openxmlformats.org/officeDocument/2006/relationships/ctrlProp" Target="../ctrlProps/ctrlProp4233.xml"/><Relationship Id="rId23" Type="http://schemas.openxmlformats.org/officeDocument/2006/relationships/ctrlProp" Target="../ctrlProps/ctrlProp4241.xml"/><Relationship Id="rId28" Type="http://schemas.openxmlformats.org/officeDocument/2006/relationships/ctrlProp" Target="../ctrlProps/ctrlProp4246.xml"/><Relationship Id="rId36" Type="http://schemas.openxmlformats.org/officeDocument/2006/relationships/ctrlProp" Target="../ctrlProps/ctrlProp4254.xml"/><Relationship Id="rId10" Type="http://schemas.openxmlformats.org/officeDocument/2006/relationships/ctrlProp" Target="../ctrlProps/ctrlProp4228.xml"/><Relationship Id="rId19" Type="http://schemas.openxmlformats.org/officeDocument/2006/relationships/ctrlProp" Target="../ctrlProps/ctrlProp4237.xml"/><Relationship Id="rId31" Type="http://schemas.openxmlformats.org/officeDocument/2006/relationships/ctrlProp" Target="../ctrlProps/ctrlProp4249.xml"/><Relationship Id="rId4" Type="http://schemas.openxmlformats.org/officeDocument/2006/relationships/ctrlProp" Target="../ctrlProps/ctrlProp4222.xml"/><Relationship Id="rId9" Type="http://schemas.openxmlformats.org/officeDocument/2006/relationships/ctrlProp" Target="../ctrlProps/ctrlProp4227.xml"/><Relationship Id="rId14" Type="http://schemas.openxmlformats.org/officeDocument/2006/relationships/ctrlProp" Target="../ctrlProps/ctrlProp4232.xml"/><Relationship Id="rId22" Type="http://schemas.openxmlformats.org/officeDocument/2006/relationships/ctrlProp" Target="../ctrlProps/ctrlProp4240.xml"/><Relationship Id="rId27" Type="http://schemas.openxmlformats.org/officeDocument/2006/relationships/ctrlProp" Target="../ctrlProps/ctrlProp4245.xml"/><Relationship Id="rId30" Type="http://schemas.openxmlformats.org/officeDocument/2006/relationships/ctrlProp" Target="../ctrlProps/ctrlProp4248.xml"/><Relationship Id="rId35" Type="http://schemas.openxmlformats.org/officeDocument/2006/relationships/ctrlProp" Target="../ctrlProps/ctrlProp4253.xml"/><Relationship Id="rId8" Type="http://schemas.openxmlformats.org/officeDocument/2006/relationships/ctrlProp" Target="../ctrlProps/ctrlProp4226.xml"/><Relationship Id="rId3" Type="http://schemas.openxmlformats.org/officeDocument/2006/relationships/vmlDrawing" Target="../drawings/vmlDrawing103.vml"/><Relationship Id="rId12" Type="http://schemas.openxmlformats.org/officeDocument/2006/relationships/ctrlProp" Target="../ctrlProps/ctrlProp4230.xml"/><Relationship Id="rId17" Type="http://schemas.openxmlformats.org/officeDocument/2006/relationships/ctrlProp" Target="../ctrlProps/ctrlProp4235.xml"/><Relationship Id="rId25" Type="http://schemas.openxmlformats.org/officeDocument/2006/relationships/ctrlProp" Target="../ctrlProps/ctrlProp4243.xml"/><Relationship Id="rId33" Type="http://schemas.openxmlformats.org/officeDocument/2006/relationships/ctrlProp" Target="../ctrlProps/ctrlProp4251.xml"/><Relationship Id="rId38" Type="http://schemas.openxmlformats.org/officeDocument/2006/relationships/ctrlProp" Target="../ctrlProps/ctrlProp4256.xml"/></Relationships>
</file>

<file path=xl/worksheets/_rels/sheet107.xml.rels><?xml version="1.0" encoding="UTF-8" standalone="yes"?>
<Relationships xmlns="http://schemas.openxmlformats.org/package/2006/relationships"><Relationship Id="rId13" Type="http://schemas.openxmlformats.org/officeDocument/2006/relationships/ctrlProp" Target="../ctrlProps/ctrlProp4269.xml"/><Relationship Id="rId18" Type="http://schemas.openxmlformats.org/officeDocument/2006/relationships/ctrlProp" Target="../ctrlProps/ctrlProp4274.xml"/><Relationship Id="rId26" Type="http://schemas.openxmlformats.org/officeDocument/2006/relationships/ctrlProp" Target="../ctrlProps/ctrlProp4282.xml"/><Relationship Id="rId39" Type="http://schemas.openxmlformats.org/officeDocument/2006/relationships/ctrlProp" Target="../ctrlProps/ctrlProp4295.xml"/><Relationship Id="rId21" Type="http://schemas.openxmlformats.org/officeDocument/2006/relationships/ctrlProp" Target="../ctrlProps/ctrlProp4277.xml"/><Relationship Id="rId34" Type="http://schemas.openxmlformats.org/officeDocument/2006/relationships/ctrlProp" Target="../ctrlProps/ctrlProp4290.xml"/><Relationship Id="rId42" Type="http://schemas.openxmlformats.org/officeDocument/2006/relationships/ctrlProp" Target="../ctrlProps/ctrlProp4298.xml"/><Relationship Id="rId7" Type="http://schemas.openxmlformats.org/officeDocument/2006/relationships/ctrlProp" Target="../ctrlProps/ctrlProp4263.xml"/><Relationship Id="rId2" Type="http://schemas.openxmlformats.org/officeDocument/2006/relationships/printerSettings" Target="../printerSettings/printerSettings105.bin"/><Relationship Id="rId16" Type="http://schemas.openxmlformats.org/officeDocument/2006/relationships/ctrlProp" Target="../ctrlProps/ctrlProp4272.xml"/><Relationship Id="rId20" Type="http://schemas.openxmlformats.org/officeDocument/2006/relationships/ctrlProp" Target="../ctrlProps/ctrlProp4276.xml"/><Relationship Id="rId29" Type="http://schemas.openxmlformats.org/officeDocument/2006/relationships/ctrlProp" Target="../ctrlProps/ctrlProp4285.xml"/><Relationship Id="rId41" Type="http://schemas.openxmlformats.org/officeDocument/2006/relationships/ctrlProp" Target="../ctrlProps/ctrlProp4297.xml"/><Relationship Id="rId1" Type="http://schemas.openxmlformats.org/officeDocument/2006/relationships/hyperlink" Target="mailto:motson@outlook.com.au" TargetMode="External"/><Relationship Id="rId6" Type="http://schemas.openxmlformats.org/officeDocument/2006/relationships/ctrlProp" Target="../ctrlProps/ctrlProp4262.xml"/><Relationship Id="rId11" Type="http://schemas.openxmlformats.org/officeDocument/2006/relationships/ctrlProp" Target="../ctrlProps/ctrlProp4267.xml"/><Relationship Id="rId24" Type="http://schemas.openxmlformats.org/officeDocument/2006/relationships/ctrlProp" Target="../ctrlProps/ctrlProp4280.xml"/><Relationship Id="rId32" Type="http://schemas.openxmlformats.org/officeDocument/2006/relationships/ctrlProp" Target="../ctrlProps/ctrlProp4288.xml"/><Relationship Id="rId37" Type="http://schemas.openxmlformats.org/officeDocument/2006/relationships/ctrlProp" Target="../ctrlProps/ctrlProp4293.xml"/><Relationship Id="rId40" Type="http://schemas.openxmlformats.org/officeDocument/2006/relationships/ctrlProp" Target="../ctrlProps/ctrlProp4296.xml"/><Relationship Id="rId5" Type="http://schemas.openxmlformats.org/officeDocument/2006/relationships/ctrlProp" Target="../ctrlProps/ctrlProp4261.xml"/><Relationship Id="rId15" Type="http://schemas.openxmlformats.org/officeDocument/2006/relationships/ctrlProp" Target="../ctrlProps/ctrlProp4271.xml"/><Relationship Id="rId23" Type="http://schemas.openxmlformats.org/officeDocument/2006/relationships/ctrlProp" Target="../ctrlProps/ctrlProp4279.xml"/><Relationship Id="rId28" Type="http://schemas.openxmlformats.org/officeDocument/2006/relationships/ctrlProp" Target="../ctrlProps/ctrlProp4284.xml"/><Relationship Id="rId36" Type="http://schemas.openxmlformats.org/officeDocument/2006/relationships/ctrlProp" Target="../ctrlProps/ctrlProp4292.xml"/><Relationship Id="rId10" Type="http://schemas.openxmlformats.org/officeDocument/2006/relationships/ctrlProp" Target="../ctrlProps/ctrlProp4266.xml"/><Relationship Id="rId19" Type="http://schemas.openxmlformats.org/officeDocument/2006/relationships/ctrlProp" Target="../ctrlProps/ctrlProp4275.xml"/><Relationship Id="rId31" Type="http://schemas.openxmlformats.org/officeDocument/2006/relationships/ctrlProp" Target="../ctrlProps/ctrlProp4287.xml"/><Relationship Id="rId44" Type="http://schemas.openxmlformats.org/officeDocument/2006/relationships/ctrlProp" Target="../ctrlProps/ctrlProp4300.xml"/><Relationship Id="rId4" Type="http://schemas.openxmlformats.org/officeDocument/2006/relationships/vmlDrawing" Target="../drawings/vmlDrawing104.vml"/><Relationship Id="rId9" Type="http://schemas.openxmlformats.org/officeDocument/2006/relationships/ctrlProp" Target="../ctrlProps/ctrlProp4265.xml"/><Relationship Id="rId14" Type="http://schemas.openxmlformats.org/officeDocument/2006/relationships/ctrlProp" Target="../ctrlProps/ctrlProp4270.xml"/><Relationship Id="rId22" Type="http://schemas.openxmlformats.org/officeDocument/2006/relationships/ctrlProp" Target="../ctrlProps/ctrlProp4278.xml"/><Relationship Id="rId27" Type="http://schemas.openxmlformats.org/officeDocument/2006/relationships/ctrlProp" Target="../ctrlProps/ctrlProp4283.xml"/><Relationship Id="rId30" Type="http://schemas.openxmlformats.org/officeDocument/2006/relationships/ctrlProp" Target="../ctrlProps/ctrlProp4286.xml"/><Relationship Id="rId35" Type="http://schemas.openxmlformats.org/officeDocument/2006/relationships/ctrlProp" Target="../ctrlProps/ctrlProp4291.xml"/><Relationship Id="rId43" Type="http://schemas.openxmlformats.org/officeDocument/2006/relationships/ctrlProp" Target="../ctrlProps/ctrlProp4299.xml"/><Relationship Id="rId8" Type="http://schemas.openxmlformats.org/officeDocument/2006/relationships/ctrlProp" Target="../ctrlProps/ctrlProp4264.xml"/><Relationship Id="rId3" Type="http://schemas.openxmlformats.org/officeDocument/2006/relationships/drawing" Target="../drawings/drawing104.xml"/><Relationship Id="rId12" Type="http://schemas.openxmlformats.org/officeDocument/2006/relationships/ctrlProp" Target="../ctrlProps/ctrlProp4268.xml"/><Relationship Id="rId17" Type="http://schemas.openxmlformats.org/officeDocument/2006/relationships/ctrlProp" Target="../ctrlProps/ctrlProp4273.xml"/><Relationship Id="rId25" Type="http://schemas.openxmlformats.org/officeDocument/2006/relationships/ctrlProp" Target="../ctrlProps/ctrlProp4281.xml"/><Relationship Id="rId33" Type="http://schemas.openxmlformats.org/officeDocument/2006/relationships/ctrlProp" Target="../ctrlProps/ctrlProp4289.xml"/><Relationship Id="rId38" Type="http://schemas.openxmlformats.org/officeDocument/2006/relationships/ctrlProp" Target="../ctrlProps/ctrlProp4294.xml"/></Relationships>
</file>

<file path=xl/worksheets/_rels/sheet108.xml.rels><?xml version="1.0" encoding="UTF-8" standalone="yes"?>
<Relationships xmlns="http://schemas.openxmlformats.org/package/2006/relationships"><Relationship Id="rId13" Type="http://schemas.openxmlformats.org/officeDocument/2006/relationships/ctrlProp" Target="../ctrlProps/ctrlProp4309.xml"/><Relationship Id="rId18" Type="http://schemas.openxmlformats.org/officeDocument/2006/relationships/ctrlProp" Target="../ctrlProps/ctrlProp4314.xml"/><Relationship Id="rId26" Type="http://schemas.openxmlformats.org/officeDocument/2006/relationships/ctrlProp" Target="../ctrlProps/ctrlProp4322.xml"/><Relationship Id="rId39" Type="http://schemas.openxmlformats.org/officeDocument/2006/relationships/ctrlProp" Target="../ctrlProps/ctrlProp4335.xml"/><Relationship Id="rId21" Type="http://schemas.openxmlformats.org/officeDocument/2006/relationships/ctrlProp" Target="../ctrlProps/ctrlProp4317.xml"/><Relationship Id="rId34" Type="http://schemas.openxmlformats.org/officeDocument/2006/relationships/ctrlProp" Target="../ctrlProps/ctrlProp4330.xml"/><Relationship Id="rId42" Type="http://schemas.openxmlformats.org/officeDocument/2006/relationships/ctrlProp" Target="../ctrlProps/ctrlProp4338.xml"/><Relationship Id="rId47" Type="http://schemas.openxmlformats.org/officeDocument/2006/relationships/ctrlProp" Target="../ctrlProps/ctrlProp4343.xml"/><Relationship Id="rId7" Type="http://schemas.openxmlformats.org/officeDocument/2006/relationships/ctrlProp" Target="../ctrlProps/ctrlProp4303.xml"/><Relationship Id="rId2" Type="http://schemas.openxmlformats.org/officeDocument/2006/relationships/printerSettings" Target="../printerSettings/printerSettings106.bin"/><Relationship Id="rId16" Type="http://schemas.openxmlformats.org/officeDocument/2006/relationships/ctrlProp" Target="../ctrlProps/ctrlProp4312.xml"/><Relationship Id="rId29" Type="http://schemas.openxmlformats.org/officeDocument/2006/relationships/ctrlProp" Target="../ctrlProps/ctrlProp4325.xml"/><Relationship Id="rId1" Type="http://schemas.openxmlformats.org/officeDocument/2006/relationships/hyperlink" Target="mailto:admin@fouremiletrading.com.au" TargetMode="External"/><Relationship Id="rId6" Type="http://schemas.openxmlformats.org/officeDocument/2006/relationships/ctrlProp" Target="../ctrlProps/ctrlProp4302.xml"/><Relationship Id="rId11" Type="http://schemas.openxmlformats.org/officeDocument/2006/relationships/ctrlProp" Target="../ctrlProps/ctrlProp4307.xml"/><Relationship Id="rId24" Type="http://schemas.openxmlformats.org/officeDocument/2006/relationships/ctrlProp" Target="../ctrlProps/ctrlProp4320.xml"/><Relationship Id="rId32" Type="http://schemas.openxmlformats.org/officeDocument/2006/relationships/ctrlProp" Target="../ctrlProps/ctrlProp4328.xml"/><Relationship Id="rId37" Type="http://schemas.openxmlformats.org/officeDocument/2006/relationships/ctrlProp" Target="../ctrlProps/ctrlProp4333.xml"/><Relationship Id="rId40" Type="http://schemas.openxmlformats.org/officeDocument/2006/relationships/ctrlProp" Target="../ctrlProps/ctrlProp4336.xml"/><Relationship Id="rId45" Type="http://schemas.openxmlformats.org/officeDocument/2006/relationships/ctrlProp" Target="../ctrlProps/ctrlProp4341.xml"/><Relationship Id="rId5" Type="http://schemas.openxmlformats.org/officeDocument/2006/relationships/ctrlProp" Target="../ctrlProps/ctrlProp4301.xml"/><Relationship Id="rId15" Type="http://schemas.openxmlformats.org/officeDocument/2006/relationships/ctrlProp" Target="../ctrlProps/ctrlProp4311.xml"/><Relationship Id="rId23" Type="http://schemas.openxmlformats.org/officeDocument/2006/relationships/ctrlProp" Target="../ctrlProps/ctrlProp4319.xml"/><Relationship Id="rId28" Type="http://schemas.openxmlformats.org/officeDocument/2006/relationships/ctrlProp" Target="../ctrlProps/ctrlProp4324.xml"/><Relationship Id="rId36" Type="http://schemas.openxmlformats.org/officeDocument/2006/relationships/ctrlProp" Target="../ctrlProps/ctrlProp4332.xml"/><Relationship Id="rId10" Type="http://schemas.openxmlformats.org/officeDocument/2006/relationships/ctrlProp" Target="../ctrlProps/ctrlProp4306.xml"/><Relationship Id="rId19" Type="http://schemas.openxmlformats.org/officeDocument/2006/relationships/ctrlProp" Target="../ctrlProps/ctrlProp4315.xml"/><Relationship Id="rId31" Type="http://schemas.openxmlformats.org/officeDocument/2006/relationships/ctrlProp" Target="../ctrlProps/ctrlProp4327.xml"/><Relationship Id="rId44" Type="http://schemas.openxmlformats.org/officeDocument/2006/relationships/ctrlProp" Target="../ctrlProps/ctrlProp4340.xml"/><Relationship Id="rId4" Type="http://schemas.openxmlformats.org/officeDocument/2006/relationships/vmlDrawing" Target="../drawings/vmlDrawing105.vml"/><Relationship Id="rId9" Type="http://schemas.openxmlformats.org/officeDocument/2006/relationships/ctrlProp" Target="../ctrlProps/ctrlProp4305.xml"/><Relationship Id="rId14" Type="http://schemas.openxmlformats.org/officeDocument/2006/relationships/ctrlProp" Target="../ctrlProps/ctrlProp4310.xml"/><Relationship Id="rId22" Type="http://schemas.openxmlformats.org/officeDocument/2006/relationships/ctrlProp" Target="../ctrlProps/ctrlProp4318.xml"/><Relationship Id="rId27" Type="http://schemas.openxmlformats.org/officeDocument/2006/relationships/ctrlProp" Target="../ctrlProps/ctrlProp4323.xml"/><Relationship Id="rId30" Type="http://schemas.openxmlformats.org/officeDocument/2006/relationships/ctrlProp" Target="../ctrlProps/ctrlProp4326.xml"/><Relationship Id="rId35" Type="http://schemas.openxmlformats.org/officeDocument/2006/relationships/ctrlProp" Target="../ctrlProps/ctrlProp4331.xml"/><Relationship Id="rId43" Type="http://schemas.openxmlformats.org/officeDocument/2006/relationships/ctrlProp" Target="../ctrlProps/ctrlProp4339.xml"/><Relationship Id="rId8" Type="http://schemas.openxmlformats.org/officeDocument/2006/relationships/ctrlProp" Target="../ctrlProps/ctrlProp4304.xml"/><Relationship Id="rId3" Type="http://schemas.openxmlformats.org/officeDocument/2006/relationships/drawing" Target="../drawings/drawing105.xml"/><Relationship Id="rId12" Type="http://schemas.openxmlformats.org/officeDocument/2006/relationships/ctrlProp" Target="../ctrlProps/ctrlProp4308.xml"/><Relationship Id="rId17" Type="http://schemas.openxmlformats.org/officeDocument/2006/relationships/ctrlProp" Target="../ctrlProps/ctrlProp4313.xml"/><Relationship Id="rId25" Type="http://schemas.openxmlformats.org/officeDocument/2006/relationships/ctrlProp" Target="../ctrlProps/ctrlProp4321.xml"/><Relationship Id="rId33" Type="http://schemas.openxmlformats.org/officeDocument/2006/relationships/ctrlProp" Target="../ctrlProps/ctrlProp4329.xml"/><Relationship Id="rId38" Type="http://schemas.openxmlformats.org/officeDocument/2006/relationships/ctrlProp" Target="../ctrlProps/ctrlProp4334.xml"/><Relationship Id="rId46" Type="http://schemas.openxmlformats.org/officeDocument/2006/relationships/ctrlProp" Target="../ctrlProps/ctrlProp4342.xml"/><Relationship Id="rId20" Type="http://schemas.openxmlformats.org/officeDocument/2006/relationships/ctrlProp" Target="../ctrlProps/ctrlProp4316.xml"/><Relationship Id="rId41" Type="http://schemas.openxmlformats.org/officeDocument/2006/relationships/ctrlProp" Target="../ctrlProps/ctrlProp4337.xml"/></Relationships>
</file>

<file path=xl/worksheets/_rels/sheet109.xml.rels><?xml version="1.0" encoding="UTF-8" standalone="yes"?>
<Relationships xmlns="http://schemas.openxmlformats.org/package/2006/relationships"><Relationship Id="rId13" Type="http://schemas.openxmlformats.org/officeDocument/2006/relationships/ctrlProp" Target="../ctrlProps/ctrlProp4353.xml"/><Relationship Id="rId18" Type="http://schemas.openxmlformats.org/officeDocument/2006/relationships/ctrlProp" Target="../ctrlProps/ctrlProp4358.xml"/><Relationship Id="rId26" Type="http://schemas.openxmlformats.org/officeDocument/2006/relationships/ctrlProp" Target="../ctrlProps/ctrlProp4366.xml"/><Relationship Id="rId39" Type="http://schemas.openxmlformats.org/officeDocument/2006/relationships/ctrlProp" Target="../ctrlProps/ctrlProp4379.xml"/><Relationship Id="rId21" Type="http://schemas.openxmlformats.org/officeDocument/2006/relationships/ctrlProp" Target="../ctrlProps/ctrlProp4361.xml"/><Relationship Id="rId34" Type="http://schemas.openxmlformats.org/officeDocument/2006/relationships/ctrlProp" Target="../ctrlProps/ctrlProp4374.xml"/><Relationship Id="rId7" Type="http://schemas.openxmlformats.org/officeDocument/2006/relationships/ctrlProp" Target="../ctrlProps/ctrlProp4347.xml"/><Relationship Id="rId12" Type="http://schemas.openxmlformats.org/officeDocument/2006/relationships/ctrlProp" Target="../ctrlProps/ctrlProp4352.xml"/><Relationship Id="rId17" Type="http://schemas.openxmlformats.org/officeDocument/2006/relationships/ctrlProp" Target="../ctrlProps/ctrlProp4357.xml"/><Relationship Id="rId25" Type="http://schemas.openxmlformats.org/officeDocument/2006/relationships/ctrlProp" Target="../ctrlProps/ctrlProp4365.xml"/><Relationship Id="rId33" Type="http://schemas.openxmlformats.org/officeDocument/2006/relationships/ctrlProp" Target="../ctrlProps/ctrlProp4373.xml"/><Relationship Id="rId38" Type="http://schemas.openxmlformats.org/officeDocument/2006/relationships/ctrlProp" Target="../ctrlProps/ctrlProp4378.xml"/><Relationship Id="rId2" Type="http://schemas.openxmlformats.org/officeDocument/2006/relationships/drawing" Target="../drawings/drawing106.xml"/><Relationship Id="rId16" Type="http://schemas.openxmlformats.org/officeDocument/2006/relationships/ctrlProp" Target="../ctrlProps/ctrlProp4356.xml"/><Relationship Id="rId20" Type="http://schemas.openxmlformats.org/officeDocument/2006/relationships/ctrlProp" Target="../ctrlProps/ctrlProp4360.xml"/><Relationship Id="rId29" Type="http://schemas.openxmlformats.org/officeDocument/2006/relationships/ctrlProp" Target="../ctrlProps/ctrlProp4369.xml"/><Relationship Id="rId1" Type="http://schemas.openxmlformats.org/officeDocument/2006/relationships/printerSettings" Target="../printerSettings/printerSettings107.bin"/><Relationship Id="rId6" Type="http://schemas.openxmlformats.org/officeDocument/2006/relationships/ctrlProp" Target="../ctrlProps/ctrlProp4346.xml"/><Relationship Id="rId11" Type="http://schemas.openxmlformats.org/officeDocument/2006/relationships/ctrlProp" Target="../ctrlProps/ctrlProp4351.xml"/><Relationship Id="rId24" Type="http://schemas.openxmlformats.org/officeDocument/2006/relationships/ctrlProp" Target="../ctrlProps/ctrlProp4364.xml"/><Relationship Id="rId32" Type="http://schemas.openxmlformats.org/officeDocument/2006/relationships/ctrlProp" Target="../ctrlProps/ctrlProp4372.xml"/><Relationship Id="rId37" Type="http://schemas.openxmlformats.org/officeDocument/2006/relationships/ctrlProp" Target="../ctrlProps/ctrlProp4377.xml"/><Relationship Id="rId40" Type="http://schemas.openxmlformats.org/officeDocument/2006/relationships/ctrlProp" Target="../ctrlProps/ctrlProp4380.xml"/><Relationship Id="rId5" Type="http://schemas.openxmlformats.org/officeDocument/2006/relationships/ctrlProp" Target="../ctrlProps/ctrlProp4345.xml"/><Relationship Id="rId15" Type="http://schemas.openxmlformats.org/officeDocument/2006/relationships/ctrlProp" Target="../ctrlProps/ctrlProp4355.xml"/><Relationship Id="rId23" Type="http://schemas.openxmlformats.org/officeDocument/2006/relationships/ctrlProp" Target="../ctrlProps/ctrlProp4363.xml"/><Relationship Id="rId28" Type="http://schemas.openxmlformats.org/officeDocument/2006/relationships/ctrlProp" Target="../ctrlProps/ctrlProp4368.xml"/><Relationship Id="rId36" Type="http://schemas.openxmlformats.org/officeDocument/2006/relationships/ctrlProp" Target="../ctrlProps/ctrlProp4376.xml"/><Relationship Id="rId10" Type="http://schemas.openxmlformats.org/officeDocument/2006/relationships/ctrlProp" Target="../ctrlProps/ctrlProp4350.xml"/><Relationship Id="rId19" Type="http://schemas.openxmlformats.org/officeDocument/2006/relationships/ctrlProp" Target="../ctrlProps/ctrlProp4359.xml"/><Relationship Id="rId31" Type="http://schemas.openxmlformats.org/officeDocument/2006/relationships/ctrlProp" Target="../ctrlProps/ctrlProp4371.xml"/><Relationship Id="rId4" Type="http://schemas.openxmlformats.org/officeDocument/2006/relationships/ctrlProp" Target="../ctrlProps/ctrlProp4344.xml"/><Relationship Id="rId9" Type="http://schemas.openxmlformats.org/officeDocument/2006/relationships/ctrlProp" Target="../ctrlProps/ctrlProp4349.xml"/><Relationship Id="rId14" Type="http://schemas.openxmlformats.org/officeDocument/2006/relationships/ctrlProp" Target="../ctrlProps/ctrlProp4354.xml"/><Relationship Id="rId22" Type="http://schemas.openxmlformats.org/officeDocument/2006/relationships/ctrlProp" Target="../ctrlProps/ctrlProp4362.xml"/><Relationship Id="rId27" Type="http://schemas.openxmlformats.org/officeDocument/2006/relationships/ctrlProp" Target="../ctrlProps/ctrlProp4367.xml"/><Relationship Id="rId30" Type="http://schemas.openxmlformats.org/officeDocument/2006/relationships/ctrlProp" Target="../ctrlProps/ctrlProp4370.xml"/><Relationship Id="rId35" Type="http://schemas.openxmlformats.org/officeDocument/2006/relationships/ctrlProp" Target="../ctrlProps/ctrlProp4375.xml"/><Relationship Id="rId8" Type="http://schemas.openxmlformats.org/officeDocument/2006/relationships/ctrlProp" Target="../ctrlProps/ctrlProp4348.xml"/><Relationship Id="rId3" Type="http://schemas.openxmlformats.org/officeDocument/2006/relationships/vmlDrawing" Target="../drawings/vmlDrawing106.vml"/></Relationships>
</file>

<file path=xl/worksheets/_rels/sheet110.xml.rels><?xml version="1.0" encoding="UTF-8" standalone="yes"?>
<Relationships xmlns="http://schemas.openxmlformats.org/package/2006/relationships"><Relationship Id="rId13" Type="http://schemas.openxmlformats.org/officeDocument/2006/relationships/ctrlProp" Target="../ctrlProps/ctrlProp4388.xml"/><Relationship Id="rId18" Type="http://schemas.openxmlformats.org/officeDocument/2006/relationships/ctrlProp" Target="../ctrlProps/ctrlProp4393.xml"/><Relationship Id="rId26" Type="http://schemas.openxmlformats.org/officeDocument/2006/relationships/ctrlProp" Target="../ctrlProps/ctrlProp4401.xml"/><Relationship Id="rId39" Type="http://schemas.openxmlformats.org/officeDocument/2006/relationships/ctrlProp" Target="../ctrlProps/ctrlProp4414.xml"/><Relationship Id="rId21" Type="http://schemas.openxmlformats.org/officeDocument/2006/relationships/ctrlProp" Target="../ctrlProps/ctrlProp4396.xml"/><Relationship Id="rId34" Type="http://schemas.openxmlformats.org/officeDocument/2006/relationships/ctrlProp" Target="../ctrlProps/ctrlProp4409.xml"/><Relationship Id="rId42" Type="http://schemas.openxmlformats.org/officeDocument/2006/relationships/ctrlProp" Target="../ctrlProps/ctrlProp4417.xml"/><Relationship Id="rId7" Type="http://schemas.openxmlformats.org/officeDocument/2006/relationships/ctrlProp" Target="../ctrlProps/ctrlProp4382.xml"/><Relationship Id="rId2" Type="http://schemas.openxmlformats.org/officeDocument/2006/relationships/hyperlink" Target="mailto:dev.eng@mornpen.vic.gov.au" TargetMode="External"/><Relationship Id="rId16" Type="http://schemas.openxmlformats.org/officeDocument/2006/relationships/ctrlProp" Target="../ctrlProps/ctrlProp4391.xml"/><Relationship Id="rId20" Type="http://schemas.openxmlformats.org/officeDocument/2006/relationships/ctrlProp" Target="../ctrlProps/ctrlProp4395.xml"/><Relationship Id="rId29" Type="http://schemas.openxmlformats.org/officeDocument/2006/relationships/ctrlProp" Target="../ctrlProps/ctrlProp4404.xml"/><Relationship Id="rId41" Type="http://schemas.openxmlformats.org/officeDocument/2006/relationships/ctrlProp" Target="../ctrlProps/ctrlProp4416.xml"/><Relationship Id="rId1" Type="http://schemas.openxmlformats.org/officeDocument/2006/relationships/hyperlink" Target="mailto:melrays1967@gmail.com" TargetMode="External"/><Relationship Id="rId6" Type="http://schemas.openxmlformats.org/officeDocument/2006/relationships/ctrlProp" Target="../ctrlProps/ctrlProp4381.xml"/><Relationship Id="rId11" Type="http://schemas.openxmlformats.org/officeDocument/2006/relationships/ctrlProp" Target="../ctrlProps/ctrlProp4386.xml"/><Relationship Id="rId24" Type="http://schemas.openxmlformats.org/officeDocument/2006/relationships/ctrlProp" Target="../ctrlProps/ctrlProp4399.xml"/><Relationship Id="rId32" Type="http://schemas.openxmlformats.org/officeDocument/2006/relationships/ctrlProp" Target="../ctrlProps/ctrlProp4407.xml"/><Relationship Id="rId37" Type="http://schemas.openxmlformats.org/officeDocument/2006/relationships/ctrlProp" Target="../ctrlProps/ctrlProp4412.xml"/><Relationship Id="rId40" Type="http://schemas.openxmlformats.org/officeDocument/2006/relationships/ctrlProp" Target="../ctrlProps/ctrlProp4415.xml"/><Relationship Id="rId5" Type="http://schemas.openxmlformats.org/officeDocument/2006/relationships/vmlDrawing" Target="../drawings/vmlDrawing107.vml"/><Relationship Id="rId15" Type="http://schemas.openxmlformats.org/officeDocument/2006/relationships/ctrlProp" Target="../ctrlProps/ctrlProp4390.xml"/><Relationship Id="rId23" Type="http://schemas.openxmlformats.org/officeDocument/2006/relationships/ctrlProp" Target="../ctrlProps/ctrlProp4398.xml"/><Relationship Id="rId28" Type="http://schemas.openxmlformats.org/officeDocument/2006/relationships/ctrlProp" Target="../ctrlProps/ctrlProp4403.xml"/><Relationship Id="rId36" Type="http://schemas.openxmlformats.org/officeDocument/2006/relationships/ctrlProp" Target="../ctrlProps/ctrlProp4411.xml"/><Relationship Id="rId10" Type="http://schemas.openxmlformats.org/officeDocument/2006/relationships/ctrlProp" Target="../ctrlProps/ctrlProp4385.xml"/><Relationship Id="rId19" Type="http://schemas.openxmlformats.org/officeDocument/2006/relationships/ctrlProp" Target="../ctrlProps/ctrlProp4394.xml"/><Relationship Id="rId31" Type="http://schemas.openxmlformats.org/officeDocument/2006/relationships/ctrlProp" Target="../ctrlProps/ctrlProp4406.xml"/><Relationship Id="rId4" Type="http://schemas.openxmlformats.org/officeDocument/2006/relationships/drawing" Target="../drawings/drawing107.xml"/><Relationship Id="rId9" Type="http://schemas.openxmlformats.org/officeDocument/2006/relationships/ctrlProp" Target="../ctrlProps/ctrlProp4384.xml"/><Relationship Id="rId14" Type="http://schemas.openxmlformats.org/officeDocument/2006/relationships/ctrlProp" Target="../ctrlProps/ctrlProp4389.xml"/><Relationship Id="rId22" Type="http://schemas.openxmlformats.org/officeDocument/2006/relationships/ctrlProp" Target="../ctrlProps/ctrlProp4397.xml"/><Relationship Id="rId27" Type="http://schemas.openxmlformats.org/officeDocument/2006/relationships/ctrlProp" Target="../ctrlProps/ctrlProp4402.xml"/><Relationship Id="rId30" Type="http://schemas.openxmlformats.org/officeDocument/2006/relationships/ctrlProp" Target="../ctrlProps/ctrlProp4405.xml"/><Relationship Id="rId35" Type="http://schemas.openxmlformats.org/officeDocument/2006/relationships/ctrlProp" Target="../ctrlProps/ctrlProp4410.xml"/><Relationship Id="rId8" Type="http://schemas.openxmlformats.org/officeDocument/2006/relationships/ctrlProp" Target="../ctrlProps/ctrlProp4383.xml"/><Relationship Id="rId3" Type="http://schemas.openxmlformats.org/officeDocument/2006/relationships/printerSettings" Target="../printerSettings/printerSettings108.bin"/><Relationship Id="rId12" Type="http://schemas.openxmlformats.org/officeDocument/2006/relationships/ctrlProp" Target="../ctrlProps/ctrlProp4387.xml"/><Relationship Id="rId17" Type="http://schemas.openxmlformats.org/officeDocument/2006/relationships/ctrlProp" Target="../ctrlProps/ctrlProp4392.xml"/><Relationship Id="rId25" Type="http://schemas.openxmlformats.org/officeDocument/2006/relationships/ctrlProp" Target="../ctrlProps/ctrlProp4400.xml"/><Relationship Id="rId33" Type="http://schemas.openxmlformats.org/officeDocument/2006/relationships/ctrlProp" Target="../ctrlProps/ctrlProp4408.xml"/><Relationship Id="rId38" Type="http://schemas.openxmlformats.org/officeDocument/2006/relationships/ctrlProp" Target="../ctrlProps/ctrlProp4413.xml"/></Relationships>
</file>

<file path=xl/worksheets/_rels/sheet111.xml.rels><?xml version="1.0" encoding="UTF-8" standalone="yes"?>
<Relationships xmlns="http://schemas.openxmlformats.org/package/2006/relationships"><Relationship Id="rId13" Type="http://schemas.openxmlformats.org/officeDocument/2006/relationships/ctrlProp" Target="../ctrlProps/ctrlProp4426.xml"/><Relationship Id="rId18" Type="http://schemas.openxmlformats.org/officeDocument/2006/relationships/ctrlProp" Target="../ctrlProps/ctrlProp4431.xml"/><Relationship Id="rId26" Type="http://schemas.openxmlformats.org/officeDocument/2006/relationships/ctrlProp" Target="../ctrlProps/ctrlProp4439.xml"/><Relationship Id="rId39" Type="http://schemas.openxmlformats.org/officeDocument/2006/relationships/ctrlProp" Target="../ctrlProps/ctrlProp4452.xml"/><Relationship Id="rId21" Type="http://schemas.openxmlformats.org/officeDocument/2006/relationships/ctrlProp" Target="../ctrlProps/ctrlProp4434.xml"/><Relationship Id="rId34" Type="http://schemas.openxmlformats.org/officeDocument/2006/relationships/ctrlProp" Target="../ctrlProps/ctrlProp4447.xml"/><Relationship Id="rId42" Type="http://schemas.openxmlformats.org/officeDocument/2006/relationships/ctrlProp" Target="../ctrlProps/ctrlProp4455.xml"/><Relationship Id="rId7" Type="http://schemas.openxmlformats.org/officeDocument/2006/relationships/ctrlProp" Target="../ctrlProps/ctrlProp4420.xml"/><Relationship Id="rId2" Type="http://schemas.openxmlformats.org/officeDocument/2006/relationships/printerSettings" Target="../printerSettings/printerSettings109.bin"/><Relationship Id="rId16" Type="http://schemas.openxmlformats.org/officeDocument/2006/relationships/ctrlProp" Target="../ctrlProps/ctrlProp4429.xml"/><Relationship Id="rId20" Type="http://schemas.openxmlformats.org/officeDocument/2006/relationships/ctrlProp" Target="../ctrlProps/ctrlProp4433.xml"/><Relationship Id="rId29" Type="http://schemas.openxmlformats.org/officeDocument/2006/relationships/ctrlProp" Target="../ctrlProps/ctrlProp4442.xml"/><Relationship Id="rId41" Type="http://schemas.openxmlformats.org/officeDocument/2006/relationships/ctrlProp" Target="../ctrlProps/ctrlProp4454.xml"/><Relationship Id="rId1" Type="http://schemas.openxmlformats.org/officeDocument/2006/relationships/hyperlink" Target="mailto:hayds87@live.com" TargetMode="External"/><Relationship Id="rId6" Type="http://schemas.openxmlformats.org/officeDocument/2006/relationships/ctrlProp" Target="../ctrlProps/ctrlProp4419.xml"/><Relationship Id="rId11" Type="http://schemas.openxmlformats.org/officeDocument/2006/relationships/ctrlProp" Target="../ctrlProps/ctrlProp4424.xml"/><Relationship Id="rId24" Type="http://schemas.openxmlformats.org/officeDocument/2006/relationships/ctrlProp" Target="../ctrlProps/ctrlProp4437.xml"/><Relationship Id="rId32" Type="http://schemas.openxmlformats.org/officeDocument/2006/relationships/ctrlProp" Target="../ctrlProps/ctrlProp4445.xml"/><Relationship Id="rId37" Type="http://schemas.openxmlformats.org/officeDocument/2006/relationships/ctrlProp" Target="../ctrlProps/ctrlProp4450.xml"/><Relationship Id="rId40" Type="http://schemas.openxmlformats.org/officeDocument/2006/relationships/ctrlProp" Target="../ctrlProps/ctrlProp4453.xml"/><Relationship Id="rId5" Type="http://schemas.openxmlformats.org/officeDocument/2006/relationships/ctrlProp" Target="../ctrlProps/ctrlProp4418.xml"/><Relationship Id="rId15" Type="http://schemas.openxmlformats.org/officeDocument/2006/relationships/ctrlProp" Target="../ctrlProps/ctrlProp4428.xml"/><Relationship Id="rId23" Type="http://schemas.openxmlformats.org/officeDocument/2006/relationships/ctrlProp" Target="../ctrlProps/ctrlProp4436.xml"/><Relationship Id="rId28" Type="http://schemas.openxmlformats.org/officeDocument/2006/relationships/ctrlProp" Target="../ctrlProps/ctrlProp4441.xml"/><Relationship Id="rId36" Type="http://schemas.openxmlformats.org/officeDocument/2006/relationships/ctrlProp" Target="../ctrlProps/ctrlProp4449.xml"/><Relationship Id="rId10" Type="http://schemas.openxmlformats.org/officeDocument/2006/relationships/ctrlProp" Target="../ctrlProps/ctrlProp4423.xml"/><Relationship Id="rId19" Type="http://schemas.openxmlformats.org/officeDocument/2006/relationships/ctrlProp" Target="../ctrlProps/ctrlProp4432.xml"/><Relationship Id="rId31" Type="http://schemas.openxmlformats.org/officeDocument/2006/relationships/ctrlProp" Target="../ctrlProps/ctrlProp4444.xml"/><Relationship Id="rId4" Type="http://schemas.openxmlformats.org/officeDocument/2006/relationships/vmlDrawing" Target="../drawings/vmlDrawing108.vml"/><Relationship Id="rId9" Type="http://schemas.openxmlformats.org/officeDocument/2006/relationships/ctrlProp" Target="../ctrlProps/ctrlProp4422.xml"/><Relationship Id="rId14" Type="http://schemas.openxmlformats.org/officeDocument/2006/relationships/ctrlProp" Target="../ctrlProps/ctrlProp4427.xml"/><Relationship Id="rId22" Type="http://schemas.openxmlformats.org/officeDocument/2006/relationships/ctrlProp" Target="../ctrlProps/ctrlProp4435.xml"/><Relationship Id="rId27" Type="http://schemas.openxmlformats.org/officeDocument/2006/relationships/ctrlProp" Target="../ctrlProps/ctrlProp4440.xml"/><Relationship Id="rId30" Type="http://schemas.openxmlformats.org/officeDocument/2006/relationships/ctrlProp" Target="../ctrlProps/ctrlProp4443.xml"/><Relationship Id="rId35" Type="http://schemas.openxmlformats.org/officeDocument/2006/relationships/ctrlProp" Target="../ctrlProps/ctrlProp4448.xml"/><Relationship Id="rId43" Type="http://schemas.openxmlformats.org/officeDocument/2006/relationships/ctrlProp" Target="../ctrlProps/ctrlProp4456.xml"/><Relationship Id="rId8" Type="http://schemas.openxmlformats.org/officeDocument/2006/relationships/ctrlProp" Target="../ctrlProps/ctrlProp4421.xml"/><Relationship Id="rId3" Type="http://schemas.openxmlformats.org/officeDocument/2006/relationships/drawing" Target="../drawings/drawing108.xml"/><Relationship Id="rId12" Type="http://schemas.openxmlformats.org/officeDocument/2006/relationships/ctrlProp" Target="../ctrlProps/ctrlProp4425.xml"/><Relationship Id="rId17" Type="http://schemas.openxmlformats.org/officeDocument/2006/relationships/ctrlProp" Target="../ctrlProps/ctrlProp4430.xml"/><Relationship Id="rId25" Type="http://schemas.openxmlformats.org/officeDocument/2006/relationships/ctrlProp" Target="../ctrlProps/ctrlProp4438.xml"/><Relationship Id="rId33" Type="http://schemas.openxmlformats.org/officeDocument/2006/relationships/ctrlProp" Target="../ctrlProps/ctrlProp4446.xml"/><Relationship Id="rId38" Type="http://schemas.openxmlformats.org/officeDocument/2006/relationships/ctrlProp" Target="../ctrlProps/ctrlProp4451.xml"/></Relationships>
</file>

<file path=xl/worksheets/_rels/sheet112.xml.rels><?xml version="1.0" encoding="UTF-8" standalone="yes"?>
<Relationships xmlns="http://schemas.openxmlformats.org/package/2006/relationships"><Relationship Id="rId13" Type="http://schemas.openxmlformats.org/officeDocument/2006/relationships/ctrlProp" Target="../ctrlProps/ctrlProp4465.xml"/><Relationship Id="rId18" Type="http://schemas.openxmlformats.org/officeDocument/2006/relationships/ctrlProp" Target="../ctrlProps/ctrlProp4470.xml"/><Relationship Id="rId26" Type="http://schemas.openxmlformats.org/officeDocument/2006/relationships/ctrlProp" Target="../ctrlProps/ctrlProp4478.xml"/><Relationship Id="rId39" Type="http://schemas.openxmlformats.org/officeDocument/2006/relationships/ctrlProp" Target="../ctrlProps/ctrlProp4491.xml"/><Relationship Id="rId21" Type="http://schemas.openxmlformats.org/officeDocument/2006/relationships/ctrlProp" Target="../ctrlProps/ctrlProp4473.xml"/><Relationship Id="rId34" Type="http://schemas.openxmlformats.org/officeDocument/2006/relationships/ctrlProp" Target="../ctrlProps/ctrlProp4486.xml"/><Relationship Id="rId42" Type="http://schemas.openxmlformats.org/officeDocument/2006/relationships/ctrlProp" Target="../ctrlProps/ctrlProp4494.xml"/><Relationship Id="rId7" Type="http://schemas.openxmlformats.org/officeDocument/2006/relationships/ctrlProp" Target="../ctrlProps/ctrlProp4459.xml"/><Relationship Id="rId2" Type="http://schemas.openxmlformats.org/officeDocument/2006/relationships/printerSettings" Target="../printerSettings/printerSettings110.bin"/><Relationship Id="rId16" Type="http://schemas.openxmlformats.org/officeDocument/2006/relationships/ctrlProp" Target="../ctrlProps/ctrlProp4468.xml"/><Relationship Id="rId20" Type="http://schemas.openxmlformats.org/officeDocument/2006/relationships/ctrlProp" Target="../ctrlProps/ctrlProp4472.xml"/><Relationship Id="rId29" Type="http://schemas.openxmlformats.org/officeDocument/2006/relationships/ctrlProp" Target="../ctrlProps/ctrlProp4481.xml"/><Relationship Id="rId41" Type="http://schemas.openxmlformats.org/officeDocument/2006/relationships/ctrlProp" Target="../ctrlProps/ctrlProp4493.xml"/><Relationship Id="rId1" Type="http://schemas.openxmlformats.org/officeDocument/2006/relationships/hyperlink" Target="mailto:leemorgan75@outlook.com" TargetMode="External"/><Relationship Id="rId6" Type="http://schemas.openxmlformats.org/officeDocument/2006/relationships/ctrlProp" Target="../ctrlProps/ctrlProp4458.xml"/><Relationship Id="rId11" Type="http://schemas.openxmlformats.org/officeDocument/2006/relationships/ctrlProp" Target="../ctrlProps/ctrlProp4463.xml"/><Relationship Id="rId24" Type="http://schemas.openxmlformats.org/officeDocument/2006/relationships/ctrlProp" Target="../ctrlProps/ctrlProp4476.xml"/><Relationship Id="rId32" Type="http://schemas.openxmlformats.org/officeDocument/2006/relationships/ctrlProp" Target="../ctrlProps/ctrlProp4484.xml"/><Relationship Id="rId37" Type="http://schemas.openxmlformats.org/officeDocument/2006/relationships/ctrlProp" Target="../ctrlProps/ctrlProp4489.xml"/><Relationship Id="rId40" Type="http://schemas.openxmlformats.org/officeDocument/2006/relationships/ctrlProp" Target="../ctrlProps/ctrlProp4492.xml"/><Relationship Id="rId5" Type="http://schemas.openxmlformats.org/officeDocument/2006/relationships/ctrlProp" Target="../ctrlProps/ctrlProp4457.xml"/><Relationship Id="rId15" Type="http://schemas.openxmlformats.org/officeDocument/2006/relationships/ctrlProp" Target="../ctrlProps/ctrlProp4467.xml"/><Relationship Id="rId23" Type="http://schemas.openxmlformats.org/officeDocument/2006/relationships/ctrlProp" Target="../ctrlProps/ctrlProp4475.xml"/><Relationship Id="rId28" Type="http://schemas.openxmlformats.org/officeDocument/2006/relationships/ctrlProp" Target="../ctrlProps/ctrlProp4480.xml"/><Relationship Id="rId36" Type="http://schemas.openxmlformats.org/officeDocument/2006/relationships/ctrlProp" Target="../ctrlProps/ctrlProp4488.xml"/><Relationship Id="rId10" Type="http://schemas.openxmlformats.org/officeDocument/2006/relationships/ctrlProp" Target="../ctrlProps/ctrlProp4462.xml"/><Relationship Id="rId19" Type="http://schemas.openxmlformats.org/officeDocument/2006/relationships/ctrlProp" Target="../ctrlProps/ctrlProp4471.xml"/><Relationship Id="rId31" Type="http://schemas.openxmlformats.org/officeDocument/2006/relationships/ctrlProp" Target="../ctrlProps/ctrlProp4483.xml"/><Relationship Id="rId44" Type="http://schemas.openxmlformats.org/officeDocument/2006/relationships/ctrlProp" Target="../ctrlProps/ctrlProp4496.xml"/><Relationship Id="rId4" Type="http://schemas.openxmlformats.org/officeDocument/2006/relationships/vmlDrawing" Target="../drawings/vmlDrawing109.vml"/><Relationship Id="rId9" Type="http://schemas.openxmlformats.org/officeDocument/2006/relationships/ctrlProp" Target="../ctrlProps/ctrlProp4461.xml"/><Relationship Id="rId14" Type="http://schemas.openxmlformats.org/officeDocument/2006/relationships/ctrlProp" Target="../ctrlProps/ctrlProp4466.xml"/><Relationship Id="rId22" Type="http://schemas.openxmlformats.org/officeDocument/2006/relationships/ctrlProp" Target="../ctrlProps/ctrlProp4474.xml"/><Relationship Id="rId27" Type="http://schemas.openxmlformats.org/officeDocument/2006/relationships/ctrlProp" Target="../ctrlProps/ctrlProp4479.xml"/><Relationship Id="rId30" Type="http://schemas.openxmlformats.org/officeDocument/2006/relationships/ctrlProp" Target="../ctrlProps/ctrlProp4482.xml"/><Relationship Id="rId35" Type="http://schemas.openxmlformats.org/officeDocument/2006/relationships/ctrlProp" Target="../ctrlProps/ctrlProp4487.xml"/><Relationship Id="rId43" Type="http://schemas.openxmlformats.org/officeDocument/2006/relationships/ctrlProp" Target="../ctrlProps/ctrlProp4495.xml"/><Relationship Id="rId8" Type="http://schemas.openxmlformats.org/officeDocument/2006/relationships/ctrlProp" Target="../ctrlProps/ctrlProp4460.xml"/><Relationship Id="rId3" Type="http://schemas.openxmlformats.org/officeDocument/2006/relationships/drawing" Target="../drawings/drawing109.xml"/><Relationship Id="rId12" Type="http://schemas.openxmlformats.org/officeDocument/2006/relationships/ctrlProp" Target="../ctrlProps/ctrlProp4464.xml"/><Relationship Id="rId17" Type="http://schemas.openxmlformats.org/officeDocument/2006/relationships/ctrlProp" Target="../ctrlProps/ctrlProp4469.xml"/><Relationship Id="rId25" Type="http://schemas.openxmlformats.org/officeDocument/2006/relationships/ctrlProp" Target="../ctrlProps/ctrlProp4477.xml"/><Relationship Id="rId33" Type="http://schemas.openxmlformats.org/officeDocument/2006/relationships/ctrlProp" Target="../ctrlProps/ctrlProp4485.xml"/><Relationship Id="rId38" Type="http://schemas.openxmlformats.org/officeDocument/2006/relationships/ctrlProp" Target="../ctrlProps/ctrlProp4490.xml"/></Relationships>
</file>

<file path=xl/worksheets/_rels/sheet113.xml.rels><?xml version="1.0" encoding="UTF-8" standalone="yes"?>
<Relationships xmlns="http://schemas.openxmlformats.org/package/2006/relationships"><Relationship Id="rId13" Type="http://schemas.openxmlformats.org/officeDocument/2006/relationships/ctrlProp" Target="../ctrlProps/ctrlProp4505.xml"/><Relationship Id="rId18" Type="http://schemas.openxmlformats.org/officeDocument/2006/relationships/ctrlProp" Target="../ctrlProps/ctrlProp4510.xml"/><Relationship Id="rId26" Type="http://schemas.openxmlformats.org/officeDocument/2006/relationships/ctrlProp" Target="../ctrlProps/ctrlProp4518.xml"/><Relationship Id="rId39" Type="http://schemas.openxmlformats.org/officeDocument/2006/relationships/ctrlProp" Target="../ctrlProps/ctrlProp4531.xml"/><Relationship Id="rId21" Type="http://schemas.openxmlformats.org/officeDocument/2006/relationships/ctrlProp" Target="../ctrlProps/ctrlProp4513.xml"/><Relationship Id="rId34" Type="http://schemas.openxmlformats.org/officeDocument/2006/relationships/ctrlProp" Target="../ctrlProps/ctrlProp4526.xml"/><Relationship Id="rId7" Type="http://schemas.openxmlformats.org/officeDocument/2006/relationships/ctrlProp" Target="../ctrlProps/ctrlProp4499.xml"/><Relationship Id="rId2" Type="http://schemas.openxmlformats.org/officeDocument/2006/relationships/printerSettings" Target="../printerSettings/printerSettings111.bin"/><Relationship Id="rId16" Type="http://schemas.openxmlformats.org/officeDocument/2006/relationships/ctrlProp" Target="../ctrlProps/ctrlProp4508.xml"/><Relationship Id="rId20" Type="http://schemas.openxmlformats.org/officeDocument/2006/relationships/ctrlProp" Target="../ctrlProps/ctrlProp4512.xml"/><Relationship Id="rId29" Type="http://schemas.openxmlformats.org/officeDocument/2006/relationships/ctrlProp" Target="../ctrlProps/ctrlProp4521.xml"/><Relationship Id="rId41" Type="http://schemas.openxmlformats.org/officeDocument/2006/relationships/ctrlProp" Target="../ctrlProps/ctrlProp4533.xml"/><Relationship Id="rId1" Type="http://schemas.openxmlformats.org/officeDocument/2006/relationships/hyperlink" Target="mailto:kevingolden204@yahoo.com" TargetMode="External"/><Relationship Id="rId6" Type="http://schemas.openxmlformats.org/officeDocument/2006/relationships/ctrlProp" Target="../ctrlProps/ctrlProp4498.xml"/><Relationship Id="rId11" Type="http://schemas.openxmlformats.org/officeDocument/2006/relationships/ctrlProp" Target="../ctrlProps/ctrlProp4503.xml"/><Relationship Id="rId24" Type="http://schemas.openxmlformats.org/officeDocument/2006/relationships/ctrlProp" Target="../ctrlProps/ctrlProp4516.xml"/><Relationship Id="rId32" Type="http://schemas.openxmlformats.org/officeDocument/2006/relationships/ctrlProp" Target="../ctrlProps/ctrlProp4524.xml"/><Relationship Id="rId37" Type="http://schemas.openxmlformats.org/officeDocument/2006/relationships/ctrlProp" Target="../ctrlProps/ctrlProp4529.xml"/><Relationship Id="rId40" Type="http://schemas.openxmlformats.org/officeDocument/2006/relationships/ctrlProp" Target="../ctrlProps/ctrlProp4532.xml"/><Relationship Id="rId5" Type="http://schemas.openxmlformats.org/officeDocument/2006/relationships/ctrlProp" Target="../ctrlProps/ctrlProp4497.xml"/><Relationship Id="rId15" Type="http://schemas.openxmlformats.org/officeDocument/2006/relationships/ctrlProp" Target="../ctrlProps/ctrlProp4507.xml"/><Relationship Id="rId23" Type="http://schemas.openxmlformats.org/officeDocument/2006/relationships/ctrlProp" Target="../ctrlProps/ctrlProp4515.xml"/><Relationship Id="rId28" Type="http://schemas.openxmlformats.org/officeDocument/2006/relationships/ctrlProp" Target="../ctrlProps/ctrlProp4520.xml"/><Relationship Id="rId36" Type="http://schemas.openxmlformats.org/officeDocument/2006/relationships/ctrlProp" Target="../ctrlProps/ctrlProp4528.xml"/><Relationship Id="rId10" Type="http://schemas.openxmlformats.org/officeDocument/2006/relationships/ctrlProp" Target="../ctrlProps/ctrlProp4502.xml"/><Relationship Id="rId19" Type="http://schemas.openxmlformats.org/officeDocument/2006/relationships/ctrlProp" Target="../ctrlProps/ctrlProp4511.xml"/><Relationship Id="rId31" Type="http://schemas.openxmlformats.org/officeDocument/2006/relationships/ctrlProp" Target="../ctrlProps/ctrlProp4523.xml"/><Relationship Id="rId4" Type="http://schemas.openxmlformats.org/officeDocument/2006/relationships/vmlDrawing" Target="../drawings/vmlDrawing110.vml"/><Relationship Id="rId9" Type="http://schemas.openxmlformats.org/officeDocument/2006/relationships/ctrlProp" Target="../ctrlProps/ctrlProp4501.xml"/><Relationship Id="rId14" Type="http://schemas.openxmlformats.org/officeDocument/2006/relationships/ctrlProp" Target="../ctrlProps/ctrlProp4506.xml"/><Relationship Id="rId22" Type="http://schemas.openxmlformats.org/officeDocument/2006/relationships/ctrlProp" Target="../ctrlProps/ctrlProp4514.xml"/><Relationship Id="rId27" Type="http://schemas.openxmlformats.org/officeDocument/2006/relationships/ctrlProp" Target="../ctrlProps/ctrlProp4519.xml"/><Relationship Id="rId30" Type="http://schemas.openxmlformats.org/officeDocument/2006/relationships/ctrlProp" Target="../ctrlProps/ctrlProp4522.xml"/><Relationship Id="rId35" Type="http://schemas.openxmlformats.org/officeDocument/2006/relationships/ctrlProp" Target="../ctrlProps/ctrlProp4527.xml"/><Relationship Id="rId8" Type="http://schemas.openxmlformats.org/officeDocument/2006/relationships/ctrlProp" Target="../ctrlProps/ctrlProp4500.xml"/><Relationship Id="rId3" Type="http://schemas.openxmlformats.org/officeDocument/2006/relationships/drawing" Target="../drawings/drawing110.xml"/><Relationship Id="rId12" Type="http://schemas.openxmlformats.org/officeDocument/2006/relationships/ctrlProp" Target="../ctrlProps/ctrlProp4504.xml"/><Relationship Id="rId17" Type="http://schemas.openxmlformats.org/officeDocument/2006/relationships/ctrlProp" Target="../ctrlProps/ctrlProp4509.xml"/><Relationship Id="rId25" Type="http://schemas.openxmlformats.org/officeDocument/2006/relationships/ctrlProp" Target="../ctrlProps/ctrlProp4517.xml"/><Relationship Id="rId33" Type="http://schemas.openxmlformats.org/officeDocument/2006/relationships/ctrlProp" Target="../ctrlProps/ctrlProp4525.xml"/><Relationship Id="rId38" Type="http://schemas.openxmlformats.org/officeDocument/2006/relationships/ctrlProp" Target="../ctrlProps/ctrlProp4530.xml"/></Relationships>
</file>

<file path=xl/worksheets/_rels/sheet114.xml.rels><?xml version="1.0" encoding="UTF-8" standalone="yes"?>
<Relationships xmlns="http://schemas.openxmlformats.org/package/2006/relationships"><Relationship Id="rId13" Type="http://schemas.openxmlformats.org/officeDocument/2006/relationships/ctrlProp" Target="../ctrlProps/ctrlProp4542.xml"/><Relationship Id="rId18" Type="http://schemas.openxmlformats.org/officeDocument/2006/relationships/ctrlProp" Target="../ctrlProps/ctrlProp4547.xml"/><Relationship Id="rId26" Type="http://schemas.openxmlformats.org/officeDocument/2006/relationships/ctrlProp" Target="../ctrlProps/ctrlProp4555.xml"/><Relationship Id="rId39" Type="http://schemas.openxmlformats.org/officeDocument/2006/relationships/ctrlProp" Target="../ctrlProps/ctrlProp4568.xml"/><Relationship Id="rId21" Type="http://schemas.openxmlformats.org/officeDocument/2006/relationships/ctrlProp" Target="../ctrlProps/ctrlProp4550.xml"/><Relationship Id="rId34" Type="http://schemas.openxmlformats.org/officeDocument/2006/relationships/ctrlProp" Target="../ctrlProps/ctrlProp4563.xml"/><Relationship Id="rId7" Type="http://schemas.openxmlformats.org/officeDocument/2006/relationships/ctrlProp" Target="../ctrlProps/ctrlProp4536.xml"/><Relationship Id="rId2" Type="http://schemas.openxmlformats.org/officeDocument/2006/relationships/printerSettings" Target="../printerSettings/printerSettings112.bin"/><Relationship Id="rId16" Type="http://schemas.openxmlformats.org/officeDocument/2006/relationships/ctrlProp" Target="../ctrlProps/ctrlProp4545.xml"/><Relationship Id="rId20" Type="http://schemas.openxmlformats.org/officeDocument/2006/relationships/ctrlProp" Target="../ctrlProps/ctrlProp4549.xml"/><Relationship Id="rId29" Type="http://schemas.openxmlformats.org/officeDocument/2006/relationships/ctrlProp" Target="../ctrlProps/ctrlProp4558.xml"/><Relationship Id="rId41" Type="http://schemas.openxmlformats.org/officeDocument/2006/relationships/ctrlProp" Target="../ctrlProps/ctrlProp4570.xml"/><Relationship Id="rId1" Type="http://schemas.openxmlformats.org/officeDocument/2006/relationships/hyperlink" Target="mailto:tony_vandehoef@hotmail.com" TargetMode="External"/><Relationship Id="rId6" Type="http://schemas.openxmlformats.org/officeDocument/2006/relationships/ctrlProp" Target="../ctrlProps/ctrlProp4535.xml"/><Relationship Id="rId11" Type="http://schemas.openxmlformats.org/officeDocument/2006/relationships/ctrlProp" Target="../ctrlProps/ctrlProp4540.xml"/><Relationship Id="rId24" Type="http://schemas.openxmlformats.org/officeDocument/2006/relationships/ctrlProp" Target="../ctrlProps/ctrlProp4553.xml"/><Relationship Id="rId32" Type="http://schemas.openxmlformats.org/officeDocument/2006/relationships/ctrlProp" Target="../ctrlProps/ctrlProp4561.xml"/><Relationship Id="rId37" Type="http://schemas.openxmlformats.org/officeDocument/2006/relationships/ctrlProp" Target="../ctrlProps/ctrlProp4566.xml"/><Relationship Id="rId40" Type="http://schemas.openxmlformats.org/officeDocument/2006/relationships/ctrlProp" Target="../ctrlProps/ctrlProp4569.xml"/><Relationship Id="rId5" Type="http://schemas.openxmlformats.org/officeDocument/2006/relationships/ctrlProp" Target="../ctrlProps/ctrlProp4534.xml"/><Relationship Id="rId15" Type="http://schemas.openxmlformats.org/officeDocument/2006/relationships/ctrlProp" Target="../ctrlProps/ctrlProp4544.xml"/><Relationship Id="rId23" Type="http://schemas.openxmlformats.org/officeDocument/2006/relationships/ctrlProp" Target="../ctrlProps/ctrlProp4552.xml"/><Relationship Id="rId28" Type="http://schemas.openxmlformats.org/officeDocument/2006/relationships/ctrlProp" Target="../ctrlProps/ctrlProp4557.xml"/><Relationship Id="rId36" Type="http://schemas.openxmlformats.org/officeDocument/2006/relationships/ctrlProp" Target="../ctrlProps/ctrlProp4565.xml"/><Relationship Id="rId10" Type="http://schemas.openxmlformats.org/officeDocument/2006/relationships/ctrlProp" Target="../ctrlProps/ctrlProp4539.xml"/><Relationship Id="rId19" Type="http://schemas.openxmlformats.org/officeDocument/2006/relationships/ctrlProp" Target="../ctrlProps/ctrlProp4548.xml"/><Relationship Id="rId31" Type="http://schemas.openxmlformats.org/officeDocument/2006/relationships/ctrlProp" Target="../ctrlProps/ctrlProp4560.xml"/><Relationship Id="rId4" Type="http://schemas.openxmlformats.org/officeDocument/2006/relationships/vmlDrawing" Target="../drawings/vmlDrawing111.vml"/><Relationship Id="rId9" Type="http://schemas.openxmlformats.org/officeDocument/2006/relationships/ctrlProp" Target="../ctrlProps/ctrlProp4538.xml"/><Relationship Id="rId14" Type="http://schemas.openxmlformats.org/officeDocument/2006/relationships/ctrlProp" Target="../ctrlProps/ctrlProp4543.xml"/><Relationship Id="rId22" Type="http://schemas.openxmlformats.org/officeDocument/2006/relationships/ctrlProp" Target="../ctrlProps/ctrlProp4551.xml"/><Relationship Id="rId27" Type="http://schemas.openxmlformats.org/officeDocument/2006/relationships/ctrlProp" Target="../ctrlProps/ctrlProp4556.xml"/><Relationship Id="rId30" Type="http://schemas.openxmlformats.org/officeDocument/2006/relationships/ctrlProp" Target="../ctrlProps/ctrlProp4559.xml"/><Relationship Id="rId35" Type="http://schemas.openxmlformats.org/officeDocument/2006/relationships/ctrlProp" Target="../ctrlProps/ctrlProp4564.xml"/><Relationship Id="rId8" Type="http://schemas.openxmlformats.org/officeDocument/2006/relationships/ctrlProp" Target="../ctrlProps/ctrlProp4537.xml"/><Relationship Id="rId3" Type="http://schemas.openxmlformats.org/officeDocument/2006/relationships/drawing" Target="../drawings/drawing111.xml"/><Relationship Id="rId12" Type="http://schemas.openxmlformats.org/officeDocument/2006/relationships/ctrlProp" Target="../ctrlProps/ctrlProp4541.xml"/><Relationship Id="rId17" Type="http://schemas.openxmlformats.org/officeDocument/2006/relationships/ctrlProp" Target="../ctrlProps/ctrlProp4546.xml"/><Relationship Id="rId25" Type="http://schemas.openxmlformats.org/officeDocument/2006/relationships/ctrlProp" Target="../ctrlProps/ctrlProp4554.xml"/><Relationship Id="rId33" Type="http://schemas.openxmlformats.org/officeDocument/2006/relationships/ctrlProp" Target="../ctrlProps/ctrlProp4562.xml"/><Relationship Id="rId38" Type="http://schemas.openxmlformats.org/officeDocument/2006/relationships/ctrlProp" Target="../ctrlProps/ctrlProp4567.xml"/></Relationships>
</file>

<file path=xl/worksheets/_rels/sheet115.xml.rels><?xml version="1.0" encoding="UTF-8" standalone="yes"?>
<Relationships xmlns="http://schemas.openxmlformats.org/package/2006/relationships"><Relationship Id="rId13" Type="http://schemas.openxmlformats.org/officeDocument/2006/relationships/ctrlProp" Target="../ctrlProps/ctrlProp4580.xml"/><Relationship Id="rId18" Type="http://schemas.openxmlformats.org/officeDocument/2006/relationships/ctrlProp" Target="../ctrlProps/ctrlProp4585.xml"/><Relationship Id="rId26" Type="http://schemas.openxmlformats.org/officeDocument/2006/relationships/ctrlProp" Target="../ctrlProps/ctrlProp4593.xml"/><Relationship Id="rId39" Type="http://schemas.openxmlformats.org/officeDocument/2006/relationships/ctrlProp" Target="../ctrlProps/ctrlProp4606.xml"/><Relationship Id="rId21" Type="http://schemas.openxmlformats.org/officeDocument/2006/relationships/ctrlProp" Target="../ctrlProps/ctrlProp4588.xml"/><Relationship Id="rId34" Type="http://schemas.openxmlformats.org/officeDocument/2006/relationships/ctrlProp" Target="../ctrlProps/ctrlProp4601.xml"/><Relationship Id="rId42" Type="http://schemas.openxmlformats.org/officeDocument/2006/relationships/ctrlProp" Target="../ctrlProps/ctrlProp4609.xml"/><Relationship Id="rId7" Type="http://schemas.openxmlformats.org/officeDocument/2006/relationships/ctrlProp" Target="../ctrlProps/ctrlProp4574.xml"/><Relationship Id="rId2" Type="http://schemas.openxmlformats.org/officeDocument/2006/relationships/drawing" Target="../drawings/drawing112.xml"/><Relationship Id="rId16" Type="http://schemas.openxmlformats.org/officeDocument/2006/relationships/ctrlProp" Target="../ctrlProps/ctrlProp4583.xml"/><Relationship Id="rId29" Type="http://schemas.openxmlformats.org/officeDocument/2006/relationships/ctrlProp" Target="../ctrlProps/ctrlProp4596.xml"/><Relationship Id="rId1" Type="http://schemas.openxmlformats.org/officeDocument/2006/relationships/printerSettings" Target="../printerSettings/printerSettings113.bin"/><Relationship Id="rId6" Type="http://schemas.openxmlformats.org/officeDocument/2006/relationships/ctrlProp" Target="../ctrlProps/ctrlProp4573.xml"/><Relationship Id="rId11" Type="http://schemas.openxmlformats.org/officeDocument/2006/relationships/ctrlProp" Target="../ctrlProps/ctrlProp4578.xml"/><Relationship Id="rId24" Type="http://schemas.openxmlformats.org/officeDocument/2006/relationships/ctrlProp" Target="../ctrlProps/ctrlProp4591.xml"/><Relationship Id="rId32" Type="http://schemas.openxmlformats.org/officeDocument/2006/relationships/ctrlProp" Target="../ctrlProps/ctrlProp4599.xml"/><Relationship Id="rId37" Type="http://schemas.openxmlformats.org/officeDocument/2006/relationships/ctrlProp" Target="../ctrlProps/ctrlProp4604.xml"/><Relationship Id="rId40" Type="http://schemas.openxmlformats.org/officeDocument/2006/relationships/ctrlProp" Target="../ctrlProps/ctrlProp4607.xml"/><Relationship Id="rId45" Type="http://schemas.openxmlformats.org/officeDocument/2006/relationships/ctrlProp" Target="../ctrlProps/ctrlProp4612.xml"/><Relationship Id="rId5" Type="http://schemas.openxmlformats.org/officeDocument/2006/relationships/ctrlProp" Target="../ctrlProps/ctrlProp4572.xml"/><Relationship Id="rId15" Type="http://schemas.openxmlformats.org/officeDocument/2006/relationships/ctrlProp" Target="../ctrlProps/ctrlProp4582.xml"/><Relationship Id="rId23" Type="http://schemas.openxmlformats.org/officeDocument/2006/relationships/ctrlProp" Target="../ctrlProps/ctrlProp4590.xml"/><Relationship Id="rId28" Type="http://schemas.openxmlformats.org/officeDocument/2006/relationships/ctrlProp" Target="../ctrlProps/ctrlProp4595.xml"/><Relationship Id="rId36" Type="http://schemas.openxmlformats.org/officeDocument/2006/relationships/ctrlProp" Target="../ctrlProps/ctrlProp4603.xml"/><Relationship Id="rId10" Type="http://schemas.openxmlformats.org/officeDocument/2006/relationships/ctrlProp" Target="../ctrlProps/ctrlProp4577.xml"/><Relationship Id="rId19" Type="http://schemas.openxmlformats.org/officeDocument/2006/relationships/ctrlProp" Target="../ctrlProps/ctrlProp4586.xml"/><Relationship Id="rId31" Type="http://schemas.openxmlformats.org/officeDocument/2006/relationships/ctrlProp" Target="../ctrlProps/ctrlProp4598.xml"/><Relationship Id="rId44" Type="http://schemas.openxmlformats.org/officeDocument/2006/relationships/ctrlProp" Target="../ctrlProps/ctrlProp4611.xml"/><Relationship Id="rId4" Type="http://schemas.openxmlformats.org/officeDocument/2006/relationships/ctrlProp" Target="../ctrlProps/ctrlProp4571.xml"/><Relationship Id="rId9" Type="http://schemas.openxmlformats.org/officeDocument/2006/relationships/ctrlProp" Target="../ctrlProps/ctrlProp4576.xml"/><Relationship Id="rId14" Type="http://schemas.openxmlformats.org/officeDocument/2006/relationships/ctrlProp" Target="../ctrlProps/ctrlProp4581.xml"/><Relationship Id="rId22" Type="http://schemas.openxmlformats.org/officeDocument/2006/relationships/ctrlProp" Target="../ctrlProps/ctrlProp4589.xml"/><Relationship Id="rId27" Type="http://schemas.openxmlformats.org/officeDocument/2006/relationships/ctrlProp" Target="../ctrlProps/ctrlProp4594.xml"/><Relationship Id="rId30" Type="http://schemas.openxmlformats.org/officeDocument/2006/relationships/ctrlProp" Target="../ctrlProps/ctrlProp4597.xml"/><Relationship Id="rId35" Type="http://schemas.openxmlformats.org/officeDocument/2006/relationships/ctrlProp" Target="../ctrlProps/ctrlProp4602.xml"/><Relationship Id="rId43" Type="http://schemas.openxmlformats.org/officeDocument/2006/relationships/ctrlProp" Target="../ctrlProps/ctrlProp4610.xml"/><Relationship Id="rId8" Type="http://schemas.openxmlformats.org/officeDocument/2006/relationships/ctrlProp" Target="../ctrlProps/ctrlProp4575.xml"/><Relationship Id="rId3" Type="http://schemas.openxmlformats.org/officeDocument/2006/relationships/vmlDrawing" Target="../drawings/vmlDrawing112.vml"/><Relationship Id="rId12" Type="http://schemas.openxmlformats.org/officeDocument/2006/relationships/ctrlProp" Target="../ctrlProps/ctrlProp4579.xml"/><Relationship Id="rId17" Type="http://schemas.openxmlformats.org/officeDocument/2006/relationships/ctrlProp" Target="../ctrlProps/ctrlProp4584.xml"/><Relationship Id="rId25" Type="http://schemas.openxmlformats.org/officeDocument/2006/relationships/ctrlProp" Target="../ctrlProps/ctrlProp4592.xml"/><Relationship Id="rId33" Type="http://schemas.openxmlformats.org/officeDocument/2006/relationships/ctrlProp" Target="../ctrlProps/ctrlProp4600.xml"/><Relationship Id="rId38" Type="http://schemas.openxmlformats.org/officeDocument/2006/relationships/ctrlProp" Target="../ctrlProps/ctrlProp4605.xml"/><Relationship Id="rId46" Type="http://schemas.openxmlformats.org/officeDocument/2006/relationships/ctrlProp" Target="../ctrlProps/ctrlProp4613.xml"/><Relationship Id="rId20" Type="http://schemas.openxmlformats.org/officeDocument/2006/relationships/ctrlProp" Target="../ctrlProps/ctrlProp4587.xml"/><Relationship Id="rId41" Type="http://schemas.openxmlformats.org/officeDocument/2006/relationships/ctrlProp" Target="../ctrlProps/ctrlProp4608.xml"/></Relationships>
</file>

<file path=xl/worksheets/_rels/sheet116.xml.rels><?xml version="1.0" encoding="UTF-8" standalone="yes"?>
<Relationships xmlns="http://schemas.openxmlformats.org/package/2006/relationships"><Relationship Id="rId13" Type="http://schemas.openxmlformats.org/officeDocument/2006/relationships/ctrlProp" Target="../ctrlProps/ctrlProp4623.xml"/><Relationship Id="rId18" Type="http://schemas.openxmlformats.org/officeDocument/2006/relationships/ctrlProp" Target="../ctrlProps/ctrlProp4628.xml"/><Relationship Id="rId26" Type="http://schemas.openxmlformats.org/officeDocument/2006/relationships/ctrlProp" Target="../ctrlProps/ctrlProp4636.xml"/><Relationship Id="rId39" Type="http://schemas.openxmlformats.org/officeDocument/2006/relationships/ctrlProp" Target="../ctrlProps/ctrlProp4649.xml"/><Relationship Id="rId21" Type="http://schemas.openxmlformats.org/officeDocument/2006/relationships/ctrlProp" Target="../ctrlProps/ctrlProp4631.xml"/><Relationship Id="rId34" Type="http://schemas.openxmlformats.org/officeDocument/2006/relationships/ctrlProp" Target="../ctrlProps/ctrlProp4644.xml"/><Relationship Id="rId42" Type="http://schemas.openxmlformats.org/officeDocument/2006/relationships/ctrlProp" Target="../ctrlProps/ctrlProp4652.xml"/><Relationship Id="rId7" Type="http://schemas.openxmlformats.org/officeDocument/2006/relationships/ctrlProp" Target="../ctrlProps/ctrlProp4617.xml"/><Relationship Id="rId2" Type="http://schemas.openxmlformats.org/officeDocument/2006/relationships/drawing" Target="../drawings/drawing113.xml"/><Relationship Id="rId16" Type="http://schemas.openxmlformats.org/officeDocument/2006/relationships/ctrlProp" Target="../ctrlProps/ctrlProp4626.xml"/><Relationship Id="rId29" Type="http://schemas.openxmlformats.org/officeDocument/2006/relationships/ctrlProp" Target="../ctrlProps/ctrlProp4639.xml"/><Relationship Id="rId1" Type="http://schemas.openxmlformats.org/officeDocument/2006/relationships/printerSettings" Target="../printerSettings/printerSettings114.bin"/><Relationship Id="rId6" Type="http://schemas.openxmlformats.org/officeDocument/2006/relationships/ctrlProp" Target="../ctrlProps/ctrlProp4616.xml"/><Relationship Id="rId11" Type="http://schemas.openxmlformats.org/officeDocument/2006/relationships/ctrlProp" Target="../ctrlProps/ctrlProp4621.xml"/><Relationship Id="rId24" Type="http://schemas.openxmlformats.org/officeDocument/2006/relationships/ctrlProp" Target="../ctrlProps/ctrlProp4634.xml"/><Relationship Id="rId32" Type="http://schemas.openxmlformats.org/officeDocument/2006/relationships/ctrlProp" Target="../ctrlProps/ctrlProp4642.xml"/><Relationship Id="rId37" Type="http://schemas.openxmlformats.org/officeDocument/2006/relationships/ctrlProp" Target="../ctrlProps/ctrlProp4647.xml"/><Relationship Id="rId40" Type="http://schemas.openxmlformats.org/officeDocument/2006/relationships/ctrlProp" Target="../ctrlProps/ctrlProp4650.xml"/><Relationship Id="rId45" Type="http://schemas.openxmlformats.org/officeDocument/2006/relationships/ctrlProp" Target="../ctrlProps/ctrlProp4655.xml"/><Relationship Id="rId5" Type="http://schemas.openxmlformats.org/officeDocument/2006/relationships/ctrlProp" Target="../ctrlProps/ctrlProp4615.xml"/><Relationship Id="rId15" Type="http://schemas.openxmlformats.org/officeDocument/2006/relationships/ctrlProp" Target="../ctrlProps/ctrlProp4625.xml"/><Relationship Id="rId23" Type="http://schemas.openxmlformats.org/officeDocument/2006/relationships/ctrlProp" Target="../ctrlProps/ctrlProp4633.xml"/><Relationship Id="rId28" Type="http://schemas.openxmlformats.org/officeDocument/2006/relationships/ctrlProp" Target="../ctrlProps/ctrlProp4638.xml"/><Relationship Id="rId36" Type="http://schemas.openxmlformats.org/officeDocument/2006/relationships/ctrlProp" Target="../ctrlProps/ctrlProp4646.xml"/><Relationship Id="rId10" Type="http://schemas.openxmlformats.org/officeDocument/2006/relationships/ctrlProp" Target="../ctrlProps/ctrlProp4620.xml"/><Relationship Id="rId19" Type="http://schemas.openxmlformats.org/officeDocument/2006/relationships/ctrlProp" Target="../ctrlProps/ctrlProp4629.xml"/><Relationship Id="rId31" Type="http://schemas.openxmlformats.org/officeDocument/2006/relationships/ctrlProp" Target="../ctrlProps/ctrlProp4641.xml"/><Relationship Id="rId44" Type="http://schemas.openxmlformats.org/officeDocument/2006/relationships/ctrlProp" Target="../ctrlProps/ctrlProp4654.xml"/><Relationship Id="rId4" Type="http://schemas.openxmlformats.org/officeDocument/2006/relationships/ctrlProp" Target="../ctrlProps/ctrlProp4614.xml"/><Relationship Id="rId9" Type="http://schemas.openxmlformats.org/officeDocument/2006/relationships/ctrlProp" Target="../ctrlProps/ctrlProp4619.xml"/><Relationship Id="rId14" Type="http://schemas.openxmlformats.org/officeDocument/2006/relationships/ctrlProp" Target="../ctrlProps/ctrlProp4624.xml"/><Relationship Id="rId22" Type="http://schemas.openxmlformats.org/officeDocument/2006/relationships/ctrlProp" Target="../ctrlProps/ctrlProp4632.xml"/><Relationship Id="rId27" Type="http://schemas.openxmlformats.org/officeDocument/2006/relationships/ctrlProp" Target="../ctrlProps/ctrlProp4637.xml"/><Relationship Id="rId30" Type="http://schemas.openxmlformats.org/officeDocument/2006/relationships/ctrlProp" Target="../ctrlProps/ctrlProp4640.xml"/><Relationship Id="rId35" Type="http://schemas.openxmlformats.org/officeDocument/2006/relationships/ctrlProp" Target="../ctrlProps/ctrlProp4645.xml"/><Relationship Id="rId43" Type="http://schemas.openxmlformats.org/officeDocument/2006/relationships/ctrlProp" Target="../ctrlProps/ctrlProp4653.xml"/><Relationship Id="rId8" Type="http://schemas.openxmlformats.org/officeDocument/2006/relationships/ctrlProp" Target="../ctrlProps/ctrlProp4618.xml"/><Relationship Id="rId3" Type="http://schemas.openxmlformats.org/officeDocument/2006/relationships/vmlDrawing" Target="../drawings/vmlDrawing113.vml"/><Relationship Id="rId12" Type="http://schemas.openxmlformats.org/officeDocument/2006/relationships/ctrlProp" Target="../ctrlProps/ctrlProp4622.xml"/><Relationship Id="rId17" Type="http://schemas.openxmlformats.org/officeDocument/2006/relationships/ctrlProp" Target="../ctrlProps/ctrlProp4627.xml"/><Relationship Id="rId25" Type="http://schemas.openxmlformats.org/officeDocument/2006/relationships/ctrlProp" Target="../ctrlProps/ctrlProp4635.xml"/><Relationship Id="rId33" Type="http://schemas.openxmlformats.org/officeDocument/2006/relationships/ctrlProp" Target="../ctrlProps/ctrlProp4643.xml"/><Relationship Id="rId38" Type="http://schemas.openxmlformats.org/officeDocument/2006/relationships/ctrlProp" Target="../ctrlProps/ctrlProp4648.xml"/><Relationship Id="rId20" Type="http://schemas.openxmlformats.org/officeDocument/2006/relationships/ctrlProp" Target="../ctrlProps/ctrlProp4630.xml"/><Relationship Id="rId41" Type="http://schemas.openxmlformats.org/officeDocument/2006/relationships/ctrlProp" Target="../ctrlProps/ctrlProp4651.xml"/></Relationships>
</file>

<file path=xl/worksheets/_rels/sheet117.xml.rels><?xml version="1.0" encoding="UTF-8" standalone="yes"?>
<Relationships xmlns="http://schemas.openxmlformats.org/package/2006/relationships"><Relationship Id="rId13" Type="http://schemas.openxmlformats.org/officeDocument/2006/relationships/ctrlProp" Target="../ctrlProps/ctrlProp4664.xml"/><Relationship Id="rId18" Type="http://schemas.openxmlformats.org/officeDocument/2006/relationships/ctrlProp" Target="../ctrlProps/ctrlProp4669.xml"/><Relationship Id="rId26" Type="http://schemas.openxmlformats.org/officeDocument/2006/relationships/ctrlProp" Target="../ctrlProps/ctrlProp4677.xml"/><Relationship Id="rId39" Type="http://schemas.openxmlformats.org/officeDocument/2006/relationships/ctrlProp" Target="../ctrlProps/ctrlProp4690.xml"/><Relationship Id="rId21" Type="http://schemas.openxmlformats.org/officeDocument/2006/relationships/ctrlProp" Target="../ctrlProps/ctrlProp4672.xml"/><Relationship Id="rId34" Type="http://schemas.openxmlformats.org/officeDocument/2006/relationships/ctrlProp" Target="../ctrlProps/ctrlProp4685.xml"/><Relationship Id="rId42" Type="http://schemas.openxmlformats.org/officeDocument/2006/relationships/ctrlProp" Target="../ctrlProps/ctrlProp4693.xml"/><Relationship Id="rId7" Type="http://schemas.openxmlformats.org/officeDocument/2006/relationships/ctrlProp" Target="../ctrlProps/ctrlProp4658.xml"/><Relationship Id="rId2" Type="http://schemas.openxmlformats.org/officeDocument/2006/relationships/printerSettings" Target="../printerSettings/printerSettings115.bin"/><Relationship Id="rId16" Type="http://schemas.openxmlformats.org/officeDocument/2006/relationships/ctrlProp" Target="../ctrlProps/ctrlProp4667.xml"/><Relationship Id="rId29" Type="http://schemas.openxmlformats.org/officeDocument/2006/relationships/ctrlProp" Target="../ctrlProps/ctrlProp4680.xml"/><Relationship Id="rId1" Type="http://schemas.openxmlformats.org/officeDocument/2006/relationships/hyperlink" Target="mailto:infor@asapbinhire.com.au" TargetMode="External"/><Relationship Id="rId6" Type="http://schemas.openxmlformats.org/officeDocument/2006/relationships/ctrlProp" Target="../ctrlProps/ctrlProp4657.xml"/><Relationship Id="rId11" Type="http://schemas.openxmlformats.org/officeDocument/2006/relationships/ctrlProp" Target="../ctrlProps/ctrlProp4662.xml"/><Relationship Id="rId24" Type="http://schemas.openxmlformats.org/officeDocument/2006/relationships/ctrlProp" Target="../ctrlProps/ctrlProp4675.xml"/><Relationship Id="rId32" Type="http://schemas.openxmlformats.org/officeDocument/2006/relationships/ctrlProp" Target="../ctrlProps/ctrlProp4683.xml"/><Relationship Id="rId37" Type="http://schemas.openxmlformats.org/officeDocument/2006/relationships/ctrlProp" Target="../ctrlProps/ctrlProp4688.xml"/><Relationship Id="rId40" Type="http://schemas.openxmlformats.org/officeDocument/2006/relationships/ctrlProp" Target="../ctrlProps/ctrlProp4691.xml"/><Relationship Id="rId45" Type="http://schemas.openxmlformats.org/officeDocument/2006/relationships/ctrlProp" Target="../ctrlProps/ctrlProp4696.xml"/><Relationship Id="rId5" Type="http://schemas.openxmlformats.org/officeDocument/2006/relationships/ctrlProp" Target="../ctrlProps/ctrlProp4656.xml"/><Relationship Id="rId15" Type="http://schemas.openxmlformats.org/officeDocument/2006/relationships/ctrlProp" Target="../ctrlProps/ctrlProp4666.xml"/><Relationship Id="rId23" Type="http://schemas.openxmlformats.org/officeDocument/2006/relationships/ctrlProp" Target="../ctrlProps/ctrlProp4674.xml"/><Relationship Id="rId28" Type="http://schemas.openxmlformats.org/officeDocument/2006/relationships/ctrlProp" Target="../ctrlProps/ctrlProp4679.xml"/><Relationship Id="rId36" Type="http://schemas.openxmlformats.org/officeDocument/2006/relationships/ctrlProp" Target="../ctrlProps/ctrlProp4687.xml"/><Relationship Id="rId10" Type="http://schemas.openxmlformats.org/officeDocument/2006/relationships/ctrlProp" Target="../ctrlProps/ctrlProp4661.xml"/><Relationship Id="rId19" Type="http://schemas.openxmlformats.org/officeDocument/2006/relationships/ctrlProp" Target="../ctrlProps/ctrlProp4670.xml"/><Relationship Id="rId31" Type="http://schemas.openxmlformats.org/officeDocument/2006/relationships/ctrlProp" Target="../ctrlProps/ctrlProp4682.xml"/><Relationship Id="rId44" Type="http://schemas.openxmlformats.org/officeDocument/2006/relationships/ctrlProp" Target="../ctrlProps/ctrlProp4695.xml"/><Relationship Id="rId4" Type="http://schemas.openxmlformats.org/officeDocument/2006/relationships/vmlDrawing" Target="../drawings/vmlDrawing114.vml"/><Relationship Id="rId9" Type="http://schemas.openxmlformats.org/officeDocument/2006/relationships/ctrlProp" Target="../ctrlProps/ctrlProp4660.xml"/><Relationship Id="rId14" Type="http://schemas.openxmlformats.org/officeDocument/2006/relationships/ctrlProp" Target="../ctrlProps/ctrlProp4665.xml"/><Relationship Id="rId22" Type="http://schemas.openxmlformats.org/officeDocument/2006/relationships/ctrlProp" Target="../ctrlProps/ctrlProp4673.xml"/><Relationship Id="rId27" Type="http://schemas.openxmlformats.org/officeDocument/2006/relationships/ctrlProp" Target="../ctrlProps/ctrlProp4678.xml"/><Relationship Id="rId30" Type="http://schemas.openxmlformats.org/officeDocument/2006/relationships/ctrlProp" Target="../ctrlProps/ctrlProp4681.xml"/><Relationship Id="rId35" Type="http://schemas.openxmlformats.org/officeDocument/2006/relationships/ctrlProp" Target="../ctrlProps/ctrlProp4686.xml"/><Relationship Id="rId43" Type="http://schemas.openxmlformats.org/officeDocument/2006/relationships/ctrlProp" Target="../ctrlProps/ctrlProp4694.xml"/><Relationship Id="rId8" Type="http://schemas.openxmlformats.org/officeDocument/2006/relationships/ctrlProp" Target="../ctrlProps/ctrlProp4659.xml"/><Relationship Id="rId3" Type="http://schemas.openxmlformats.org/officeDocument/2006/relationships/drawing" Target="../drawings/drawing114.xml"/><Relationship Id="rId12" Type="http://schemas.openxmlformats.org/officeDocument/2006/relationships/ctrlProp" Target="../ctrlProps/ctrlProp4663.xml"/><Relationship Id="rId17" Type="http://schemas.openxmlformats.org/officeDocument/2006/relationships/ctrlProp" Target="../ctrlProps/ctrlProp4668.xml"/><Relationship Id="rId25" Type="http://schemas.openxmlformats.org/officeDocument/2006/relationships/ctrlProp" Target="../ctrlProps/ctrlProp4676.xml"/><Relationship Id="rId33" Type="http://schemas.openxmlformats.org/officeDocument/2006/relationships/ctrlProp" Target="../ctrlProps/ctrlProp4684.xml"/><Relationship Id="rId38" Type="http://schemas.openxmlformats.org/officeDocument/2006/relationships/ctrlProp" Target="../ctrlProps/ctrlProp4689.xml"/><Relationship Id="rId20" Type="http://schemas.openxmlformats.org/officeDocument/2006/relationships/ctrlProp" Target="../ctrlProps/ctrlProp4671.xml"/><Relationship Id="rId41" Type="http://schemas.openxmlformats.org/officeDocument/2006/relationships/ctrlProp" Target="../ctrlProps/ctrlProp4692.xml"/></Relationships>
</file>

<file path=xl/worksheets/_rels/sheet118.xml.rels><?xml version="1.0" encoding="UTF-8" standalone="yes"?>
<Relationships xmlns="http://schemas.openxmlformats.org/package/2006/relationships"><Relationship Id="rId13" Type="http://schemas.openxmlformats.org/officeDocument/2006/relationships/ctrlProp" Target="../ctrlProps/ctrlProp4706.xml"/><Relationship Id="rId18" Type="http://schemas.openxmlformats.org/officeDocument/2006/relationships/ctrlProp" Target="../ctrlProps/ctrlProp4711.xml"/><Relationship Id="rId26" Type="http://schemas.openxmlformats.org/officeDocument/2006/relationships/ctrlProp" Target="../ctrlProps/ctrlProp4719.xml"/><Relationship Id="rId39" Type="http://schemas.openxmlformats.org/officeDocument/2006/relationships/ctrlProp" Target="../ctrlProps/ctrlProp4732.xml"/><Relationship Id="rId21" Type="http://schemas.openxmlformats.org/officeDocument/2006/relationships/ctrlProp" Target="../ctrlProps/ctrlProp4714.xml"/><Relationship Id="rId34" Type="http://schemas.openxmlformats.org/officeDocument/2006/relationships/ctrlProp" Target="../ctrlProps/ctrlProp4727.xml"/><Relationship Id="rId42" Type="http://schemas.openxmlformats.org/officeDocument/2006/relationships/ctrlProp" Target="../ctrlProps/ctrlProp4735.xml"/><Relationship Id="rId7" Type="http://schemas.openxmlformats.org/officeDocument/2006/relationships/ctrlProp" Target="../ctrlProps/ctrlProp4700.xml"/><Relationship Id="rId2" Type="http://schemas.openxmlformats.org/officeDocument/2006/relationships/drawing" Target="../drawings/drawing115.xml"/><Relationship Id="rId16" Type="http://schemas.openxmlformats.org/officeDocument/2006/relationships/ctrlProp" Target="../ctrlProps/ctrlProp4709.xml"/><Relationship Id="rId20" Type="http://schemas.openxmlformats.org/officeDocument/2006/relationships/ctrlProp" Target="../ctrlProps/ctrlProp4713.xml"/><Relationship Id="rId29" Type="http://schemas.openxmlformats.org/officeDocument/2006/relationships/ctrlProp" Target="../ctrlProps/ctrlProp4722.xml"/><Relationship Id="rId41" Type="http://schemas.openxmlformats.org/officeDocument/2006/relationships/ctrlProp" Target="../ctrlProps/ctrlProp4734.xml"/><Relationship Id="rId1" Type="http://schemas.openxmlformats.org/officeDocument/2006/relationships/printerSettings" Target="../printerSettings/printerSettings116.bin"/><Relationship Id="rId6" Type="http://schemas.openxmlformats.org/officeDocument/2006/relationships/ctrlProp" Target="../ctrlProps/ctrlProp4699.xml"/><Relationship Id="rId11" Type="http://schemas.openxmlformats.org/officeDocument/2006/relationships/ctrlProp" Target="../ctrlProps/ctrlProp4704.xml"/><Relationship Id="rId24" Type="http://schemas.openxmlformats.org/officeDocument/2006/relationships/ctrlProp" Target="../ctrlProps/ctrlProp4717.xml"/><Relationship Id="rId32" Type="http://schemas.openxmlformats.org/officeDocument/2006/relationships/ctrlProp" Target="../ctrlProps/ctrlProp4725.xml"/><Relationship Id="rId37" Type="http://schemas.openxmlformats.org/officeDocument/2006/relationships/ctrlProp" Target="../ctrlProps/ctrlProp4730.xml"/><Relationship Id="rId40" Type="http://schemas.openxmlformats.org/officeDocument/2006/relationships/ctrlProp" Target="../ctrlProps/ctrlProp4733.xml"/><Relationship Id="rId5" Type="http://schemas.openxmlformats.org/officeDocument/2006/relationships/ctrlProp" Target="../ctrlProps/ctrlProp4698.xml"/><Relationship Id="rId15" Type="http://schemas.openxmlformats.org/officeDocument/2006/relationships/ctrlProp" Target="../ctrlProps/ctrlProp4708.xml"/><Relationship Id="rId23" Type="http://schemas.openxmlformats.org/officeDocument/2006/relationships/ctrlProp" Target="../ctrlProps/ctrlProp4716.xml"/><Relationship Id="rId28" Type="http://schemas.openxmlformats.org/officeDocument/2006/relationships/ctrlProp" Target="../ctrlProps/ctrlProp4721.xml"/><Relationship Id="rId36" Type="http://schemas.openxmlformats.org/officeDocument/2006/relationships/ctrlProp" Target="../ctrlProps/ctrlProp4729.xml"/><Relationship Id="rId10" Type="http://schemas.openxmlformats.org/officeDocument/2006/relationships/ctrlProp" Target="../ctrlProps/ctrlProp4703.xml"/><Relationship Id="rId19" Type="http://schemas.openxmlformats.org/officeDocument/2006/relationships/ctrlProp" Target="../ctrlProps/ctrlProp4712.xml"/><Relationship Id="rId31" Type="http://schemas.openxmlformats.org/officeDocument/2006/relationships/ctrlProp" Target="../ctrlProps/ctrlProp4724.xml"/><Relationship Id="rId4" Type="http://schemas.openxmlformats.org/officeDocument/2006/relationships/ctrlProp" Target="../ctrlProps/ctrlProp4697.xml"/><Relationship Id="rId9" Type="http://schemas.openxmlformats.org/officeDocument/2006/relationships/ctrlProp" Target="../ctrlProps/ctrlProp4702.xml"/><Relationship Id="rId14" Type="http://schemas.openxmlformats.org/officeDocument/2006/relationships/ctrlProp" Target="../ctrlProps/ctrlProp4707.xml"/><Relationship Id="rId22" Type="http://schemas.openxmlformats.org/officeDocument/2006/relationships/ctrlProp" Target="../ctrlProps/ctrlProp4715.xml"/><Relationship Id="rId27" Type="http://schemas.openxmlformats.org/officeDocument/2006/relationships/ctrlProp" Target="../ctrlProps/ctrlProp4720.xml"/><Relationship Id="rId30" Type="http://schemas.openxmlformats.org/officeDocument/2006/relationships/ctrlProp" Target="../ctrlProps/ctrlProp4723.xml"/><Relationship Id="rId35" Type="http://schemas.openxmlformats.org/officeDocument/2006/relationships/ctrlProp" Target="../ctrlProps/ctrlProp4728.xml"/><Relationship Id="rId43" Type="http://schemas.openxmlformats.org/officeDocument/2006/relationships/ctrlProp" Target="../ctrlProps/ctrlProp4736.xml"/><Relationship Id="rId8" Type="http://schemas.openxmlformats.org/officeDocument/2006/relationships/ctrlProp" Target="../ctrlProps/ctrlProp4701.xml"/><Relationship Id="rId3" Type="http://schemas.openxmlformats.org/officeDocument/2006/relationships/vmlDrawing" Target="../drawings/vmlDrawing115.vml"/><Relationship Id="rId12" Type="http://schemas.openxmlformats.org/officeDocument/2006/relationships/ctrlProp" Target="../ctrlProps/ctrlProp4705.xml"/><Relationship Id="rId17" Type="http://schemas.openxmlformats.org/officeDocument/2006/relationships/ctrlProp" Target="../ctrlProps/ctrlProp4710.xml"/><Relationship Id="rId25" Type="http://schemas.openxmlformats.org/officeDocument/2006/relationships/ctrlProp" Target="../ctrlProps/ctrlProp4718.xml"/><Relationship Id="rId33" Type="http://schemas.openxmlformats.org/officeDocument/2006/relationships/ctrlProp" Target="../ctrlProps/ctrlProp4726.xml"/><Relationship Id="rId38" Type="http://schemas.openxmlformats.org/officeDocument/2006/relationships/ctrlProp" Target="../ctrlProps/ctrlProp4731.xml"/></Relationships>
</file>

<file path=xl/worksheets/_rels/sheet119.xml.rels><?xml version="1.0" encoding="UTF-8" standalone="yes"?>
<Relationships xmlns="http://schemas.openxmlformats.org/package/2006/relationships"><Relationship Id="rId13" Type="http://schemas.openxmlformats.org/officeDocument/2006/relationships/ctrlProp" Target="../ctrlProps/ctrlProp4746.xml"/><Relationship Id="rId18" Type="http://schemas.openxmlformats.org/officeDocument/2006/relationships/ctrlProp" Target="../ctrlProps/ctrlProp4751.xml"/><Relationship Id="rId26" Type="http://schemas.openxmlformats.org/officeDocument/2006/relationships/ctrlProp" Target="../ctrlProps/ctrlProp4759.xml"/><Relationship Id="rId3" Type="http://schemas.openxmlformats.org/officeDocument/2006/relationships/vmlDrawing" Target="../drawings/vmlDrawing116.vml"/><Relationship Id="rId21" Type="http://schemas.openxmlformats.org/officeDocument/2006/relationships/ctrlProp" Target="../ctrlProps/ctrlProp4754.xml"/><Relationship Id="rId34" Type="http://schemas.openxmlformats.org/officeDocument/2006/relationships/ctrlProp" Target="../ctrlProps/ctrlProp4767.xml"/><Relationship Id="rId7" Type="http://schemas.openxmlformats.org/officeDocument/2006/relationships/ctrlProp" Target="../ctrlProps/ctrlProp4740.xml"/><Relationship Id="rId12" Type="http://schemas.openxmlformats.org/officeDocument/2006/relationships/ctrlProp" Target="../ctrlProps/ctrlProp4745.xml"/><Relationship Id="rId17" Type="http://schemas.openxmlformats.org/officeDocument/2006/relationships/ctrlProp" Target="../ctrlProps/ctrlProp4750.xml"/><Relationship Id="rId25" Type="http://schemas.openxmlformats.org/officeDocument/2006/relationships/ctrlProp" Target="../ctrlProps/ctrlProp4758.xml"/><Relationship Id="rId33" Type="http://schemas.openxmlformats.org/officeDocument/2006/relationships/ctrlProp" Target="../ctrlProps/ctrlProp4766.xml"/><Relationship Id="rId2" Type="http://schemas.openxmlformats.org/officeDocument/2006/relationships/drawing" Target="../drawings/drawing116.xml"/><Relationship Id="rId16" Type="http://schemas.openxmlformats.org/officeDocument/2006/relationships/ctrlProp" Target="../ctrlProps/ctrlProp4749.xml"/><Relationship Id="rId20" Type="http://schemas.openxmlformats.org/officeDocument/2006/relationships/ctrlProp" Target="../ctrlProps/ctrlProp4753.xml"/><Relationship Id="rId29" Type="http://schemas.openxmlformats.org/officeDocument/2006/relationships/ctrlProp" Target="../ctrlProps/ctrlProp4762.xml"/><Relationship Id="rId1" Type="http://schemas.openxmlformats.org/officeDocument/2006/relationships/printerSettings" Target="../printerSettings/printerSettings117.bin"/><Relationship Id="rId6" Type="http://schemas.openxmlformats.org/officeDocument/2006/relationships/ctrlProp" Target="../ctrlProps/ctrlProp4739.xml"/><Relationship Id="rId11" Type="http://schemas.openxmlformats.org/officeDocument/2006/relationships/ctrlProp" Target="../ctrlProps/ctrlProp4744.xml"/><Relationship Id="rId24" Type="http://schemas.openxmlformats.org/officeDocument/2006/relationships/ctrlProp" Target="../ctrlProps/ctrlProp4757.xml"/><Relationship Id="rId32" Type="http://schemas.openxmlformats.org/officeDocument/2006/relationships/ctrlProp" Target="../ctrlProps/ctrlProp4765.xml"/><Relationship Id="rId5" Type="http://schemas.openxmlformats.org/officeDocument/2006/relationships/ctrlProp" Target="../ctrlProps/ctrlProp4738.xml"/><Relationship Id="rId15" Type="http://schemas.openxmlformats.org/officeDocument/2006/relationships/ctrlProp" Target="../ctrlProps/ctrlProp4748.xml"/><Relationship Id="rId23" Type="http://schemas.openxmlformats.org/officeDocument/2006/relationships/ctrlProp" Target="../ctrlProps/ctrlProp4756.xml"/><Relationship Id="rId28" Type="http://schemas.openxmlformats.org/officeDocument/2006/relationships/ctrlProp" Target="../ctrlProps/ctrlProp4761.xml"/><Relationship Id="rId36" Type="http://schemas.openxmlformats.org/officeDocument/2006/relationships/ctrlProp" Target="../ctrlProps/ctrlProp4769.xml"/><Relationship Id="rId10" Type="http://schemas.openxmlformats.org/officeDocument/2006/relationships/ctrlProp" Target="../ctrlProps/ctrlProp4743.xml"/><Relationship Id="rId19" Type="http://schemas.openxmlformats.org/officeDocument/2006/relationships/ctrlProp" Target="../ctrlProps/ctrlProp4752.xml"/><Relationship Id="rId31" Type="http://schemas.openxmlformats.org/officeDocument/2006/relationships/ctrlProp" Target="../ctrlProps/ctrlProp4764.xml"/><Relationship Id="rId4" Type="http://schemas.openxmlformats.org/officeDocument/2006/relationships/ctrlProp" Target="../ctrlProps/ctrlProp4737.xml"/><Relationship Id="rId9" Type="http://schemas.openxmlformats.org/officeDocument/2006/relationships/ctrlProp" Target="../ctrlProps/ctrlProp4742.xml"/><Relationship Id="rId14" Type="http://schemas.openxmlformats.org/officeDocument/2006/relationships/ctrlProp" Target="../ctrlProps/ctrlProp4747.xml"/><Relationship Id="rId22" Type="http://schemas.openxmlformats.org/officeDocument/2006/relationships/ctrlProp" Target="../ctrlProps/ctrlProp4755.xml"/><Relationship Id="rId27" Type="http://schemas.openxmlformats.org/officeDocument/2006/relationships/ctrlProp" Target="../ctrlProps/ctrlProp4760.xml"/><Relationship Id="rId30" Type="http://schemas.openxmlformats.org/officeDocument/2006/relationships/ctrlProp" Target="../ctrlProps/ctrlProp4763.xml"/><Relationship Id="rId35" Type="http://schemas.openxmlformats.org/officeDocument/2006/relationships/ctrlProp" Target="../ctrlProps/ctrlProp4768.xml"/><Relationship Id="rId8" Type="http://schemas.openxmlformats.org/officeDocument/2006/relationships/ctrlProp" Target="../ctrlProps/ctrlProp4741.xml"/></Relationships>
</file>

<file path=xl/worksheets/_rels/sheet120.xml.rels><?xml version="1.0" encoding="UTF-8" standalone="yes"?>
<Relationships xmlns="http://schemas.openxmlformats.org/package/2006/relationships"><Relationship Id="rId13" Type="http://schemas.openxmlformats.org/officeDocument/2006/relationships/ctrlProp" Target="../ctrlProps/ctrlProp4778.xml"/><Relationship Id="rId18" Type="http://schemas.openxmlformats.org/officeDocument/2006/relationships/ctrlProp" Target="../ctrlProps/ctrlProp4783.xml"/><Relationship Id="rId26" Type="http://schemas.openxmlformats.org/officeDocument/2006/relationships/ctrlProp" Target="../ctrlProps/ctrlProp4791.xml"/><Relationship Id="rId21" Type="http://schemas.openxmlformats.org/officeDocument/2006/relationships/ctrlProp" Target="../ctrlProps/ctrlProp4786.xml"/><Relationship Id="rId34" Type="http://schemas.openxmlformats.org/officeDocument/2006/relationships/ctrlProp" Target="../ctrlProps/ctrlProp4799.xml"/><Relationship Id="rId7" Type="http://schemas.openxmlformats.org/officeDocument/2006/relationships/ctrlProp" Target="../ctrlProps/ctrlProp4772.xml"/><Relationship Id="rId12" Type="http://schemas.openxmlformats.org/officeDocument/2006/relationships/ctrlProp" Target="../ctrlProps/ctrlProp4777.xml"/><Relationship Id="rId17" Type="http://schemas.openxmlformats.org/officeDocument/2006/relationships/ctrlProp" Target="../ctrlProps/ctrlProp4782.xml"/><Relationship Id="rId25" Type="http://schemas.openxmlformats.org/officeDocument/2006/relationships/ctrlProp" Target="../ctrlProps/ctrlProp4790.xml"/><Relationship Id="rId33" Type="http://schemas.openxmlformats.org/officeDocument/2006/relationships/ctrlProp" Target="../ctrlProps/ctrlProp4798.xml"/><Relationship Id="rId2" Type="http://schemas.openxmlformats.org/officeDocument/2006/relationships/printerSettings" Target="../printerSettings/printerSettings118.bin"/><Relationship Id="rId16" Type="http://schemas.openxmlformats.org/officeDocument/2006/relationships/ctrlProp" Target="../ctrlProps/ctrlProp4781.xml"/><Relationship Id="rId20" Type="http://schemas.openxmlformats.org/officeDocument/2006/relationships/ctrlProp" Target="../ctrlProps/ctrlProp4785.xml"/><Relationship Id="rId29" Type="http://schemas.openxmlformats.org/officeDocument/2006/relationships/ctrlProp" Target="../ctrlProps/ctrlProp4794.xml"/><Relationship Id="rId1" Type="http://schemas.openxmlformats.org/officeDocument/2006/relationships/hyperlink" Target="mailto:sm_johns@hotmail.com" TargetMode="External"/><Relationship Id="rId6" Type="http://schemas.openxmlformats.org/officeDocument/2006/relationships/ctrlProp" Target="../ctrlProps/ctrlProp4771.xml"/><Relationship Id="rId11" Type="http://schemas.openxmlformats.org/officeDocument/2006/relationships/ctrlProp" Target="../ctrlProps/ctrlProp4776.xml"/><Relationship Id="rId24" Type="http://schemas.openxmlformats.org/officeDocument/2006/relationships/ctrlProp" Target="../ctrlProps/ctrlProp4789.xml"/><Relationship Id="rId32" Type="http://schemas.openxmlformats.org/officeDocument/2006/relationships/ctrlProp" Target="../ctrlProps/ctrlProp4797.xml"/><Relationship Id="rId37" Type="http://schemas.openxmlformats.org/officeDocument/2006/relationships/ctrlProp" Target="../ctrlProps/ctrlProp4802.xml"/><Relationship Id="rId5" Type="http://schemas.openxmlformats.org/officeDocument/2006/relationships/ctrlProp" Target="../ctrlProps/ctrlProp4770.xml"/><Relationship Id="rId15" Type="http://schemas.openxmlformats.org/officeDocument/2006/relationships/ctrlProp" Target="../ctrlProps/ctrlProp4780.xml"/><Relationship Id="rId23" Type="http://schemas.openxmlformats.org/officeDocument/2006/relationships/ctrlProp" Target="../ctrlProps/ctrlProp4788.xml"/><Relationship Id="rId28" Type="http://schemas.openxmlformats.org/officeDocument/2006/relationships/ctrlProp" Target="../ctrlProps/ctrlProp4793.xml"/><Relationship Id="rId36" Type="http://schemas.openxmlformats.org/officeDocument/2006/relationships/ctrlProp" Target="../ctrlProps/ctrlProp4801.xml"/><Relationship Id="rId10" Type="http://schemas.openxmlformats.org/officeDocument/2006/relationships/ctrlProp" Target="../ctrlProps/ctrlProp4775.xml"/><Relationship Id="rId19" Type="http://schemas.openxmlformats.org/officeDocument/2006/relationships/ctrlProp" Target="../ctrlProps/ctrlProp4784.xml"/><Relationship Id="rId31" Type="http://schemas.openxmlformats.org/officeDocument/2006/relationships/ctrlProp" Target="../ctrlProps/ctrlProp4796.xml"/><Relationship Id="rId4" Type="http://schemas.openxmlformats.org/officeDocument/2006/relationships/vmlDrawing" Target="../drawings/vmlDrawing117.vml"/><Relationship Id="rId9" Type="http://schemas.openxmlformats.org/officeDocument/2006/relationships/ctrlProp" Target="../ctrlProps/ctrlProp4774.xml"/><Relationship Id="rId14" Type="http://schemas.openxmlformats.org/officeDocument/2006/relationships/ctrlProp" Target="../ctrlProps/ctrlProp4779.xml"/><Relationship Id="rId22" Type="http://schemas.openxmlformats.org/officeDocument/2006/relationships/ctrlProp" Target="../ctrlProps/ctrlProp4787.xml"/><Relationship Id="rId27" Type="http://schemas.openxmlformats.org/officeDocument/2006/relationships/ctrlProp" Target="../ctrlProps/ctrlProp4792.xml"/><Relationship Id="rId30" Type="http://schemas.openxmlformats.org/officeDocument/2006/relationships/ctrlProp" Target="../ctrlProps/ctrlProp4795.xml"/><Relationship Id="rId35" Type="http://schemas.openxmlformats.org/officeDocument/2006/relationships/ctrlProp" Target="../ctrlProps/ctrlProp4800.xml"/><Relationship Id="rId8" Type="http://schemas.openxmlformats.org/officeDocument/2006/relationships/ctrlProp" Target="../ctrlProps/ctrlProp4773.xml"/><Relationship Id="rId3" Type="http://schemas.openxmlformats.org/officeDocument/2006/relationships/drawing" Target="../drawings/drawing117.xml"/></Relationships>
</file>

<file path=xl/worksheets/_rels/sheet121.xml.rels><?xml version="1.0" encoding="UTF-8" standalone="yes"?>
<Relationships xmlns="http://schemas.openxmlformats.org/package/2006/relationships"><Relationship Id="rId13" Type="http://schemas.openxmlformats.org/officeDocument/2006/relationships/ctrlProp" Target="../ctrlProps/ctrlProp4811.xml"/><Relationship Id="rId18" Type="http://schemas.openxmlformats.org/officeDocument/2006/relationships/ctrlProp" Target="../ctrlProps/ctrlProp4816.xml"/><Relationship Id="rId26" Type="http://schemas.openxmlformats.org/officeDocument/2006/relationships/ctrlProp" Target="../ctrlProps/ctrlProp4824.xml"/><Relationship Id="rId21" Type="http://schemas.openxmlformats.org/officeDocument/2006/relationships/ctrlProp" Target="../ctrlProps/ctrlProp4819.xml"/><Relationship Id="rId34" Type="http://schemas.openxmlformats.org/officeDocument/2006/relationships/ctrlProp" Target="../ctrlProps/ctrlProp4832.xml"/><Relationship Id="rId7" Type="http://schemas.openxmlformats.org/officeDocument/2006/relationships/ctrlProp" Target="../ctrlProps/ctrlProp4805.xml"/><Relationship Id="rId12" Type="http://schemas.openxmlformats.org/officeDocument/2006/relationships/ctrlProp" Target="../ctrlProps/ctrlProp4810.xml"/><Relationship Id="rId17" Type="http://schemas.openxmlformats.org/officeDocument/2006/relationships/ctrlProp" Target="../ctrlProps/ctrlProp4815.xml"/><Relationship Id="rId25" Type="http://schemas.openxmlformats.org/officeDocument/2006/relationships/ctrlProp" Target="../ctrlProps/ctrlProp4823.xml"/><Relationship Id="rId33" Type="http://schemas.openxmlformats.org/officeDocument/2006/relationships/ctrlProp" Target="../ctrlProps/ctrlProp4831.xml"/><Relationship Id="rId2" Type="http://schemas.openxmlformats.org/officeDocument/2006/relationships/printerSettings" Target="../printerSettings/printerSettings119.bin"/><Relationship Id="rId16" Type="http://schemas.openxmlformats.org/officeDocument/2006/relationships/ctrlProp" Target="../ctrlProps/ctrlProp4814.xml"/><Relationship Id="rId20" Type="http://schemas.openxmlformats.org/officeDocument/2006/relationships/ctrlProp" Target="../ctrlProps/ctrlProp4818.xml"/><Relationship Id="rId29" Type="http://schemas.openxmlformats.org/officeDocument/2006/relationships/ctrlProp" Target="../ctrlProps/ctrlProp4827.xml"/><Relationship Id="rId1" Type="http://schemas.openxmlformats.org/officeDocument/2006/relationships/hyperlink" Target="mailto:jo.seiter@bowens.com.au" TargetMode="External"/><Relationship Id="rId6" Type="http://schemas.openxmlformats.org/officeDocument/2006/relationships/ctrlProp" Target="../ctrlProps/ctrlProp4804.xml"/><Relationship Id="rId11" Type="http://schemas.openxmlformats.org/officeDocument/2006/relationships/ctrlProp" Target="../ctrlProps/ctrlProp4809.xml"/><Relationship Id="rId24" Type="http://schemas.openxmlformats.org/officeDocument/2006/relationships/ctrlProp" Target="../ctrlProps/ctrlProp4822.xml"/><Relationship Id="rId32" Type="http://schemas.openxmlformats.org/officeDocument/2006/relationships/ctrlProp" Target="../ctrlProps/ctrlProp4830.xml"/><Relationship Id="rId37" Type="http://schemas.openxmlformats.org/officeDocument/2006/relationships/ctrlProp" Target="../ctrlProps/ctrlProp4835.xml"/><Relationship Id="rId5" Type="http://schemas.openxmlformats.org/officeDocument/2006/relationships/ctrlProp" Target="../ctrlProps/ctrlProp4803.xml"/><Relationship Id="rId15" Type="http://schemas.openxmlformats.org/officeDocument/2006/relationships/ctrlProp" Target="../ctrlProps/ctrlProp4813.xml"/><Relationship Id="rId23" Type="http://schemas.openxmlformats.org/officeDocument/2006/relationships/ctrlProp" Target="../ctrlProps/ctrlProp4821.xml"/><Relationship Id="rId28" Type="http://schemas.openxmlformats.org/officeDocument/2006/relationships/ctrlProp" Target="../ctrlProps/ctrlProp4826.xml"/><Relationship Id="rId36" Type="http://schemas.openxmlformats.org/officeDocument/2006/relationships/ctrlProp" Target="../ctrlProps/ctrlProp4834.xml"/><Relationship Id="rId10" Type="http://schemas.openxmlformats.org/officeDocument/2006/relationships/ctrlProp" Target="../ctrlProps/ctrlProp4808.xml"/><Relationship Id="rId19" Type="http://schemas.openxmlformats.org/officeDocument/2006/relationships/ctrlProp" Target="../ctrlProps/ctrlProp4817.xml"/><Relationship Id="rId31" Type="http://schemas.openxmlformats.org/officeDocument/2006/relationships/ctrlProp" Target="../ctrlProps/ctrlProp4829.xml"/><Relationship Id="rId4" Type="http://schemas.openxmlformats.org/officeDocument/2006/relationships/vmlDrawing" Target="../drawings/vmlDrawing118.vml"/><Relationship Id="rId9" Type="http://schemas.openxmlformats.org/officeDocument/2006/relationships/ctrlProp" Target="../ctrlProps/ctrlProp4807.xml"/><Relationship Id="rId14" Type="http://schemas.openxmlformats.org/officeDocument/2006/relationships/ctrlProp" Target="../ctrlProps/ctrlProp4812.xml"/><Relationship Id="rId22" Type="http://schemas.openxmlformats.org/officeDocument/2006/relationships/ctrlProp" Target="../ctrlProps/ctrlProp4820.xml"/><Relationship Id="rId27" Type="http://schemas.openxmlformats.org/officeDocument/2006/relationships/ctrlProp" Target="../ctrlProps/ctrlProp4825.xml"/><Relationship Id="rId30" Type="http://schemas.openxmlformats.org/officeDocument/2006/relationships/ctrlProp" Target="../ctrlProps/ctrlProp4828.xml"/><Relationship Id="rId35" Type="http://schemas.openxmlformats.org/officeDocument/2006/relationships/ctrlProp" Target="../ctrlProps/ctrlProp4833.xml"/><Relationship Id="rId8" Type="http://schemas.openxmlformats.org/officeDocument/2006/relationships/ctrlProp" Target="../ctrlProps/ctrlProp4806.xml"/><Relationship Id="rId3" Type="http://schemas.openxmlformats.org/officeDocument/2006/relationships/drawing" Target="../drawings/drawing118.xml"/></Relationships>
</file>

<file path=xl/worksheets/_rels/sheet122.xml.rels><?xml version="1.0" encoding="UTF-8" standalone="yes"?>
<Relationships xmlns="http://schemas.openxmlformats.org/package/2006/relationships"><Relationship Id="rId13" Type="http://schemas.openxmlformats.org/officeDocument/2006/relationships/ctrlProp" Target="../ctrlProps/ctrlProp4844.xml"/><Relationship Id="rId18" Type="http://schemas.openxmlformats.org/officeDocument/2006/relationships/ctrlProp" Target="../ctrlProps/ctrlProp4849.xml"/><Relationship Id="rId26" Type="http://schemas.openxmlformats.org/officeDocument/2006/relationships/ctrlProp" Target="../ctrlProps/ctrlProp4857.xml"/><Relationship Id="rId21" Type="http://schemas.openxmlformats.org/officeDocument/2006/relationships/ctrlProp" Target="../ctrlProps/ctrlProp4852.xml"/><Relationship Id="rId34" Type="http://schemas.openxmlformats.org/officeDocument/2006/relationships/ctrlProp" Target="../ctrlProps/ctrlProp4865.xml"/><Relationship Id="rId7" Type="http://schemas.openxmlformats.org/officeDocument/2006/relationships/ctrlProp" Target="../ctrlProps/ctrlProp4838.xml"/><Relationship Id="rId12" Type="http://schemas.openxmlformats.org/officeDocument/2006/relationships/ctrlProp" Target="../ctrlProps/ctrlProp4843.xml"/><Relationship Id="rId17" Type="http://schemas.openxmlformats.org/officeDocument/2006/relationships/ctrlProp" Target="../ctrlProps/ctrlProp4848.xml"/><Relationship Id="rId25" Type="http://schemas.openxmlformats.org/officeDocument/2006/relationships/ctrlProp" Target="../ctrlProps/ctrlProp4856.xml"/><Relationship Id="rId33" Type="http://schemas.openxmlformats.org/officeDocument/2006/relationships/ctrlProp" Target="../ctrlProps/ctrlProp4864.xml"/><Relationship Id="rId2" Type="http://schemas.openxmlformats.org/officeDocument/2006/relationships/printerSettings" Target="../printerSettings/printerSettings120.bin"/><Relationship Id="rId16" Type="http://schemas.openxmlformats.org/officeDocument/2006/relationships/ctrlProp" Target="../ctrlProps/ctrlProp4847.xml"/><Relationship Id="rId20" Type="http://schemas.openxmlformats.org/officeDocument/2006/relationships/ctrlProp" Target="../ctrlProps/ctrlProp4851.xml"/><Relationship Id="rId29" Type="http://schemas.openxmlformats.org/officeDocument/2006/relationships/ctrlProp" Target="../ctrlProps/ctrlProp4860.xml"/><Relationship Id="rId1" Type="http://schemas.openxmlformats.org/officeDocument/2006/relationships/hyperlink" Target="mailto:manager@goonawarragolfclub.com.au" TargetMode="External"/><Relationship Id="rId6" Type="http://schemas.openxmlformats.org/officeDocument/2006/relationships/ctrlProp" Target="../ctrlProps/ctrlProp4837.xml"/><Relationship Id="rId11" Type="http://schemas.openxmlformats.org/officeDocument/2006/relationships/ctrlProp" Target="../ctrlProps/ctrlProp4842.xml"/><Relationship Id="rId24" Type="http://schemas.openxmlformats.org/officeDocument/2006/relationships/ctrlProp" Target="../ctrlProps/ctrlProp4855.xml"/><Relationship Id="rId32" Type="http://schemas.openxmlformats.org/officeDocument/2006/relationships/ctrlProp" Target="../ctrlProps/ctrlProp4863.xml"/><Relationship Id="rId37" Type="http://schemas.openxmlformats.org/officeDocument/2006/relationships/ctrlProp" Target="../ctrlProps/ctrlProp4868.xml"/><Relationship Id="rId5" Type="http://schemas.openxmlformats.org/officeDocument/2006/relationships/ctrlProp" Target="../ctrlProps/ctrlProp4836.xml"/><Relationship Id="rId15" Type="http://schemas.openxmlformats.org/officeDocument/2006/relationships/ctrlProp" Target="../ctrlProps/ctrlProp4846.xml"/><Relationship Id="rId23" Type="http://schemas.openxmlformats.org/officeDocument/2006/relationships/ctrlProp" Target="../ctrlProps/ctrlProp4854.xml"/><Relationship Id="rId28" Type="http://schemas.openxmlformats.org/officeDocument/2006/relationships/ctrlProp" Target="../ctrlProps/ctrlProp4859.xml"/><Relationship Id="rId36" Type="http://schemas.openxmlformats.org/officeDocument/2006/relationships/ctrlProp" Target="../ctrlProps/ctrlProp4867.xml"/><Relationship Id="rId10" Type="http://schemas.openxmlformats.org/officeDocument/2006/relationships/ctrlProp" Target="../ctrlProps/ctrlProp4841.xml"/><Relationship Id="rId19" Type="http://schemas.openxmlformats.org/officeDocument/2006/relationships/ctrlProp" Target="../ctrlProps/ctrlProp4850.xml"/><Relationship Id="rId31" Type="http://schemas.openxmlformats.org/officeDocument/2006/relationships/ctrlProp" Target="../ctrlProps/ctrlProp4862.xml"/><Relationship Id="rId4" Type="http://schemas.openxmlformats.org/officeDocument/2006/relationships/vmlDrawing" Target="../drawings/vmlDrawing119.vml"/><Relationship Id="rId9" Type="http://schemas.openxmlformats.org/officeDocument/2006/relationships/ctrlProp" Target="../ctrlProps/ctrlProp4840.xml"/><Relationship Id="rId14" Type="http://schemas.openxmlformats.org/officeDocument/2006/relationships/ctrlProp" Target="../ctrlProps/ctrlProp4845.xml"/><Relationship Id="rId22" Type="http://schemas.openxmlformats.org/officeDocument/2006/relationships/ctrlProp" Target="../ctrlProps/ctrlProp4853.xml"/><Relationship Id="rId27" Type="http://schemas.openxmlformats.org/officeDocument/2006/relationships/ctrlProp" Target="../ctrlProps/ctrlProp4858.xml"/><Relationship Id="rId30" Type="http://schemas.openxmlformats.org/officeDocument/2006/relationships/ctrlProp" Target="../ctrlProps/ctrlProp4861.xml"/><Relationship Id="rId35" Type="http://schemas.openxmlformats.org/officeDocument/2006/relationships/ctrlProp" Target="../ctrlProps/ctrlProp4866.xml"/><Relationship Id="rId8" Type="http://schemas.openxmlformats.org/officeDocument/2006/relationships/ctrlProp" Target="../ctrlProps/ctrlProp4839.xml"/><Relationship Id="rId3" Type="http://schemas.openxmlformats.org/officeDocument/2006/relationships/drawing" Target="../drawings/drawing119.xml"/></Relationships>
</file>

<file path=xl/worksheets/_rels/sheet123.xml.rels><?xml version="1.0" encoding="UTF-8" standalone="yes"?>
<Relationships xmlns="http://schemas.openxmlformats.org/package/2006/relationships"><Relationship Id="rId13" Type="http://schemas.openxmlformats.org/officeDocument/2006/relationships/ctrlProp" Target="../ctrlProps/ctrlProp4878.xml"/><Relationship Id="rId18" Type="http://schemas.openxmlformats.org/officeDocument/2006/relationships/ctrlProp" Target="../ctrlProps/ctrlProp4883.xml"/><Relationship Id="rId26" Type="http://schemas.openxmlformats.org/officeDocument/2006/relationships/ctrlProp" Target="../ctrlProps/ctrlProp4891.xml"/><Relationship Id="rId3" Type="http://schemas.openxmlformats.org/officeDocument/2006/relationships/vmlDrawing" Target="../drawings/vmlDrawing120.vml"/><Relationship Id="rId21" Type="http://schemas.openxmlformats.org/officeDocument/2006/relationships/ctrlProp" Target="../ctrlProps/ctrlProp4886.xml"/><Relationship Id="rId34" Type="http://schemas.openxmlformats.org/officeDocument/2006/relationships/ctrlProp" Target="../ctrlProps/ctrlProp4899.xml"/><Relationship Id="rId7" Type="http://schemas.openxmlformats.org/officeDocument/2006/relationships/ctrlProp" Target="../ctrlProps/ctrlProp4872.xml"/><Relationship Id="rId12" Type="http://schemas.openxmlformats.org/officeDocument/2006/relationships/ctrlProp" Target="../ctrlProps/ctrlProp4877.xml"/><Relationship Id="rId17" Type="http://schemas.openxmlformats.org/officeDocument/2006/relationships/ctrlProp" Target="../ctrlProps/ctrlProp4882.xml"/><Relationship Id="rId25" Type="http://schemas.openxmlformats.org/officeDocument/2006/relationships/ctrlProp" Target="../ctrlProps/ctrlProp4890.xml"/><Relationship Id="rId33" Type="http://schemas.openxmlformats.org/officeDocument/2006/relationships/ctrlProp" Target="../ctrlProps/ctrlProp4898.xml"/><Relationship Id="rId2" Type="http://schemas.openxmlformats.org/officeDocument/2006/relationships/drawing" Target="../drawings/drawing120.xml"/><Relationship Id="rId16" Type="http://schemas.openxmlformats.org/officeDocument/2006/relationships/ctrlProp" Target="../ctrlProps/ctrlProp4881.xml"/><Relationship Id="rId20" Type="http://schemas.openxmlformats.org/officeDocument/2006/relationships/ctrlProp" Target="../ctrlProps/ctrlProp4885.xml"/><Relationship Id="rId29" Type="http://schemas.openxmlformats.org/officeDocument/2006/relationships/ctrlProp" Target="../ctrlProps/ctrlProp4894.xml"/><Relationship Id="rId1" Type="http://schemas.openxmlformats.org/officeDocument/2006/relationships/printerSettings" Target="../printerSettings/printerSettings121.bin"/><Relationship Id="rId6" Type="http://schemas.openxmlformats.org/officeDocument/2006/relationships/ctrlProp" Target="../ctrlProps/ctrlProp4871.xml"/><Relationship Id="rId11" Type="http://schemas.openxmlformats.org/officeDocument/2006/relationships/ctrlProp" Target="../ctrlProps/ctrlProp4876.xml"/><Relationship Id="rId24" Type="http://schemas.openxmlformats.org/officeDocument/2006/relationships/ctrlProp" Target="../ctrlProps/ctrlProp4889.xml"/><Relationship Id="rId32" Type="http://schemas.openxmlformats.org/officeDocument/2006/relationships/ctrlProp" Target="../ctrlProps/ctrlProp4897.xml"/><Relationship Id="rId5" Type="http://schemas.openxmlformats.org/officeDocument/2006/relationships/ctrlProp" Target="../ctrlProps/ctrlProp4870.xml"/><Relationship Id="rId15" Type="http://schemas.openxmlformats.org/officeDocument/2006/relationships/ctrlProp" Target="../ctrlProps/ctrlProp4880.xml"/><Relationship Id="rId23" Type="http://schemas.openxmlformats.org/officeDocument/2006/relationships/ctrlProp" Target="../ctrlProps/ctrlProp4888.xml"/><Relationship Id="rId28" Type="http://schemas.openxmlformats.org/officeDocument/2006/relationships/ctrlProp" Target="../ctrlProps/ctrlProp4893.xml"/><Relationship Id="rId36" Type="http://schemas.openxmlformats.org/officeDocument/2006/relationships/ctrlProp" Target="../ctrlProps/ctrlProp4901.xml"/><Relationship Id="rId10" Type="http://schemas.openxmlformats.org/officeDocument/2006/relationships/ctrlProp" Target="../ctrlProps/ctrlProp4875.xml"/><Relationship Id="rId19" Type="http://schemas.openxmlformats.org/officeDocument/2006/relationships/ctrlProp" Target="../ctrlProps/ctrlProp4884.xml"/><Relationship Id="rId31" Type="http://schemas.openxmlformats.org/officeDocument/2006/relationships/ctrlProp" Target="../ctrlProps/ctrlProp4896.xml"/><Relationship Id="rId4" Type="http://schemas.openxmlformats.org/officeDocument/2006/relationships/ctrlProp" Target="../ctrlProps/ctrlProp4869.xml"/><Relationship Id="rId9" Type="http://schemas.openxmlformats.org/officeDocument/2006/relationships/ctrlProp" Target="../ctrlProps/ctrlProp4874.xml"/><Relationship Id="rId14" Type="http://schemas.openxmlformats.org/officeDocument/2006/relationships/ctrlProp" Target="../ctrlProps/ctrlProp4879.xml"/><Relationship Id="rId22" Type="http://schemas.openxmlformats.org/officeDocument/2006/relationships/ctrlProp" Target="../ctrlProps/ctrlProp4887.xml"/><Relationship Id="rId27" Type="http://schemas.openxmlformats.org/officeDocument/2006/relationships/ctrlProp" Target="../ctrlProps/ctrlProp4892.xml"/><Relationship Id="rId30" Type="http://schemas.openxmlformats.org/officeDocument/2006/relationships/ctrlProp" Target="../ctrlProps/ctrlProp4895.xml"/><Relationship Id="rId35" Type="http://schemas.openxmlformats.org/officeDocument/2006/relationships/ctrlProp" Target="../ctrlProps/ctrlProp4900.xml"/><Relationship Id="rId8" Type="http://schemas.openxmlformats.org/officeDocument/2006/relationships/ctrlProp" Target="../ctrlProps/ctrlProp4873.xml"/></Relationships>
</file>

<file path=xl/worksheets/_rels/sheet124.xml.rels><?xml version="1.0" encoding="UTF-8" standalone="yes"?>
<Relationships xmlns="http://schemas.openxmlformats.org/package/2006/relationships"><Relationship Id="rId13" Type="http://schemas.openxmlformats.org/officeDocument/2006/relationships/ctrlProp" Target="../ctrlProps/ctrlProp4911.xml"/><Relationship Id="rId18" Type="http://schemas.openxmlformats.org/officeDocument/2006/relationships/ctrlProp" Target="../ctrlProps/ctrlProp4916.xml"/><Relationship Id="rId26" Type="http://schemas.openxmlformats.org/officeDocument/2006/relationships/ctrlProp" Target="../ctrlProps/ctrlProp4924.xml"/><Relationship Id="rId3" Type="http://schemas.openxmlformats.org/officeDocument/2006/relationships/vmlDrawing" Target="../drawings/vmlDrawing121.vml"/><Relationship Id="rId21" Type="http://schemas.openxmlformats.org/officeDocument/2006/relationships/ctrlProp" Target="../ctrlProps/ctrlProp4919.xml"/><Relationship Id="rId34" Type="http://schemas.openxmlformats.org/officeDocument/2006/relationships/ctrlProp" Target="../ctrlProps/ctrlProp4932.xml"/><Relationship Id="rId7" Type="http://schemas.openxmlformats.org/officeDocument/2006/relationships/ctrlProp" Target="../ctrlProps/ctrlProp4905.xml"/><Relationship Id="rId12" Type="http://schemas.openxmlformats.org/officeDocument/2006/relationships/ctrlProp" Target="../ctrlProps/ctrlProp4910.xml"/><Relationship Id="rId17" Type="http://schemas.openxmlformats.org/officeDocument/2006/relationships/ctrlProp" Target="../ctrlProps/ctrlProp4915.xml"/><Relationship Id="rId25" Type="http://schemas.openxmlformats.org/officeDocument/2006/relationships/ctrlProp" Target="../ctrlProps/ctrlProp4923.xml"/><Relationship Id="rId33" Type="http://schemas.openxmlformats.org/officeDocument/2006/relationships/ctrlProp" Target="../ctrlProps/ctrlProp4931.xml"/><Relationship Id="rId2" Type="http://schemas.openxmlformats.org/officeDocument/2006/relationships/drawing" Target="../drawings/drawing121.xml"/><Relationship Id="rId16" Type="http://schemas.openxmlformats.org/officeDocument/2006/relationships/ctrlProp" Target="../ctrlProps/ctrlProp4914.xml"/><Relationship Id="rId20" Type="http://schemas.openxmlformats.org/officeDocument/2006/relationships/ctrlProp" Target="../ctrlProps/ctrlProp4918.xml"/><Relationship Id="rId29" Type="http://schemas.openxmlformats.org/officeDocument/2006/relationships/ctrlProp" Target="../ctrlProps/ctrlProp4927.xml"/><Relationship Id="rId1" Type="http://schemas.openxmlformats.org/officeDocument/2006/relationships/printerSettings" Target="../printerSettings/printerSettings122.bin"/><Relationship Id="rId6" Type="http://schemas.openxmlformats.org/officeDocument/2006/relationships/ctrlProp" Target="../ctrlProps/ctrlProp4904.xml"/><Relationship Id="rId11" Type="http://schemas.openxmlformats.org/officeDocument/2006/relationships/ctrlProp" Target="../ctrlProps/ctrlProp4909.xml"/><Relationship Id="rId24" Type="http://schemas.openxmlformats.org/officeDocument/2006/relationships/ctrlProp" Target="../ctrlProps/ctrlProp4922.xml"/><Relationship Id="rId32" Type="http://schemas.openxmlformats.org/officeDocument/2006/relationships/ctrlProp" Target="../ctrlProps/ctrlProp4930.xml"/><Relationship Id="rId5" Type="http://schemas.openxmlformats.org/officeDocument/2006/relationships/ctrlProp" Target="../ctrlProps/ctrlProp4903.xml"/><Relationship Id="rId15" Type="http://schemas.openxmlformats.org/officeDocument/2006/relationships/ctrlProp" Target="../ctrlProps/ctrlProp4913.xml"/><Relationship Id="rId23" Type="http://schemas.openxmlformats.org/officeDocument/2006/relationships/ctrlProp" Target="../ctrlProps/ctrlProp4921.xml"/><Relationship Id="rId28" Type="http://schemas.openxmlformats.org/officeDocument/2006/relationships/ctrlProp" Target="../ctrlProps/ctrlProp4926.xml"/><Relationship Id="rId10" Type="http://schemas.openxmlformats.org/officeDocument/2006/relationships/ctrlProp" Target="../ctrlProps/ctrlProp4908.xml"/><Relationship Id="rId19" Type="http://schemas.openxmlformats.org/officeDocument/2006/relationships/ctrlProp" Target="../ctrlProps/ctrlProp4917.xml"/><Relationship Id="rId31" Type="http://schemas.openxmlformats.org/officeDocument/2006/relationships/ctrlProp" Target="../ctrlProps/ctrlProp4929.xml"/><Relationship Id="rId4" Type="http://schemas.openxmlformats.org/officeDocument/2006/relationships/ctrlProp" Target="../ctrlProps/ctrlProp4902.xml"/><Relationship Id="rId9" Type="http://schemas.openxmlformats.org/officeDocument/2006/relationships/ctrlProp" Target="../ctrlProps/ctrlProp4907.xml"/><Relationship Id="rId14" Type="http://schemas.openxmlformats.org/officeDocument/2006/relationships/ctrlProp" Target="../ctrlProps/ctrlProp4912.xml"/><Relationship Id="rId22" Type="http://schemas.openxmlformats.org/officeDocument/2006/relationships/ctrlProp" Target="../ctrlProps/ctrlProp4920.xml"/><Relationship Id="rId27" Type="http://schemas.openxmlformats.org/officeDocument/2006/relationships/ctrlProp" Target="../ctrlProps/ctrlProp4925.xml"/><Relationship Id="rId30" Type="http://schemas.openxmlformats.org/officeDocument/2006/relationships/ctrlProp" Target="../ctrlProps/ctrlProp4928.xml"/><Relationship Id="rId35" Type="http://schemas.openxmlformats.org/officeDocument/2006/relationships/ctrlProp" Target="../ctrlProps/ctrlProp4933.xml"/><Relationship Id="rId8" Type="http://schemas.openxmlformats.org/officeDocument/2006/relationships/ctrlProp" Target="../ctrlProps/ctrlProp4906.xml"/></Relationships>
</file>

<file path=xl/worksheets/_rels/sheet125.xml.rels><?xml version="1.0" encoding="UTF-8" standalone="yes"?>
<Relationships xmlns="http://schemas.openxmlformats.org/package/2006/relationships"><Relationship Id="rId13" Type="http://schemas.openxmlformats.org/officeDocument/2006/relationships/ctrlProp" Target="../ctrlProps/ctrlProp4943.xml"/><Relationship Id="rId18" Type="http://schemas.openxmlformats.org/officeDocument/2006/relationships/ctrlProp" Target="../ctrlProps/ctrlProp4948.xml"/><Relationship Id="rId26" Type="http://schemas.openxmlformats.org/officeDocument/2006/relationships/ctrlProp" Target="../ctrlProps/ctrlProp4956.xml"/><Relationship Id="rId3" Type="http://schemas.openxmlformats.org/officeDocument/2006/relationships/vmlDrawing" Target="../drawings/vmlDrawing122.vml"/><Relationship Id="rId21" Type="http://schemas.openxmlformats.org/officeDocument/2006/relationships/ctrlProp" Target="../ctrlProps/ctrlProp4951.xml"/><Relationship Id="rId34" Type="http://schemas.openxmlformats.org/officeDocument/2006/relationships/ctrlProp" Target="../ctrlProps/ctrlProp4964.xml"/><Relationship Id="rId7" Type="http://schemas.openxmlformats.org/officeDocument/2006/relationships/ctrlProp" Target="../ctrlProps/ctrlProp4937.xml"/><Relationship Id="rId12" Type="http://schemas.openxmlformats.org/officeDocument/2006/relationships/ctrlProp" Target="../ctrlProps/ctrlProp4942.xml"/><Relationship Id="rId17" Type="http://schemas.openxmlformats.org/officeDocument/2006/relationships/ctrlProp" Target="../ctrlProps/ctrlProp4947.xml"/><Relationship Id="rId25" Type="http://schemas.openxmlformats.org/officeDocument/2006/relationships/ctrlProp" Target="../ctrlProps/ctrlProp4955.xml"/><Relationship Id="rId33" Type="http://schemas.openxmlformats.org/officeDocument/2006/relationships/ctrlProp" Target="../ctrlProps/ctrlProp4963.xml"/><Relationship Id="rId2" Type="http://schemas.openxmlformats.org/officeDocument/2006/relationships/drawing" Target="../drawings/drawing122.xml"/><Relationship Id="rId16" Type="http://schemas.openxmlformats.org/officeDocument/2006/relationships/ctrlProp" Target="../ctrlProps/ctrlProp4946.xml"/><Relationship Id="rId20" Type="http://schemas.openxmlformats.org/officeDocument/2006/relationships/ctrlProp" Target="../ctrlProps/ctrlProp4950.xml"/><Relationship Id="rId29" Type="http://schemas.openxmlformats.org/officeDocument/2006/relationships/ctrlProp" Target="../ctrlProps/ctrlProp4959.xml"/><Relationship Id="rId1" Type="http://schemas.openxmlformats.org/officeDocument/2006/relationships/printerSettings" Target="../printerSettings/printerSettings123.bin"/><Relationship Id="rId6" Type="http://schemas.openxmlformats.org/officeDocument/2006/relationships/ctrlProp" Target="../ctrlProps/ctrlProp4936.xml"/><Relationship Id="rId11" Type="http://schemas.openxmlformats.org/officeDocument/2006/relationships/ctrlProp" Target="../ctrlProps/ctrlProp4941.xml"/><Relationship Id="rId24" Type="http://schemas.openxmlformats.org/officeDocument/2006/relationships/ctrlProp" Target="../ctrlProps/ctrlProp4954.xml"/><Relationship Id="rId32" Type="http://schemas.openxmlformats.org/officeDocument/2006/relationships/ctrlProp" Target="../ctrlProps/ctrlProp4962.xml"/><Relationship Id="rId5" Type="http://schemas.openxmlformats.org/officeDocument/2006/relationships/ctrlProp" Target="../ctrlProps/ctrlProp4935.xml"/><Relationship Id="rId15" Type="http://schemas.openxmlformats.org/officeDocument/2006/relationships/ctrlProp" Target="../ctrlProps/ctrlProp4945.xml"/><Relationship Id="rId23" Type="http://schemas.openxmlformats.org/officeDocument/2006/relationships/ctrlProp" Target="../ctrlProps/ctrlProp4953.xml"/><Relationship Id="rId28" Type="http://schemas.openxmlformats.org/officeDocument/2006/relationships/ctrlProp" Target="../ctrlProps/ctrlProp4958.xml"/><Relationship Id="rId10" Type="http://schemas.openxmlformats.org/officeDocument/2006/relationships/ctrlProp" Target="../ctrlProps/ctrlProp4940.xml"/><Relationship Id="rId19" Type="http://schemas.openxmlformats.org/officeDocument/2006/relationships/ctrlProp" Target="../ctrlProps/ctrlProp4949.xml"/><Relationship Id="rId31" Type="http://schemas.openxmlformats.org/officeDocument/2006/relationships/ctrlProp" Target="../ctrlProps/ctrlProp4961.xml"/><Relationship Id="rId4" Type="http://schemas.openxmlformats.org/officeDocument/2006/relationships/ctrlProp" Target="../ctrlProps/ctrlProp4934.xml"/><Relationship Id="rId9" Type="http://schemas.openxmlformats.org/officeDocument/2006/relationships/ctrlProp" Target="../ctrlProps/ctrlProp4939.xml"/><Relationship Id="rId14" Type="http://schemas.openxmlformats.org/officeDocument/2006/relationships/ctrlProp" Target="../ctrlProps/ctrlProp4944.xml"/><Relationship Id="rId22" Type="http://schemas.openxmlformats.org/officeDocument/2006/relationships/ctrlProp" Target="../ctrlProps/ctrlProp4952.xml"/><Relationship Id="rId27" Type="http://schemas.openxmlformats.org/officeDocument/2006/relationships/ctrlProp" Target="../ctrlProps/ctrlProp4957.xml"/><Relationship Id="rId30" Type="http://schemas.openxmlformats.org/officeDocument/2006/relationships/ctrlProp" Target="../ctrlProps/ctrlProp4960.xml"/><Relationship Id="rId35" Type="http://schemas.openxmlformats.org/officeDocument/2006/relationships/ctrlProp" Target="../ctrlProps/ctrlProp4965.xml"/><Relationship Id="rId8" Type="http://schemas.openxmlformats.org/officeDocument/2006/relationships/ctrlProp" Target="../ctrlProps/ctrlProp4938.xml"/></Relationships>
</file>

<file path=xl/worksheets/_rels/sheet126.xml.rels><?xml version="1.0" encoding="UTF-8" standalone="yes"?>
<Relationships xmlns="http://schemas.openxmlformats.org/package/2006/relationships"><Relationship Id="rId13" Type="http://schemas.openxmlformats.org/officeDocument/2006/relationships/ctrlProp" Target="../ctrlProps/ctrlProp4975.xml"/><Relationship Id="rId18" Type="http://schemas.openxmlformats.org/officeDocument/2006/relationships/ctrlProp" Target="../ctrlProps/ctrlProp4980.xml"/><Relationship Id="rId26" Type="http://schemas.openxmlformats.org/officeDocument/2006/relationships/ctrlProp" Target="../ctrlProps/ctrlProp4988.xml"/><Relationship Id="rId3" Type="http://schemas.openxmlformats.org/officeDocument/2006/relationships/vmlDrawing" Target="../drawings/vmlDrawing123.vml"/><Relationship Id="rId21" Type="http://schemas.openxmlformats.org/officeDocument/2006/relationships/ctrlProp" Target="../ctrlProps/ctrlProp4983.xml"/><Relationship Id="rId34" Type="http://schemas.openxmlformats.org/officeDocument/2006/relationships/ctrlProp" Target="../ctrlProps/ctrlProp4996.xml"/><Relationship Id="rId7" Type="http://schemas.openxmlformats.org/officeDocument/2006/relationships/ctrlProp" Target="../ctrlProps/ctrlProp4969.xml"/><Relationship Id="rId12" Type="http://schemas.openxmlformats.org/officeDocument/2006/relationships/ctrlProp" Target="../ctrlProps/ctrlProp4974.xml"/><Relationship Id="rId17" Type="http://schemas.openxmlformats.org/officeDocument/2006/relationships/ctrlProp" Target="../ctrlProps/ctrlProp4979.xml"/><Relationship Id="rId25" Type="http://schemas.openxmlformats.org/officeDocument/2006/relationships/ctrlProp" Target="../ctrlProps/ctrlProp4987.xml"/><Relationship Id="rId33" Type="http://schemas.openxmlformats.org/officeDocument/2006/relationships/ctrlProp" Target="../ctrlProps/ctrlProp4995.xml"/><Relationship Id="rId2" Type="http://schemas.openxmlformats.org/officeDocument/2006/relationships/drawing" Target="../drawings/drawing123.xml"/><Relationship Id="rId16" Type="http://schemas.openxmlformats.org/officeDocument/2006/relationships/ctrlProp" Target="../ctrlProps/ctrlProp4978.xml"/><Relationship Id="rId20" Type="http://schemas.openxmlformats.org/officeDocument/2006/relationships/ctrlProp" Target="../ctrlProps/ctrlProp4982.xml"/><Relationship Id="rId29" Type="http://schemas.openxmlformats.org/officeDocument/2006/relationships/ctrlProp" Target="../ctrlProps/ctrlProp4991.xml"/><Relationship Id="rId1" Type="http://schemas.openxmlformats.org/officeDocument/2006/relationships/printerSettings" Target="../printerSettings/printerSettings124.bin"/><Relationship Id="rId6" Type="http://schemas.openxmlformats.org/officeDocument/2006/relationships/ctrlProp" Target="../ctrlProps/ctrlProp4968.xml"/><Relationship Id="rId11" Type="http://schemas.openxmlformats.org/officeDocument/2006/relationships/ctrlProp" Target="../ctrlProps/ctrlProp4973.xml"/><Relationship Id="rId24" Type="http://schemas.openxmlformats.org/officeDocument/2006/relationships/ctrlProp" Target="../ctrlProps/ctrlProp4986.xml"/><Relationship Id="rId32" Type="http://schemas.openxmlformats.org/officeDocument/2006/relationships/ctrlProp" Target="../ctrlProps/ctrlProp4994.xml"/><Relationship Id="rId5" Type="http://schemas.openxmlformats.org/officeDocument/2006/relationships/ctrlProp" Target="../ctrlProps/ctrlProp4967.xml"/><Relationship Id="rId15" Type="http://schemas.openxmlformats.org/officeDocument/2006/relationships/ctrlProp" Target="../ctrlProps/ctrlProp4977.xml"/><Relationship Id="rId23" Type="http://schemas.openxmlformats.org/officeDocument/2006/relationships/ctrlProp" Target="../ctrlProps/ctrlProp4985.xml"/><Relationship Id="rId28" Type="http://schemas.openxmlformats.org/officeDocument/2006/relationships/ctrlProp" Target="../ctrlProps/ctrlProp4990.xml"/><Relationship Id="rId10" Type="http://schemas.openxmlformats.org/officeDocument/2006/relationships/ctrlProp" Target="../ctrlProps/ctrlProp4972.xml"/><Relationship Id="rId19" Type="http://schemas.openxmlformats.org/officeDocument/2006/relationships/ctrlProp" Target="../ctrlProps/ctrlProp4981.xml"/><Relationship Id="rId31" Type="http://schemas.openxmlformats.org/officeDocument/2006/relationships/ctrlProp" Target="../ctrlProps/ctrlProp4993.xml"/><Relationship Id="rId4" Type="http://schemas.openxmlformats.org/officeDocument/2006/relationships/ctrlProp" Target="../ctrlProps/ctrlProp4966.xml"/><Relationship Id="rId9" Type="http://schemas.openxmlformats.org/officeDocument/2006/relationships/ctrlProp" Target="../ctrlProps/ctrlProp4971.xml"/><Relationship Id="rId14" Type="http://schemas.openxmlformats.org/officeDocument/2006/relationships/ctrlProp" Target="../ctrlProps/ctrlProp4976.xml"/><Relationship Id="rId22" Type="http://schemas.openxmlformats.org/officeDocument/2006/relationships/ctrlProp" Target="../ctrlProps/ctrlProp4984.xml"/><Relationship Id="rId27" Type="http://schemas.openxmlformats.org/officeDocument/2006/relationships/ctrlProp" Target="../ctrlProps/ctrlProp4989.xml"/><Relationship Id="rId30" Type="http://schemas.openxmlformats.org/officeDocument/2006/relationships/ctrlProp" Target="../ctrlProps/ctrlProp4992.xml"/><Relationship Id="rId35" Type="http://schemas.openxmlformats.org/officeDocument/2006/relationships/ctrlProp" Target="../ctrlProps/ctrlProp4997.xml"/><Relationship Id="rId8" Type="http://schemas.openxmlformats.org/officeDocument/2006/relationships/ctrlProp" Target="../ctrlProps/ctrlProp4970.xml"/></Relationships>
</file>

<file path=xl/worksheets/_rels/sheet127.xml.rels><?xml version="1.0" encoding="UTF-8" standalone="yes"?>
<Relationships xmlns="http://schemas.openxmlformats.org/package/2006/relationships"><Relationship Id="rId13" Type="http://schemas.openxmlformats.org/officeDocument/2006/relationships/ctrlProp" Target="../ctrlProps/ctrlProp5007.xml"/><Relationship Id="rId18" Type="http://schemas.openxmlformats.org/officeDocument/2006/relationships/ctrlProp" Target="../ctrlProps/ctrlProp5012.xml"/><Relationship Id="rId26" Type="http://schemas.openxmlformats.org/officeDocument/2006/relationships/ctrlProp" Target="../ctrlProps/ctrlProp5020.xml"/><Relationship Id="rId3" Type="http://schemas.openxmlformats.org/officeDocument/2006/relationships/vmlDrawing" Target="../drawings/vmlDrawing124.vml"/><Relationship Id="rId21" Type="http://schemas.openxmlformats.org/officeDocument/2006/relationships/ctrlProp" Target="../ctrlProps/ctrlProp5015.xml"/><Relationship Id="rId34" Type="http://schemas.openxmlformats.org/officeDocument/2006/relationships/ctrlProp" Target="../ctrlProps/ctrlProp5028.xml"/><Relationship Id="rId7" Type="http://schemas.openxmlformats.org/officeDocument/2006/relationships/ctrlProp" Target="../ctrlProps/ctrlProp5001.xml"/><Relationship Id="rId12" Type="http://schemas.openxmlformats.org/officeDocument/2006/relationships/ctrlProp" Target="../ctrlProps/ctrlProp5006.xml"/><Relationship Id="rId17" Type="http://schemas.openxmlformats.org/officeDocument/2006/relationships/ctrlProp" Target="../ctrlProps/ctrlProp5011.xml"/><Relationship Id="rId25" Type="http://schemas.openxmlformats.org/officeDocument/2006/relationships/ctrlProp" Target="../ctrlProps/ctrlProp5019.xml"/><Relationship Id="rId33" Type="http://schemas.openxmlformats.org/officeDocument/2006/relationships/ctrlProp" Target="../ctrlProps/ctrlProp5027.xml"/><Relationship Id="rId2" Type="http://schemas.openxmlformats.org/officeDocument/2006/relationships/drawing" Target="../drawings/drawing124.xml"/><Relationship Id="rId16" Type="http://schemas.openxmlformats.org/officeDocument/2006/relationships/ctrlProp" Target="../ctrlProps/ctrlProp5010.xml"/><Relationship Id="rId20" Type="http://schemas.openxmlformats.org/officeDocument/2006/relationships/ctrlProp" Target="../ctrlProps/ctrlProp5014.xml"/><Relationship Id="rId29" Type="http://schemas.openxmlformats.org/officeDocument/2006/relationships/ctrlProp" Target="../ctrlProps/ctrlProp5023.xml"/><Relationship Id="rId1" Type="http://schemas.openxmlformats.org/officeDocument/2006/relationships/printerSettings" Target="../printerSettings/printerSettings125.bin"/><Relationship Id="rId6" Type="http://schemas.openxmlformats.org/officeDocument/2006/relationships/ctrlProp" Target="../ctrlProps/ctrlProp5000.xml"/><Relationship Id="rId11" Type="http://schemas.openxmlformats.org/officeDocument/2006/relationships/ctrlProp" Target="../ctrlProps/ctrlProp5005.xml"/><Relationship Id="rId24" Type="http://schemas.openxmlformats.org/officeDocument/2006/relationships/ctrlProp" Target="../ctrlProps/ctrlProp5018.xml"/><Relationship Id="rId32" Type="http://schemas.openxmlformats.org/officeDocument/2006/relationships/ctrlProp" Target="../ctrlProps/ctrlProp5026.xml"/><Relationship Id="rId5" Type="http://schemas.openxmlformats.org/officeDocument/2006/relationships/ctrlProp" Target="../ctrlProps/ctrlProp4999.xml"/><Relationship Id="rId15" Type="http://schemas.openxmlformats.org/officeDocument/2006/relationships/ctrlProp" Target="../ctrlProps/ctrlProp5009.xml"/><Relationship Id="rId23" Type="http://schemas.openxmlformats.org/officeDocument/2006/relationships/ctrlProp" Target="../ctrlProps/ctrlProp5017.xml"/><Relationship Id="rId28" Type="http://schemas.openxmlformats.org/officeDocument/2006/relationships/ctrlProp" Target="../ctrlProps/ctrlProp5022.xml"/><Relationship Id="rId10" Type="http://schemas.openxmlformats.org/officeDocument/2006/relationships/ctrlProp" Target="../ctrlProps/ctrlProp5004.xml"/><Relationship Id="rId19" Type="http://schemas.openxmlformats.org/officeDocument/2006/relationships/ctrlProp" Target="../ctrlProps/ctrlProp5013.xml"/><Relationship Id="rId31" Type="http://schemas.openxmlformats.org/officeDocument/2006/relationships/ctrlProp" Target="../ctrlProps/ctrlProp5025.xml"/><Relationship Id="rId4" Type="http://schemas.openxmlformats.org/officeDocument/2006/relationships/ctrlProp" Target="../ctrlProps/ctrlProp4998.xml"/><Relationship Id="rId9" Type="http://schemas.openxmlformats.org/officeDocument/2006/relationships/ctrlProp" Target="../ctrlProps/ctrlProp5003.xml"/><Relationship Id="rId14" Type="http://schemas.openxmlformats.org/officeDocument/2006/relationships/ctrlProp" Target="../ctrlProps/ctrlProp5008.xml"/><Relationship Id="rId22" Type="http://schemas.openxmlformats.org/officeDocument/2006/relationships/ctrlProp" Target="../ctrlProps/ctrlProp5016.xml"/><Relationship Id="rId27" Type="http://schemas.openxmlformats.org/officeDocument/2006/relationships/ctrlProp" Target="../ctrlProps/ctrlProp5021.xml"/><Relationship Id="rId30" Type="http://schemas.openxmlformats.org/officeDocument/2006/relationships/ctrlProp" Target="../ctrlProps/ctrlProp5024.xml"/><Relationship Id="rId35" Type="http://schemas.openxmlformats.org/officeDocument/2006/relationships/ctrlProp" Target="../ctrlProps/ctrlProp5029.xml"/><Relationship Id="rId8" Type="http://schemas.openxmlformats.org/officeDocument/2006/relationships/ctrlProp" Target="../ctrlProps/ctrlProp500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D1068"/>
  <sheetViews>
    <sheetView tabSelected="1" zoomScale="82" zoomScaleNormal="82" workbookViewId="0">
      <pane xSplit="3" ySplit="8" topLeftCell="D99" activePane="bottomRight" state="frozen"/>
      <selection pane="topRight" activeCell="D1" sqref="D1"/>
      <selection pane="bottomLeft" activeCell="A45" sqref="A45"/>
      <selection pane="bottomRight" activeCell="D126" sqref="D126"/>
    </sheetView>
  </sheetViews>
  <sheetFormatPr defaultColWidth="9.140625" defaultRowHeight="15" x14ac:dyDescent="0.25"/>
  <cols>
    <col min="1" max="1" width="1.85546875" customWidth="1"/>
    <col min="2" max="2" width="6.85546875" style="41" customWidth="1"/>
    <col min="3" max="3" width="31.85546875" customWidth="1"/>
    <col min="4" max="4" width="13" customWidth="1"/>
    <col min="5" max="5" width="15.42578125" style="13" customWidth="1"/>
    <col min="6" max="6" width="21.28515625" style="13" customWidth="1"/>
    <col min="7" max="7" width="16.5703125" customWidth="1"/>
    <col min="8" max="8" width="20.7109375" customWidth="1"/>
    <col min="9" max="9" width="9.7109375" customWidth="1"/>
    <col min="10" max="10" width="20.5703125" style="13" customWidth="1"/>
    <col min="11" max="11" width="6.140625" customWidth="1"/>
    <col min="12" max="12" width="23.42578125" customWidth="1"/>
    <col min="13" max="13" width="15" customWidth="1"/>
    <col min="14" max="14" width="5.7109375" style="13" hidden="1" customWidth="1"/>
    <col min="15" max="15" width="15.5703125" style="13" hidden="1" customWidth="1"/>
    <col min="16" max="16" width="13" hidden="1" customWidth="1"/>
    <col min="17" max="17" width="11.7109375" style="38" hidden="1" customWidth="1"/>
    <col min="18" max="18" width="12.28515625" style="38" hidden="1" customWidth="1"/>
    <col min="19" max="19" width="12.140625" style="38" hidden="1" customWidth="1"/>
    <col min="20" max="20" width="2.7109375" style="38" hidden="1" customWidth="1"/>
    <col min="21" max="21" width="26.5703125" customWidth="1"/>
    <col min="22" max="22" width="12.5703125" style="38" customWidth="1"/>
    <col min="23" max="23" width="10.28515625" style="54" customWidth="1"/>
    <col min="24" max="24" width="12.7109375" customWidth="1"/>
    <col min="25" max="25" width="12.28515625" customWidth="1"/>
    <col min="26" max="26" width="13.140625" customWidth="1"/>
    <col min="27" max="27" width="10.5703125" style="54" customWidth="1"/>
    <col min="28" max="28" width="11" customWidth="1"/>
    <col min="30" max="30" width="15.42578125" hidden="1" customWidth="1"/>
  </cols>
  <sheetData>
    <row r="1" spans="1:30" ht="31.5" customHeight="1" thickBot="1" x14ac:dyDescent="0.45">
      <c r="C1" s="47">
        <f ca="1">NOW()</f>
        <v>45901.692767708337</v>
      </c>
      <c r="J1" s="157"/>
      <c r="L1" s="146">
        <f>SUM(AC12:AC203)</f>
        <v>107</v>
      </c>
      <c r="M1" s="147"/>
      <c r="N1" s="148"/>
      <c r="O1" s="148"/>
      <c r="P1" s="147"/>
      <c r="Q1" s="149"/>
      <c r="R1" s="149"/>
      <c r="S1" s="149"/>
      <c r="T1" s="150" t="s">
        <v>0</v>
      </c>
      <c r="U1" s="151"/>
      <c r="V1" s="152"/>
      <c r="W1" s="146">
        <f>50-L1</f>
        <v>-57</v>
      </c>
      <c r="X1" s="151" t="s">
        <v>1</v>
      </c>
      <c r="Y1" s="151"/>
      <c r="Z1" s="153"/>
      <c r="AA1" s="232">
        <f ca="1">TODAY()</f>
        <v>45901</v>
      </c>
      <c r="AB1" s="233"/>
    </row>
    <row r="2" spans="1:30" s="43" customFormat="1" ht="15" customHeight="1" thickBot="1" x14ac:dyDescent="0.3">
      <c r="A2" s="42"/>
      <c r="B2" s="3" t="s">
        <v>2</v>
      </c>
      <c r="C2" s="3" t="s">
        <v>3</v>
      </c>
      <c r="D2" s="49" t="s">
        <v>4</v>
      </c>
      <c r="E2" s="4" t="s">
        <v>5</v>
      </c>
      <c r="F2" s="4" t="s">
        <v>6</v>
      </c>
      <c r="G2" s="3" t="s">
        <v>7</v>
      </c>
      <c r="H2" s="3" t="s">
        <v>8</v>
      </c>
      <c r="I2" s="3" t="s">
        <v>9</v>
      </c>
      <c r="J2" s="3" t="s">
        <v>10</v>
      </c>
      <c r="K2" s="4" t="s">
        <v>11</v>
      </c>
      <c r="L2" s="3" t="s">
        <v>12</v>
      </c>
      <c r="M2" s="3" t="s">
        <v>13</v>
      </c>
      <c r="N2" s="3" t="s">
        <v>14</v>
      </c>
      <c r="O2" s="3" t="s">
        <v>15</v>
      </c>
      <c r="P2" s="4" t="s">
        <v>16</v>
      </c>
      <c r="Q2" s="44" t="s">
        <v>17</v>
      </c>
      <c r="R2" s="44" t="s">
        <v>18</v>
      </c>
      <c r="S2" s="44" t="s">
        <v>19</v>
      </c>
      <c r="T2" s="44" t="s">
        <v>20</v>
      </c>
      <c r="U2" s="4" t="s">
        <v>21</v>
      </c>
      <c r="V2" s="44" t="s">
        <v>22</v>
      </c>
      <c r="W2" s="71" t="s">
        <v>23</v>
      </c>
      <c r="X2" s="44" t="s">
        <v>24</v>
      </c>
      <c r="Y2" s="44" t="s">
        <v>25</v>
      </c>
      <c r="Z2" s="44" t="s">
        <v>26</v>
      </c>
      <c r="AA2" s="71" t="s">
        <v>27</v>
      </c>
      <c r="AB2" s="70" t="s">
        <v>28</v>
      </c>
    </row>
    <row r="3" spans="1:30" ht="15.75" hidden="1" customHeight="1" x14ac:dyDescent="0.25">
      <c r="B3" s="39"/>
      <c r="C3" s="6"/>
      <c r="D3" s="7"/>
      <c r="E3" s="50"/>
      <c r="F3" s="50"/>
      <c r="G3" s="5"/>
      <c r="H3" s="5"/>
      <c r="I3" s="14" t="s">
        <v>29</v>
      </c>
      <c r="J3" s="14" t="s">
        <v>30</v>
      </c>
      <c r="K3" s="15"/>
      <c r="L3" s="14" t="s">
        <v>31</v>
      </c>
      <c r="M3" s="14"/>
      <c r="N3" s="14"/>
      <c r="O3" s="14"/>
      <c r="P3" s="15" t="s">
        <v>32</v>
      </c>
      <c r="Q3" s="45"/>
      <c r="R3" s="45"/>
      <c r="S3" s="45"/>
      <c r="T3" s="45"/>
      <c r="U3" s="27"/>
      <c r="V3" s="45"/>
    </row>
    <row r="4" spans="1:30" ht="15.75" hidden="1" customHeight="1" x14ac:dyDescent="0.25">
      <c r="B4" s="39"/>
      <c r="C4" s="6"/>
      <c r="D4" s="7"/>
      <c r="E4" s="50"/>
      <c r="F4" s="50"/>
      <c r="G4" s="5"/>
      <c r="H4" s="5"/>
      <c r="I4" s="14" t="s">
        <v>33</v>
      </c>
      <c r="J4" s="14" t="s">
        <v>34</v>
      </c>
      <c r="K4" s="15"/>
      <c r="L4" s="14" t="s">
        <v>35</v>
      </c>
      <c r="M4" s="14"/>
      <c r="N4" s="14"/>
      <c r="O4" s="14"/>
      <c r="P4" s="15" t="s">
        <v>36</v>
      </c>
      <c r="Q4" s="45"/>
      <c r="R4" s="45"/>
      <c r="S4" s="45"/>
      <c r="T4" s="45"/>
      <c r="U4" s="27"/>
      <c r="V4" s="45"/>
    </row>
    <row r="5" spans="1:30" ht="15.75" hidden="1" customHeight="1" x14ac:dyDescent="0.25">
      <c r="B5" s="39"/>
      <c r="C5" s="6"/>
      <c r="D5" s="7"/>
      <c r="E5" s="50"/>
      <c r="F5" s="50"/>
      <c r="G5" s="5"/>
      <c r="H5" s="5"/>
      <c r="I5" s="14" t="s">
        <v>37</v>
      </c>
      <c r="J5" s="14" t="s">
        <v>38</v>
      </c>
      <c r="K5" s="15"/>
      <c r="L5" s="14" t="s">
        <v>39</v>
      </c>
      <c r="M5" s="14"/>
      <c r="N5" s="14"/>
      <c r="O5" s="14"/>
      <c r="P5" s="15"/>
      <c r="Q5" s="45"/>
      <c r="R5" s="45"/>
      <c r="S5" s="45"/>
      <c r="T5" s="45"/>
      <c r="U5" s="27"/>
      <c r="V5" s="45"/>
    </row>
    <row r="6" spans="1:30" ht="15.75" hidden="1" customHeight="1" x14ac:dyDescent="0.25">
      <c r="B6" s="39"/>
      <c r="C6" s="6"/>
      <c r="D6" s="7"/>
      <c r="E6" s="50"/>
      <c r="F6" s="50"/>
      <c r="G6" s="5"/>
      <c r="H6" s="5"/>
      <c r="I6" s="14" t="s">
        <v>40</v>
      </c>
      <c r="J6" s="14" t="s">
        <v>41</v>
      </c>
      <c r="K6" s="15"/>
      <c r="L6" s="14" t="s">
        <v>38</v>
      </c>
      <c r="M6" s="14"/>
      <c r="N6" s="14"/>
      <c r="O6" s="14"/>
      <c r="P6" s="15"/>
      <c r="Q6" s="45"/>
      <c r="R6" s="45"/>
      <c r="S6" s="45"/>
      <c r="T6" s="45"/>
      <c r="U6" s="27"/>
      <c r="V6" s="45"/>
    </row>
    <row r="7" spans="1:30" ht="15.75" hidden="1" customHeight="1" x14ac:dyDescent="0.25">
      <c r="B7" s="39"/>
      <c r="C7" s="6"/>
      <c r="D7" s="7"/>
      <c r="E7" s="50"/>
      <c r="F7" s="50"/>
      <c r="G7" s="5"/>
      <c r="H7" s="5"/>
      <c r="I7" s="14" t="s">
        <v>42</v>
      </c>
      <c r="J7" s="14" t="s">
        <v>43</v>
      </c>
      <c r="K7" s="15"/>
      <c r="L7" s="14" t="s">
        <v>44</v>
      </c>
      <c r="M7" s="14"/>
      <c r="N7" s="14"/>
      <c r="O7" s="14"/>
      <c r="P7" s="15"/>
      <c r="Q7" s="45"/>
      <c r="R7" s="45"/>
      <c r="S7" s="45"/>
      <c r="T7" s="45"/>
      <c r="U7" s="27"/>
      <c r="V7" s="45"/>
    </row>
    <row r="8" spans="1:30" ht="15.75" hidden="1" customHeight="1" thickBot="1" x14ac:dyDescent="0.3">
      <c r="B8" s="40"/>
      <c r="C8" s="29"/>
      <c r="D8" s="30"/>
      <c r="E8" s="51"/>
      <c r="F8" s="51"/>
      <c r="G8" s="32"/>
      <c r="H8" s="32"/>
      <c r="I8" s="33" t="s">
        <v>44</v>
      </c>
      <c r="J8" s="48"/>
      <c r="K8" s="34"/>
      <c r="L8" s="37"/>
      <c r="M8" s="37"/>
      <c r="N8" s="48"/>
      <c r="O8" s="48"/>
      <c r="P8" s="34"/>
      <c r="Q8" s="46"/>
      <c r="R8" s="46"/>
      <c r="S8" s="46"/>
      <c r="T8" s="46"/>
      <c r="U8" s="35"/>
      <c r="V8" s="46"/>
    </row>
    <row r="9" spans="1:30" x14ac:dyDescent="0.25">
      <c r="A9" t="s">
        <v>45</v>
      </c>
      <c r="B9" s="41">
        <v>4</v>
      </c>
      <c r="C9" t="s">
        <v>46</v>
      </c>
      <c r="D9" t="s">
        <v>47</v>
      </c>
      <c r="E9" s="13" t="s">
        <v>48</v>
      </c>
      <c r="F9" s="13" t="s">
        <v>49</v>
      </c>
      <c r="G9" t="s">
        <v>50</v>
      </c>
      <c r="H9" t="s">
        <v>51</v>
      </c>
      <c r="I9" t="s">
        <v>52</v>
      </c>
      <c r="J9" s="13" t="s">
        <v>30</v>
      </c>
      <c r="K9" s="13"/>
      <c r="L9" t="s">
        <v>31</v>
      </c>
      <c r="M9" s="52" t="s">
        <v>53</v>
      </c>
      <c r="V9" s="54"/>
      <c r="AB9" s="81">
        <f>W9+Y9-AA9</f>
        <v>0</v>
      </c>
      <c r="AC9" s="106">
        <v>1</v>
      </c>
      <c r="AD9" t="e">
        <f ca="1">AA1-M9</f>
        <v>#VALUE!</v>
      </c>
    </row>
    <row r="10" spans="1:30" x14ac:dyDescent="0.25">
      <c r="A10" t="s">
        <v>45</v>
      </c>
      <c r="B10" s="41">
        <v>7</v>
      </c>
      <c r="C10" t="s">
        <v>54</v>
      </c>
      <c r="D10" t="s">
        <v>55</v>
      </c>
      <c r="E10" s="13" t="s">
        <v>56</v>
      </c>
      <c r="F10" s="13" t="s">
        <v>57</v>
      </c>
      <c r="G10" t="s">
        <v>58</v>
      </c>
      <c r="H10" t="s">
        <v>59</v>
      </c>
      <c r="I10" t="s">
        <v>29</v>
      </c>
      <c r="J10" s="13" t="s">
        <v>30</v>
      </c>
      <c r="K10" s="13"/>
      <c r="L10" t="s">
        <v>60</v>
      </c>
      <c r="M10" s="52" t="s">
        <v>53</v>
      </c>
      <c r="V10" s="54">
        <v>2352</v>
      </c>
      <c r="AB10" s="81">
        <f>W10+Y10-AA10</f>
        <v>0</v>
      </c>
      <c r="AC10" s="106">
        <v>1</v>
      </c>
      <c r="AD10" t="e">
        <f ca="1">AA1-M10</f>
        <v>#VALUE!</v>
      </c>
    </row>
    <row r="11" spans="1:30" x14ac:dyDescent="0.25">
      <c r="A11" t="s">
        <v>45</v>
      </c>
      <c r="B11" s="41">
        <v>9</v>
      </c>
      <c r="C11" t="s">
        <v>61</v>
      </c>
      <c r="D11" t="s">
        <v>62</v>
      </c>
      <c r="E11" s="13" t="s">
        <v>63</v>
      </c>
      <c r="F11" s="13" t="s">
        <v>64</v>
      </c>
      <c r="G11" t="s">
        <v>65</v>
      </c>
      <c r="H11" t="s">
        <v>66</v>
      </c>
      <c r="I11" t="s">
        <v>37</v>
      </c>
      <c r="J11" s="13" t="s">
        <v>34</v>
      </c>
      <c r="K11" s="13"/>
      <c r="L11" t="s">
        <v>67</v>
      </c>
      <c r="M11" s="52" t="s">
        <v>53</v>
      </c>
      <c r="V11" s="54">
        <v>2722</v>
      </c>
      <c r="AB11" s="81">
        <f>W11+Y11-AA11</f>
        <v>0</v>
      </c>
      <c r="AC11" s="106">
        <v>1</v>
      </c>
      <c r="AD11" t="e">
        <f ca="1">AA1-M11</f>
        <v>#VALUE!</v>
      </c>
    </row>
    <row r="12" spans="1:30" x14ac:dyDescent="0.25">
      <c r="A12" t="s">
        <v>45</v>
      </c>
      <c r="B12" s="41">
        <v>18</v>
      </c>
      <c r="C12" t="s">
        <v>68</v>
      </c>
      <c r="D12" t="s">
        <v>69</v>
      </c>
      <c r="E12" s="13" t="s">
        <v>70</v>
      </c>
      <c r="F12" s="13" t="s">
        <v>71</v>
      </c>
      <c r="G12" t="s">
        <v>72</v>
      </c>
      <c r="H12" t="s">
        <v>73</v>
      </c>
      <c r="I12" t="s">
        <v>40</v>
      </c>
      <c r="J12" s="13" t="s">
        <v>34</v>
      </c>
      <c r="K12" s="13"/>
      <c r="L12" t="s">
        <v>60</v>
      </c>
      <c r="M12" s="52" t="s">
        <v>53</v>
      </c>
      <c r="V12" s="54">
        <v>4986</v>
      </c>
      <c r="AB12" s="81">
        <f>W12+Y12-AA12</f>
        <v>0</v>
      </c>
      <c r="AC12" s="106">
        <v>1</v>
      </c>
      <c r="AD12" t="e">
        <f ca="1">AA1-M12</f>
        <v>#VALUE!</v>
      </c>
    </row>
    <row r="13" spans="1:30" x14ac:dyDescent="0.25">
      <c r="A13" t="s">
        <v>45</v>
      </c>
      <c r="B13" s="41">
        <v>19</v>
      </c>
      <c r="C13" t="s">
        <v>74</v>
      </c>
      <c r="D13" t="s">
        <v>75</v>
      </c>
      <c r="E13" s="13" t="s">
        <v>76</v>
      </c>
      <c r="F13" s="13" t="s">
        <v>77</v>
      </c>
      <c r="G13" t="s">
        <v>78</v>
      </c>
      <c r="H13" t="s">
        <v>79</v>
      </c>
      <c r="I13" t="s">
        <v>29</v>
      </c>
      <c r="J13" s="13" t="s">
        <v>34</v>
      </c>
      <c r="K13" s="13"/>
      <c r="L13" t="s">
        <v>60</v>
      </c>
      <c r="M13" s="52" t="s">
        <v>53</v>
      </c>
      <c r="V13" s="54">
        <v>6466</v>
      </c>
      <c r="AB13" s="81">
        <f>W13+Y13-AA13</f>
        <v>0</v>
      </c>
      <c r="AC13" s="106">
        <v>1</v>
      </c>
      <c r="AD13" t="e">
        <f ca="1">AA1-M13</f>
        <v>#VALUE!</v>
      </c>
    </row>
    <row r="14" spans="1:30" x14ac:dyDescent="0.25">
      <c r="A14" t="s">
        <v>80</v>
      </c>
      <c r="B14" s="41">
        <v>46</v>
      </c>
      <c r="C14" t="s">
        <v>81</v>
      </c>
      <c r="D14" t="s">
        <v>82</v>
      </c>
      <c r="E14" s="52">
        <v>45086</v>
      </c>
      <c r="F14" s="13" t="s">
        <v>83</v>
      </c>
      <c r="G14" t="s">
        <v>84</v>
      </c>
      <c r="H14" t="s">
        <v>85</v>
      </c>
      <c r="I14" t="s">
        <v>29</v>
      </c>
      <c r="J14" s="13" t="s">
        <v>30</v>
      </c>
      <c r="K14" s="75"/>
      <c r="L14" t="s">
        <v>38</v>
      </c>
      <c r="M14" s="161">
        <v>45469</v>
      </c>
      <c r="U14" t="s">
        <v>86</v>
      </c>
      <c r="V14" s="54">
        <v>2150</v>
      </c>
      <c r="AB14" s="81">
        <f>W14+Y14-AA14</f>
        <v>0</v>
      </c>
      <c r="AC14" s="106">
        <f>IF(K14="YES",0,1)</f>
        <v>1</v>
      </c>
      <c r="AD14">
        <f ca="1">AA1-M14</f>
        <v>432</v>
      </c>
    </row>
    <row r="15" spans="1:30" x14ac:dyDescent="0.25">
      <c r="A15" s="62" t="s">
        <v>87</v>
      </c>
      <c r="B15" s="63">
        <v>62</v>
      </c>
      <c r="C15" s="62" t="s">
        <v>88</v>
      </c>
      <c r="D15" s="62" t="s">
        <v>89</v>
      </c>
      <c r="E15" s="65" t="s">
        <v>90</v>
      </c>
      <c r="F15" s="65" t="s">
        <v>91</v>
      </c>
      <c r="G15" s="62" t="s">
        <v>92</v>
      </c>
      <c r="H15" s="62" t="s">
        <v>93</v>
      </c>
      <c r="I15" s="62" t="s">
        <v>29</v>
      </c>
      <c r="J15" s="65" t="s">
        <v>30</v>
      </c>
      <c r="K15" s="65" t="s">
        <v>94</v>
      </c>
      <c r="L15" s="62"/>
      <c r="M15" s="162">
        <v>45440</v>
      </c>
      <c r="N15" s="65"/>
      <c r="O15" s="65"/>
      <c r="P15" s="62"/>
      <c r="Q15" s="66"/>
      <c r="R15" s="66"/>
      <c r="S15" s="66"/>
      <c r="T15" s="66"/>
      <c r="U15" s="62" t="s">
        <v>95</v>
      </c>
      <c r="V15" s="68">
        <v>3164</v>
      </c>
      <c r="W15" s="68"/>
      <c r="X15" s="62"/>
      <c r="Y15" s="62"/>
      <c r="Z15" s="62"/>
      <c r="AA15" s="68"/>
      <c r="AB15" s="68">
        <f>W15+Y15-AA15</f>
        <v>0</v>
      </c>
      <c r="AC15" s="106">
        <f>IF(K15="YES",0,1)</f>
        <v>1</v>
      </c>
      <c r="AD15">
        <f ca="1">AA1-M15</f>
        <v>461</v>
      </c>
    </row>
    <row r="16" spans="1:30" x14ac:dyDescent="0.25">
      <c r="A16" s="62" t="s">
        <v>96</v>
      </c>
      <c r="B16" s="63">
        <v>68</v>
      </c>
      <c r="C16" s="62" t="s">
        <v>97</v>
      </c>
      <c r="D16" s="62" t="s">
        <v>98</v>
      </c>
      <c r="E16" s="65" t="s">
        <v>99</v>
      </c>
      <c r="F16" s="65" t="s">
        <v>100</v>
      </c>
      <c r="G16" s="62" t="s">
        <v>101</v>
      </c>
      <c r="H16" s="62" t="s">
        <v>102</v>
      </c>
      <c r="I16" s="62" t="s">
        <v>40</v>
      </c>
      <c r="J16" s="65" t="s">
        <v>30</v>
      </c>
      <c r="K16" s="65" t="s">
        <v>103</v>
      </c>
      <c r="L16" s="62" t="s">
        <v>67</v>
      </c>
      <c r="M16" s="162">
        <v>45440</v>
      </c>
      <c r="N16" s="65"/>
      <c r="O16" s="65"/>
      <c r="P16" s="62"/>
      <c r="Q16" s="66"/>
      <c r="R16" s="66"/>
      <c r="S16" s="66"/>
      <c r="T16" s="66"/>
      <c r="U16" s="62" t="s">
        <v>104</v>
      </c>
      <c r="V16" s="68">
        <v>3869</v>
      </c>
      <c r="W16" s="68"/>
      <c r="X16" s="62"/>
      <c r="Y16" s="62"/>
      <c r="Z16" s="62"/>
      <c r="AA16" s="68"/>
      <c r="AB16" s="68">
        <f>W16+Y16-AA16</f>
        <v>0</v>
      </c>
      <c r="AC16" s="106">
        <f>IF(K16="YES",0,1)</f>
        <v>0</v>
      </c>
      <c r="AD16">
        <f ca="1">AA1-M16</f>
        <v>461</v>
      </c>
    </row>
    <row r="17" spans="1:30" x14ac:dyDescent="0.25">
      <c r="A17" t="s">
        <v>96</v>
      </c>
      <c r="B17" s="41">
        <v>76</v>
      </c>
      <c r="C17" t="s">
        <v>105</v>
      </c>
      <c r="D17" t="s">
        <v>106</v>
      </c>
      <c r="E17" s="13" t="s">
        <v>107</v>
      </c>
      <c r="F17" s="13" t="s">
        <v>108</v>
      </c>
      <c r="G17" t="s">
        <v>109</v>
      </c>
      <c r="H17" t="s">
        <v>110</v>
      </c>
      <c r="I17" t="s">
        <v>29</v>
      </c>
      <c r="J17" s="13" t="s">
        <v>34</v>
      </c>
      <c r="K17" s="75"/>
      <c r="L17" t="s">
        <v>111</v>
      </c>
      <c r="M17" s="161">
        <v>45467</v>
      </c>
      <c r="U17" t="s">
        <v>112</v>
      </c>
      <c r="V17" s="54">
        <v>3214</v>
      </c>
      <c r="AB17" s="81">
        <f>W17+Y17-AA17</f>
        <v>0</v>
      </c>
      <c r="AC17" s="106">
        <f>IF(K17="YES",0,1)</f>
        <v>1</v>
      </c>
      <c r="AD17">
        <f ca="1">AA1-M17</f>
        <v>434</v>
      </c>
    </row>
    <row r="18" spans="1:30" x14ac:dyDescent="0.25">
      <c r="A18" t="s">
        <v>113</v>
      </c>
      <c r="B18" s="41">
        <v>77</v>
      </c>
      <c r="C18" t="s">
        <v>114</v>
      </c>
      <c r="D18" t="s">
        <v>115</v>
      </c>
      <c r="E18" s="13" t="s">
        <v>116</v>
      </c>
      <c r="F18" s="13" t="s">
        <v>117</v>
      </c>
      <c r="G18" t="s">
        <v>118</v>
      </c>
      <c r="H18" t="s">
        <v>119</v>
      </c>
      <c r="I18" t="s">
        <v>29</v>
      </c>
      <c r="J18" s="13" t="s">
        <v>34</v>
      </c>
      <c r="K18" s="75"/>
      <c r="L18" t="s">
        <v>120</v>
      </c>
      <c r="M18" s="161">
        <v>45467</v>
      </c>
      <c r="U18" t="s">
        <v>121</v>
      </c>
      <c r="V18" s="54">
        <v>4272</v>
      </c>
      <c r="AB18" s="81">
        <f>W18+Y18-AA18</f>
        <v>0</v>
      </c>
      <c r="AC18" s="106">
        <f>IF(K18="YES",0,1)</f>
        <v>1</v>
      </c>
      <c r="AD18">
        <f ca="1">AA1-M18</f>
        <v>434</v>
      </c>
    </row>
    <row r="19" spans="1:30" x14ac:dyDescent="0.25">
      <c r="A19" t="s">
        <v>122</v>
      </c>
      <c r="B19" s="41">
        <v>80</v>
      </c>
      <c r="C19" t="s">
        <v>123</v>
      </c>
      <c r="D19" t="s">
        <v>124</v>
      </c>
      <c r="E19" s="13" t="s">
        <v>125</v>
      </c>
      <c r="F19" s="13" t="s">
        <v>126</v>
      </c>
      <c r="G19" t="s">
        <v>127</v>
      </c>
      <c r="H19" t="s">
        <v>128</v>
      </c>
      <c r="I19" t="s">
        <v>29</v>
      </c>
      <c r="J19" s="13" t="s">
        <v>30</v>
      </c>
      <c r="K19" s="75"/>
      <c r="L19" t="s">
        <v>129</v>
      </c>
      <c r="M19" s="161">
        <v>45467</v>
      </c>
      <c r="U19" t="s">
        <v>130</v>
      </c>
      <c r="V19" s="54">
        <v>4901</v>
      </c>
      <c r="AB19" s="81">
        <f>W19+Y19-AA19</f>
        <v>0</v>
      </c>
      <c r="AC19" s="106">
        <f>IF(K19="YES",0,1)</f>
        <v>1</v>
      </c>
      <c r="AD19">
        <f ca="1">AA1-M19</f>
        <v>434</v>
      </c>
    </row>
    <row r="20" spans="1:30" x14ac:dyDescent="0.25">
      <c r="A20" t="s">
        <v>96</v>
      </c>
      <c r="B20" s="41">
        <v>87</v>
      </c>
      <c r="C20" t="s">
        <v>131</v>
      </c>
      <c r="D20" t="s">
        <v>132</v>
      </c>
      <c r="E20" s="13" t="s">
        <v>133</v>
      </c>
      <c r="F20" s="13" t="s">
        <v>134</v>
      </c>
      <c r="G20" t="s">
        <v>72</v>
      </c>
      <c r="H20" t="s">
        <v>135</v>
      </c>
      <c r="I20" t="s">
        <v>136</v>
      </c>
      <c r="J20" s="13" t="s">
        <v>30</v>
      </c>
      <c r="K20" s="75"/>
      <c r="L20" t="s">
        <v>31</v>
      </c>
      <c r="M20" s="161">
        <v>45470</v>
      </c>
      <c r="U20" t="s">
        <v>137</v>
      </c>
      <c r="V20" s="54">
        <v>5494</v>
      </c>
      <c r="AB20" s="81">
        <f>W20+Y20-AA20</f>
        <v>0</v>
      </c>
      <c r="AC20" s="106">
        <f>IF(K20="YES",0,1)</f>
        <v>1</v>
      </c>
      <c r="AD20">
        <f ca="1">AA1-M20</f>
        <v>431</v>
      </c>
    </row>
    <row r="21" spans="1:30" x14ac:dyDescent="0.25">
      <c r="A21" t="s">
        <v>96</v>
      </c>
      <c r="B21" s="41">
        <v>92</v>
      </c>
      <c r="C21" t="s">
        <v>138</v>
      </c>
      <c r="D21" t="s">
        <v>139</v>
      </c>
      <c r="E21" s="13" t="s">
        <v>140</v>
      </c>
      <c r="F21" s="13" t="s">
        <v>141</v>
      </c>
      <c r="G21" t="s">
        <v>142</v>
      </c>
      <c r="H21" t="s">
        <v>143</v>
      </c>
      <c r="I21" t="s">
        <v>144</v>
      </c>
      <c r="J21" s="13" t="s">
        <v>34</v>
      </c>
      <c r="K21" s="13"/>
      <c r="L21" t="s">
        <v>111</v>
      </c>
      <c r="M21" s="161">
        <v>45470</v>
      </c>
      <c r="U21" t="s">
        <v>145</v>
      </c>
      <c r="V21" s="54">
        <v>4925</v>
      </c>
      <c r="AB21" s="81">
        <f>W21+Y21-AA21</f>
        <v>0</v>
      </c>
      <c r="AC21" s="106">
        <f>IF(K21="YES",0,1)</f>
        <v>1</v>
      </c>
      <c r="AD21">
        <f ca="1">AA1-M21</f>
        <v>431</v>
      </c>
    </row>
    <row r="22" spans="1:30" x14ac:dyDescent="0.25">
      <c r="A22" t="s">
        <v>96</v>
      </c>
      <c r="B22" s="41">
        <v>121</v>
      </c>
      <c r="C22" t="s">
        <v>146</v>
      </c>
      <c r="D22" t="s">
        <v>147</v>
      </c>
      <c r="E22" s="52">
        <v>45347</v>
      </c>
      <c r="F22" s="13" t="s">
        <v>148</v>
      </c>
      <c r="G22" t="s">
        <v>149</v>
      </c>
      <c r="I22" t="s">
        <v>29</v>
      </c>
      <c r="J22" s="13" t="s">
        <v>30</v>
      </c>
      <c r="K22" s="13"/>
      <c r="L22" t="s">
        <v>31</v>
      </c>
      <c r="M22" s="52">
        <v>45470</v>
      </c>
      <c r="U22" t="s">
        <v>150</v>
      </c>
      <c r="V22" s="54">
        <v>2000</v>
      </c>
      <c r="AB22" s="81">
        <f>W22+Y22-AA22</f>
        <v>0</v>
      </c>
      <c r="AC22" s="106">
        <f>IF(K22="YES",0,1)</f>
        <v>1</v>
      </c>
      <c r="AD22">
        <f ca="1">AA1-M22</f>
        <v>431</v>
      </c>
    </row>
    <row r="23" spans="1:30" x14ac:dyDescent="0.25">
      <c r="A23" t="s">
        <v>96</v>
      </c>
      <c r="B23" s="41">
        <v>138</v>
      </c>
      <c r="C23" t="s">
        <v>151</v>
      </c>
      <c r="E23" s="13" t="s">
        <v>152</v>
      </c>
      <c r="F23" s="13" t="s">
        <v>153</v>
      </c>
      <c r="G23" t="s">
        <v>154</v>
      </c>
      <c r="I23" t="s">
        <v>155</v>
      </c>
      <c r="J23" s="13" t="s">
        <v>34</v>
      </c>
      <c r="K23" s="13"/>
      <c r="L23" t="s">
        <v>156</v>
      </c>
      <c r="M23" s="52">
        <v>45470</v>
      </c>
      <c r="U23" t="s">
        <v>157</v>
      </c>
      <c r="V23" s="54">
        <v>11332</v>
      </c>
      <c r="AB23" s="81">
        <f>W23+Y23-AA23</f>
        <v>0</v>
      </c>
      <c r="AC23" s="106">
        <f>IF(K23="YES",0,1)</f>
        <v>1</v>
      </c>
      <c r="AD23">
        <f ca="1">AA1-M23</f>
        <v>431</v>
      </c>
    </row>
    <row r="24" spans="1:30" x14ac:dyDescent="0.25">
      <c r="A24" t="s">
        <v>96</v>
      </c>
      <c r="B24" s="41">
        <v>143</v>
      </c>
      <c r="C24" t="s">
        <v>158</v>
      </c>
      <c r="D24" t="s">
        <v>159</v>
      </c>
      <c r="E24" s="13" t="s">
        <v>160</v>
      </c>
      <c r="F24" s="13" t="s">
        <v>161</v>
      </c>
      <c r="G24" t="s">
        <v>162</v>
      </c>
      <c r="H24" t="s">
        <v>163</v>
      </c>
      <c r="I24" t="s">
        <v>29</v>
      </c>
      <c r="J24" s="13" t="s">
        <v>34</v>
      </c>
      <c r="K24" s="13"/>
      <c r="L24" t="s">
        <v>31</v>
      </c>
      <c r="M24" s="52">
        <v>45470</v>
      </c>
      <c r="U24" t="s">
        <v>164</v>
      </c>
      <c r="V24" s="54">
        <v>3985</v>
      </c>
      <c r="AB24" s="81">
        <f>W24+Y24-AA24</f>
        <v>0</v>
      </c>
      <c r="AC24" s="106">
        <f>IF(K24="YES",0,1)</f>
        <v>1</v>
      </c>
      <c r="AD24">
        <f ca="1">AA1-M24</f>
        <v>431</v>
      </c>
    </row>
    <row r="25" spans="1:30" x14ac:dyDescent="0.25">
      <c r="A25" t="s">
        <v>96</v>
      </c>
      <c r="B25" s="41">
        <v>145</v>
      </c>
      <c r="C25" t="s">
        <v>165</v>
      </c>
      <c r="D25" t="s">
        <v>166</v>
      </c>
      <c r="E25" s="13" t="s">
        <v>167</v>
      </c>
      <c r="F25" s="13" t="s">
        <v>168</v>
      </c>
      <c r="G25" t="s">
        <v>169</v>
      </c>
      <c r="H25" t="s">
        <v>170</v>
      </c>
      <c r="I25" t="s">
        <v>29</v>
      </c>
      <c r="J25" s="13" t="s">
        <v>34</v>
      </c>
      <c r="K25" s="13"/>
      <c r="L25" t="s">
        <v>38</v>
      </c>
      <c r="M25" s="52">
        <v>45464</v>
      </c>
      <c r="U25" t="s">
        <v>171</v>
      </c>
      <c r="V25" s="54">
        <v>4564</v>
      </c>
      <c r="AB25" s="81">
        <f>W25+Y25-AA25</f>
        <v>0</v>
      </c>
      <c r="AC25" s="106">
        <f>IF(K25="YES",0,1)</f>
        <v>1</v>
      </c>
      <c r="AD25">
        <f ca="1">AA1-M25</f>
        <v>437</v>
      </c>
    </row>
    <row r="26" spans="1:30" x14ac:dyDescent="0.25">
      <c r="A26" t="s">
        <v>96</v>
      </c>
      <c r="B26" s="41">
        <v>155</v>
      </c>
      <c r="C26" t="s">
        <v>172</v>
      </c>
      <c r="D26" t="s">
        <v>173</v>
      </c>
      <c r="E26" s="13" t="s">
        <v>174</v>
      </c>
      <c r="F26" s="13" t="s">
        <v>175</v>
      </c>
      <c r="G26" t="s">
        <v>176</v>
      </c>
      <c r="H26" t="s">
        <v>177</v>
      </c>
      <c r="I26" t="s">
        <v>29</v>
      </c>
      <c r="J26" s="13" t="s">
        <v>30</v>
      </c>
      <c r="K26" s="13"/>
      <c r="L26" t="s">
        <v>38</v>
      </c>
      <c r="M26" s="52">
        <v>45470</v>
      </c>
      <c r="U26" t="s">
        <v>178</v>
      </c>
      <c r="V26" s="54">
        <v>2340</v>
      </c>
      <c r="AB26" s="81">
        <f>W26+Y26-AA26</f>
        <v>0</v>
      </c>
      <c r="AC26" s="106">
        <f>IF(K26="YES",0,1)</f>
        <v>1</v>
      </c>
      <c r="AD26">
        <f ca="1">AA1-M26</f>
        <v>431</v>
      </c>
    </row>
    <row r="27" spans="1:30" x14ac:dyDescent="0.25">
      <c r="A27" t="s">
        <v>96</v>
      </c>
      <c r="B27" s="41">
        <v>161</v>
      </c>
      <c r="C27" t="s">
        <v>179</v>
      </c>
      <c r="D27" t="s">
        <v>180</v>
      </c>
      <c r="E27" s="13" t="s">
        <v>181</v>
      </c>
      <c r="F27" s="13" t="s">
        <v>182</v>
      </c>
      <c r="G27" t="s">
        <v>183</v>
      </c>
      <c r="H27" t="s">
        <v>184</v>
      </c>
      <c r="I27" t="s">
        <v>185</v>
      </c>
      <c r="J27" s="13" t="s">
        <v>34</v>
      </c>
      <c r="K27" s="13"/>
      <c r="M27" s="52">
        <v>45474</v>
      </c>
      <c r="U27" t="s">
        <v>186</v>
      </c>
      <c r="V27" s="54">
        <v>11332</v>
      </c>
      <c r="AB27" s="81">
        <f>W27+Y27-AA27</f>
        <v>0</v>
      </c>
      <c r="AC27" s="106">
        <f>IF(K27="YES",0,1)</f>
        <v>1</v>
      </c>
      <c r="AD27">
        <f ca="1">AA1-M27</f>
        <v>427</v>
      </c>
    </row>
    <row r="28" spans="1:30" x14ac:dyDescent="0.25">
      <c r="A28" t="s">
        <v>96</v>
      </c>
      <c r="B28" s="41">
        <v>165</v>
      </c>
      <c r="C28" t="s">
        <v>187</v>
      </c>
      <c r="D28" t="s">
        <v>188</v>
      </c>
      <c r="E28" s="13" t="s">
        <v>189</v>
      </c>
      <c r="F28" s="13" t="s">
        <v>190</v>
      </c>
      <c r="G28" t="s">
        <v>191</v>
      </c>
      <c r="H28" t="s">
        <v>192</v>
      </c>
      <c r="I28" t="s">
        <v>29</v>
      </c>
      <c r="J28" s="13" t="s">
        <v>30</v>
      </c>
      <c r="K28" s="13"/>
      <c r="L28" t="s">
        <v>193</v>
      </c>
      <c r="M28" s="52">
        <v>45470</v>
      </c>
      <c r="U28" t="s">
        <v>194</v>
      </c>
      <c r="V28" s="54">
        <v>2050</v>
      </c>
      <c r="AB28" s="81">
        <f>W28+Y28-AA28</f>
        <v>0</v>
      </c>
      <c r="AC28" s="106">
        <f>IF(K28="YES",0,1)</f>
        <v>1</v>
      </c>
      <c r="AD28">
        <f ca="1">AA1-M28</f>
        <v>431</v>
      </c>
    </row>
    <row r="29" spans="1:30" x14ac:dyDescent="0.25">
      <c r="A29" t="s">
        <v>96</v>
      </c>
      <c r="B29" s="41">
        <v>167</v>
      </c>
      <c r="C29" t="s">
        <v>195</v>
      </c>
      <c r="D29" t="s">
        <v>196</v>
      </c>
      <c r="E29" s="13" t="s">
        <v>189</v>
      </c>
      <c r="F29" s="13" t="s">
        <v>197</v>
      </c>
      <c r="G29" t="s">
        <v>198</v>
      </c>
      <c r="H29" t="s">
        <v>199</v>
      </c>
      <c r="I29" t="s">
        <v>29</v>
      </c>
      <c r="J29" s="13" t="s">
        <v>34</v>
      </c>
      <c r="K29" s="13"/>
      <c r="L29" t="s">
        <v>31</v>
      </c>
      <c r="M29" s="52" t="s">
        <v>53</v>
      </c>
      <c r="V29" s="54">
        <v>3235</v>
      </c>
      <c r="AB29" s="81">
        <f>W29+Y29-AA29</f>
        <v>0</v>
      </c>
      <c r="AC29" s="106">
        <f>IF(K29="YES",0,1)</f>
        <v>1</v>
      </c>
      <c r="AD29" t="e">
        <f ca="1">AA1-M29</f>
        <v>#VALUE!</v>
      </c>
    </row>
    <row r="30" spans="1:30" x14ac:dyDescent="0.25">
      <c r="A30" t="s">
        <v>96</v>
      </c>
      <c r="B30" s="41">
        <v>184</v>
      </c>
      <c r="C30" t="s">
        <v>200</v>
      </c>
      <c r="D30" t="s">
        <v>201</v>
      </c>
      <c r="E30" s="13" t="s">
        <v>202</v>
      </c>
      <c r="F30" s="13" t="s">
        <v>203</v>
      </c>
      <c r="G30" t="s">
        <v>118</v>
      </c>
      <c r="H30" t="s">
        <v>204</v>
      </c>
      <c r="I30" t="s">
        <v>29</v>
      </c>
      <c r="J30" s="13" t="s">
        <v>30</v>
      </c>
      <c r="K30" s="13"/>
      <c r="L30" t="s">
        <v>120</v>
      </c>
      <c r="M30" s="52" t="s">
        <v>53</v>
      </c>
      <c r="V30" s="54">
        <v>2100</v>
      </c>
      <c r="AB30" s="81">
        <f>W30+Y30-AA30</f>
        <v>0</v>
      </c>
      <c r="AC30" s="106">
        <v>1</v>
      </c>
      <c r="AD30" t="e">
        <f ca="1">AA1-M30</f>
        <v>#VALUE!</v>
      </c>
    </row>
    <row r="31" spans="1:30" x14ac:dyDescent="0.25">
      <c r="A31" t="s">
        <v>96</v>
      </c>
      <c r="B31" s="41">
        <v>193</v>
      </c>
      <c r="C31" t="s">
        <v>205</v>
      </c>
      <c r="D31" t="s">
        <v>206</v>
      </c>
      <c r="E31" s="13" t="s">
        <v>207</v>
      </c>
      <c r="F31" s="13" t="s">
        <v>208</v>
      </c>
      <c r="G31" t="s">
        <v>209</v>
      </c>
      <c r="I31" t="s">
        <v>29</v>
      </c>
      <c r="J31" s="13" t="s">
        <v>30</v>
      </c>
      <c r="K31" s="13"/>
      <c r="L31" t="s">
        <v>210</v>
      </c>
      <c r="M31" s="52" t="s">
        <v>53</v>
      </c>
      <c r="V31" s="54">
        <f>1730+985</f>
        <v>2715</v>
      </c>
      <c r="AB31" s="81">
        <f>W31+Y31-AA31</f>
        <v>0</v>
      </c>
      <c r="AC31" s="106">
        <v>1</v>
      </c>
      <c r="AD31" t="e">
        <f ca="1">AA1-M31</f>
        <v>#VALUE!</v>
      </c>
    </row>
    <row r="32" spans="1:30" x14ac:dyDescent="0.25">
      <c r="A32" t="s">
        <v>96</v>
      </c>
      <c r="B32" s="41">
        <v>209</v>
      </c>
      <c r="C32" t="s">
        <v>211</v>
      </c>
      <c r="D32" t="s">
        <v>212</v>
      </c>
      <c r="E32" s="13" t="s">
        <v>213</v>
      </c>
      <c r="F32" s="13" t="s">
        <v>214</v>
      </c>
      <c r="G32" t="s">
        <v>215</v>
      </c>
      <c r="H32" t="s">
        <v>216</v>
      </c>
      <c r="I32" t="s">
        <v>29</v>
      </c>
      <c r="J32" s="13" t="s">
        <v>30</v>
      </c>
      <c r="K32" s="13"/>
      <c r="L32" t="s">
        <v>111</v>
      </c>
      <c r="M32" s="52" t="s">
        <v>53</v>
      </c>
      <c r="V32" s="54">
        <f>585+1064</f>
        <v>1649</v>
      </c>
      <c r="AB32" s="81">
        <f>W32+Y32-AA32</f>
        <v>0</v>
      </c>
      <c r="AC32" s="106">
        <v>1</v>
      </c>
      <c r="AD32" t="e">
        <f ca="1">AA1-M32</f>
        <v>#VALUE!</v>
      </c>
    </row>
    <row r="33" spans="1:30" x14ac:dyDescent="0.25">
      <c r="A33" t="s">
        <v>96</v>
      </c>
      <c r="B33" s="41">
        <v>212</v>
      </c>
      <c r="C33" t="s">
        <v>217</v>
      </c>
      <c r="D33" t="s">
        <v>218</v>
      </c>
      <c r="E33" s="13" t="s">
        <v>219</v>
      </c>
      <c r="F33" s="13" t="s">
        <v>220</v>
      </c>
      <c r="G33" t="s">
        <v>221</v>
      </c>
      <c r="I33" t="s">
        <v>29</v>
      </c>
      <c r="J33" s="13" t="s">
        <v>34</v>
      </c>
      <c r="K33" s="13"/>
      <c r="L33" t="s">
        <v>222</v>
      </c>
      <c r="M33" s="52" t="s">
        <v>53</v>
      </c>
      <c r="V33" s="54">
        <f>2005+650+65</f>
        <v>2720</v>
      </c>
      <c r="AB33" s="81">
        <f>W33+Y33-AA33</f>
        <v>0</v>
      </c>
      <c r="AC33" s="106">
        <v>1</v>
      </c>
      <c r="AD33" t="e">
        <f ca="1">AA1-M33</f>
        <v>#VALUE!</v>
      </c>
    </row>
    <row r="34" spans="1:30" x14ac:dyDescent="0.25">
      <c r="A34" t="s">
        <v>96</v>
      </c>
      <c r="B34" s="41">
        <v>216</v>
      </c>
      <c r="C34" t="s">
        <v>223</v>
      </c>
      <c r="D34" t="s">
        <v>224</v>
      </c>
      <c r="E34" s="13" t="s">
        <v>225</v>
      </c>
      <c r="F34" s="13" t="s">
        <v>226</v>
      </c>
      <c r="G34" t="s">
        <v>227</v>
      </c>
      <c r="H34" t="s">
        <v>228</v>
      </c>
      <c r="I34" t="s">
        <v>29</v>
      </c>
      <c r="J34" s="13" t="s">
        <v>30</v>
      </c>
      <c r="K34" s="13"/>
      <c r="L34" t="s">
        <v>229</v>
      </c>
      <c r="M34" s="52" t="s">
        <v>53</v>
      </c>
      <c r="V34" s="54">
        <v>5675</v>
      </c>
      <c r="AB34" s="81">
        <f>W34+Y34-AA34</f>
        <v>0</v>
      </c>
      <c r="AC34" s="106">
        <v>1</v>
      </c>
      <c r="AD34" t="e">
        <f ca="1">AA1-M34</f>
        <v>#VALUE!</v>
      </c>
    </row>
    <row r="35" spans="1:30" x14ac:dyDescent="0.25">
      <c r="A35" t="s">
        <v>96</v>
      </c>
      <c r="B35" s="41">
        <v>219</v>
      </c>
      <c r="C35" t="s">
        <v>230</v>
      </c>
      <c r="D35" t="s">
        <v>231</v>
      </c>
      <c r="E35" s="13" t="s">
        <v>232</v>
      </c>
      <c r="F35" s="13" t="s">
        <v>233</v>
      </c>
      <c r="G35" t="s">
        <v>234</v>
      </c>
      <c r="H35" t="s">
        <v>235</v>
      </c>
      <c r="I35" t="s">
        <v>29</v>
      </c>
      <c r="J35" s="13" t="s">
        <v>34</v>
      </c>
      <c r="K35" s="13"/>
      <c r="L35" t="s">
        <v>236</v>
      </c>
      <c r="M35" s="52" t="s">
        <v>53</v>
      </c>
      <c r="V35" s="54">
        <v>3869</v>
      </c>
      <c r="AB35" s="81">
        <f>W35+Y35-AA35</f>
        <v>0</v>
      </c>
      <c r="AC35" s="106">
        <v>1</v>
      </c>
      <c r="AD35" t="e">
        <f ca="1">AA1-M35</f>
        <v>#VALUE!</v>
      </c>
    </row>
    <row r="36" spans="1:30" x14ac:dyDescent="0.25">
      <c r="A36" t="s">
        <v>96</v>
      </c>
      <c r="B36" s="41">
        <v>226</v>
      </c>
      <c r="C36" t="s">
        <v>237</v>
      </c>
      <c r="D36" t="s">
        <v>238</v>
      </c>
      <c r="E36" s="13" t="s">
        <v>239</v>
      </c>
      <c r="F36" s="13" t="s">
        <v>240</v>
      </c>
      <c r="G36" t="s">
        <v>241</v>
      </c>
      <c r="H36" t="s">
        <v>242</v>
      </c>
      <c r="I36" t="s">
        <v>29</v>
      </c>
      <c r="J36" s="13" t="s">
        <v>30</v>
      </c>
      <c r="K36" s="13"/>
      <c r="L36" t="s">
        <v>31</v>
      </c>
      <c r="M36" s="52" t="s">
        <v>53</v>
      </c>
      <c r="V36" s="54">
        <f>2440</f>
        <v>2440</v>
      </c>
      <c r="AB36" s="81">
        <f>W36+Y36-AA36</f>
        <v>0</v>
      </c>
      <c r="AC36" s="106">
        <v>1</v>
      </c>
      <c r="AD36" t="e">
        <f ca="1">AA1-M36</f>
        <v>#VALUE!</v>
      </c>
    </row>
    <row r="37" spans="1:30" x14ac:dyDescent="0.25">
      <c r="A37" t="s">
        <v>96</v>
      </c>
      <c r="B37" s="41">
        <v>227</v>
      </c>
      <c r="C37" t="s">
        <v>243</v>
      </c>
      <c r="D37" t="s">
        <v>244</v>
      </c>
      <c r="E37" s="13" t="s">
        <v>245</v>
      </c>
      <c r="F37" s="13" t="s">
        <v>246</v>
      </c>
      <c r="G37" t="s">
        <v>247</v>
      </c>
      <c r="H37" t="s">
        <v>248</v>
      </c>
      <c r="I37" t="s">
        <v>29</v>
      </c>
      <c r="J37" s="13" t="s">
        <v>30</v>
      </c>
      <c r="K37" s="13"/>
      <c r="L37" t="s">
        <v>249</v>
      </c>
      <c r="M37" s="52" t="s">
        <v>53</v>
      </c>
      <c r="V37" s="54">
        <v>3310</v>
      </c>
      <c r="AB37" s="81">
        <f>W37+Y37-AA37</f>
        <v>0</v>
      </c>
      <c r="AC37" s="106">
        <v>1</v>
      </c>
      <c r="AD37" t="e">
        <f ca="1">AA1-M37</f>
        <v>#VALUE!</v>
      </c>
    </row>
    <row r="38" spans="1:30" x14ac:dyDescent="0.25">
      <c r="A38" t="s">
        <v>96</v>
      </c>
      <c r="B38" s="41">
        <v>232</v>
      </c>
      <c r="C38" t="s">
        <v>250</v>
      </c>
      <c r="D38" t="s">
        <v>251</v>
      </c>
      <c r="E38" s="13" t="s">
        <v>252</v>
      </c>
      <c r="F38" s="13" t="s">
        <v>253</v>
      </c>
      <c r="G38" t="s">
        <v>254</v>
      </c>
      <c r="H38" t="s">
        <v>255</v>
      </c>
      <c r="I38" t="s">
        <v>29</v>
      </c>
      <c r="J38" s="13" t="s">
        <v>34</v>
      </c>
      <c r="K38" s="13"/>
      <c r="L38" t="s">
        <v>35</v>
      </c>
      <c r="M38" s="52" t="s">
        <v>53</v>
      </c>
      <c r="V38" s="54">
        <v>12361</v>
      </c>
      <c r="AB38" s="81">
        <f>W38+Y38-AA38</f>
        <v>0</v>
      </c>
      <c r="AC38" s="106">
        <v>1</v>
      </c>
      <c r="AD38" t="e">
        <f ca="1">AA1-M38</f>
        <v>#VALUE!</v>
      </c>
    </row>
    <row r="39" spans="1:30" x14ac:dyDescent="0.25">
      <c r="A39" t="s">
        <v>96</v>
      </c>
      <c r="B39" s="41">
        <v>233</v>
      </c>
      <c r="C39" t="s">
        <v>256</v>
      </c>
      <c r="D39" t="s">
        <v>257</v>
      </c>
      <c r="E39" s="13" t="s">
        <v>258</v>
      </c>
      <c r="F39" s="13" t="s">
        <v>259</v>
      </c>
      <c r="G39" t="s">
        <v>260</v>
      </c>
      <c r="H39" t="s">
        <v>261</v>
      </c>
      <c r="I39" t="s">
        <v>29</v>
      </c>
      <c r="J39" s="13" t="s">
        <v>34</v>
      </c>
      <c r="K39" s="13"/>
      <c r="L39" t="s">
        <v>31</v>
      </c>
      <c r="M39" s="52" t="s">
        <v>53</v>
      </c>
      <c r="V39" s="54">
        <v>3710</v>
      </c>
      <c r="AB39" s="81">
        <f>W39+Y39-AA39</f>
        <v>0</v>
      </c>
      <c r="AC39" s="106">
        <v>1</v>
      </c>
      <c r="AD39" t="e">
        <f ca="1">AA1-M39</f>
        <v>#VALUE!</v>
      </c>
    </row>
    <row r="40" spans="1:30" x14ac:dyDescent="0.25">
      <c r="A40" t="s">
        <v>96</v>
      </c>
      <c r="B40" s="41">
        <v>236</v>
      </c>
      <c r="C40" t="s">
        <v>262</v>
      </c>
      <c r="D40" t="s">
        <v>263</v>
      </c>
      <c r="E40" s="13" t="s">
        <v>258</v>
      </c>
      <c r="F40" s="13" t="s">
        <v>264</v>
      </c>
      <c r="G40" t="s">
        <v>265</v>
      </c>
      <c r="I40" t="s">
        <v>37</v>
      </c>
      <c r="J40" s="13" t="s">
        <v>34</v>
      </c>
      <c r="K40" s="13"/>
      <c r="L40" t="s">
        <v>31</v>
      </c>
      <c r="M40" s="52" t="s">
        <v>53</v>
      </c>
      <c r="V40" s="54">
        <f>2155+1671</f>
        <v>3826</v>
      </c>
      <c r="AB40" s="81">
        <f>W40+Y40-AA40</f>
        <v>0</v>
      </c>
      <c r="AC40" s="106">
        <v>1</v>
      </c>
      <c r="AD40" t="e">
        <f ca="1">AA1-M40</f>
        <v>#VALUE!</v>
      </c>
    </row>
    <row r="41" spans="1:30" x14ac:dyDescent="0.25">
      <c r="A41" t="s">
        <v>96</v>
      </c>
      <c r="B41" s="41">
        <v>243</v>
      </c>
      <c r="C41" t="s">
        <v>266</v>
      </c>
      <c r="D41" t="s">
        <v>267</v>
      </c>
      <c r="E41" s="13" t="s">
        <v>268</v>
      </c>
      <c r="F41" s="13" t="s">
        <v>269</v>
      </c>
      <c r="G41" t="s">
        <v>270</v>
      </c>
      <c r="H41" t="s">
        <v>271</v>
      </c>
      <c r="I41" t="s">
        <v>29</v>
      </c>
      <c r="J41" s="13" t="s">
        <v>30</v>
      </c>
      <c r="K41" s="13"/>
      <c r="L41" t="s">
        <v>60</v>
      </c>
      <c r="M41" s="52" t="s">
        <v>53</v>
      </c>
      <c r="V41" s="54">
        <v>2105</v>
      </c>
      <c r="AB41" s="81">
        <f>W41+Y41-AA41</f>
        <v>0</v>
      </c>
      <c r="AC41" s="106">
        <v>1</v>
      </c>
      <c r="AD41" t="e">
        <f ca="1">AA1-M41</f>
        <v>#VALUE!</v>
      </c>
    </row>
    <row r="42" spans="1:30" x14ac:dyDescent="0.25">
      <c r="A42" t="s">
        <v>96</v>
      </c>
      <c r="B42" s="41">
        <v>245</v>
      </c>
      <c r="C42" t="s">
        <v>272</v>
      </c>
      <c r="D42" t="s">
        <v>273</v>
      </c>
      <c r="E42" s="13" t="s">
        <v>274</v>
      </c>
      <c r="F42" s="13" t="s">
        <v>275</v>
      </c>
      <c r="G42" t="s">
        <v>276</v>
      </c>
      <c r="H42" t="s">
        <v>277</v>
      </c>
      <c r="I42" t="s">
        <v>29</v>
      </c>
      <c r="J42" s="13" t="s">
        <v>34</v>
      </c>
      <c r="K42" s="13"/>
      <c r="L42" t="s">
        <v>35</v>
      </c>
      <c r="M42" s="52" t="s">
        <v>53</v>
      </c>
      <c r="V42" s="54">
        <v>2910</v>
      </c>
      <c r="AB42" s="81">
        <f>W42+Y42-AA42</f>
        <v>0</v>
      </c>
      <c r="AC42" s="106">
        <v>1</v>
      </c>
      <c r="AD42" t="e">
        <f ca="1">AA1-M42</f>
        <v>#VALUE!</v>
      </c>
    </row>
    <row r="43" spans="1:30" x14ac:dyDescent="0.25">
      <c r="A43" t="s">
        <v>96</v>
      </c>
      <c r="B43" s="41">
        <v>250</v>
      </c>
      <c r="C43" t="s">
        <v>278</v>
      </c>
      <c r="D43" t="s">
        <v>279</v>
      </c>
      <c r="E43" s="13" t="s">
        <v>280</v>
      </c>
      <c r="F43" s="13" t="s">
        <v>281</v>
      </c>
      <c r="G43" t="s">
        <v>282</v>
      </c>
      <c r="H43" t="s">
        <v>283</v>
      </c>
      <c r="I43" t="s">
        <v>29</v>
      </c>
      <c r="J43" s="13" t="s">
        <v>34</v>
      </c>
      <c r="K43" s="13"/>
      <c r="L43" t="s">
        <v>38</v>
      </c>
      <c r="M43" s="52" t="s">
        <v>53</v>
      </c>
      <c r="V43" s="54">
        <v>5210</v>
      </c>
      <c r="AB43" s="81">
        <f>W43+Y43-AA43</f>
        <v>0</v>
      </c>
      <c r="AC43" s="106">
        <v>1</v>
      </c>
      <c r="AD43" t="e">
        <f ca="1">AA1-M43</f>
        <v>#VALUE!</v>
      </c>
    </row>
    <row r="44" spans="1:30" x14ac:dyDescent="0.25">
      <c r="A44" t="s">
        <v>96</v>
      </c>
      <c r="B44" s="41">
        <v>253</v>
      </c>
      <c r="C44" t="s">
        <v>284</v>
      </c>
      <c r="D44" t="s">
        <v>285</v>
      </c>
      <c r="E44" s="13" t="s">
        <v>286</v>
      </c>
      <c r="F44" s="13" t="s">
        <v>287</v>
      </c>
      <c r="G44" t="s">
        <v>288</v>
      </c>
      <c r="H44" t="s">
        <v>289</v>
      </c>
      <c r="I44" t="s">
        <v>29</v>
      </c>
      <c r="J44" s="13" t="s">
        <v>34</v>
      </c>
      <c r="K44" s="13"/>
      <c r="L44" t="s">
        <v>38</v>
      </c>
      <c r="M44" s="52" t="s">
        <v>53</v>
      </c>
      <c r="V44" s="54">
        <v>3930</v>
      </c>
      <c r="AB44" s="81">
        <f>W44+Y44-AA44</f>
        <v>0</v>
      </c>
      <c r="AC44" s="106">
        <v>1</v>
      </c>
      <c r="AD44" t="e">
        <f ca="1">AA1-M44</f>
        <v>#VALUE!</v>
      </c>
    </row>
    <row r="45" spans="1:30" x14ac:dyDescent="0.25">
      <c r="A45" t="s">
        <v>96</v>
      </c>
      <c r="B45" s="41">
        <v>256</v>
      </c>
      <c r="C45" t="s">
        <v>290</v>
      </c>
      <c r="D45" t="s">
        <v>291</v>
      </c>
      <c r="E45" s="13" t="s">
        <v>292</v>
      </c>
      <c r="F45" s="13" t="s">
        <v>293</v>
      </c>
      <c r="G45" t="s">
        <v>294</v>
      </c>
      <c r="H45" t="s">
        <v>295</v>
      </c>
      <c r="I45" t="s">
        <v>29</v>
      </c>
      <c r="J45" s="13" t="s">
        <v>34</v>
      </c>
      <c r="K45" s="13"/>
      <c r="L45" t="s">
        <v>296</v>
      </c>
      <c r="M45" s="52" t="s">
        <v>53</v>
      </c>
      <c r="V45" s="54">
        <f>3800+6962</f>
        <v>10762</v>
      </c>
      <c r="AB45" s="81">
        <f>W45+Y45-AA45</f>
        <v>0</v>
      </c>
      <c r="AC45" s="106">
        <v>1</v>
      </c>
      <c r="AD45" t="e">
        <f ca="1">AA1-M45</f>
        <v>#VALUE!</v>
      </c>
    </row>
    <row r="46" spans="1:30" x14ac:dyDescent="0.25">
      <c r="A46" t="s">
        <v>96</v>
      </c>
      <c r="B46" s="41">
        <v>260</v>
      </c>
      <c r="C46" t="s">
        <v>297</v>
      </c>
      <c r="D46" t="s">
        <v>298</v>
      </c>
      <c r="E46" s="13" t="s">
        <v>299</v>
      </c>
      <c r="F46" s="13" t="s">
        <v>300</v>
      </c>
      <c r="G46" t="s">
        <v>301</v>
      </c>
      <c r="H46" t="s">
        <v>302</v>
      </c>
      <c r="I46" t="s">
        <v>29</v>
      </c>
      <c r="J46" s="13" t="s">
        <v>34</v>
      </c>
      <c r="K46" s="13"/>
      <c r="L46" t="s">
        <v>303</v>
      </c>
      <c r="M46" s="52" t="s">
        <v>53</v>
      </c>
      <c r="V46" s="54">
        <v>2972</v>
      </c>
      <c r="AB46" s="81">
        <f>W46+Y46-AA46</f>
        <v>0</v>
      </c>
      <c r="AC46" s="106">
        <v>1</v>
      </c>
      <c r="AD46" t="e">
        <f ca="1">AA1-M46</f>
        <v>#VALUE!</v>
      </c>
    </row>
    <row r="47" spans="1:30" x14ac:dyDescent="0.25">
      <c r="A47" t="s">
        <v>96</v>
      </c>
      <c r="B47" s="41">
        <v>262</v>
      </c>
      <c r="C47" t="s">
        <v>304</v>
      </c>
      <c r="D47" t="s">
        <v>305</v>
      </c>
      <c r="E47" s="13" t="s">
        <v>306</v>
      </c>
      <c r="F47" s="13" t="s">
        <v>307</v>
      </c>
      <c r="G47" t="s">
        <v>118</v>
      </c>
      <c r="H47" t="s">
        <v>308</v>
      </c>
      <c r="I47" t="s">
        <v>29</v>
      </c>
      <c r="J47" s="13" t="s">
        <v>30</v>
      </c>
      <c r="K47" s="13"/>
      <c r="L47" t="s">
        <v>120</v>
      </c>
      <c r="M47" s="52" t="s">
        <v>53</v>
      </c>
      <c r="V47" s="54">
        <v>2400</v>
      </c>
      <c r="AB47" s="81">
        <f>W47+Y47-AA47</f>
        <v>0</v>
      </c>
      <c r="AC47" s="106">
        <v>1</v>
      </c>
      <c r="AD47" t="e">
        <f ca="1">AA1-M47</f>
        <v>#VALUE!</v>
      </c>
    </row>
    <row r="48" spans="1:30" x14ac:dyDescent="0.25">
      <c r="A48" t="s">
        <v>96</v>
      </c>
      <c r="B48" s="41">
        <v>266</v>
      </c>
      <c r="C48" t="s">
        <v>315</v>
      </c>
      <c r="D48" t="s">
        <v>316</v>
      </c>
      <c r="E48" s="13" t="s">
        <v>311</v>
      </c>
      <c r="F48" s="13" t="s">
        <v>317</v>
      </c>
      <c r="G48" t="s">
        <v>215</v>
      </c>
      <c r="H48" t="s">
        <v>318</v>
      </c>
      <c r="I48" t="s">
        <v>29</v>
      </c>
      <c r="J48" s="13" t="s">
        <v>34</v>
      </c>
      <c r="K48" s="13"/>
      <c r="L48" t="s">
        <v>111</v>
      </c>
      <c r="M48" s="52" t="s">
        <v>53</v>
      </c>
      <c r="V48" s="54">
        <v>3995</v>
      </c>
      <c r="AB48" s="81">
        <f>W48+Y48-AA48</f>
        <v>0</v>
      </c>
      <c r="AC48" s="106">
        <v>1</v>
      </c>
      <c r="AD48" t="e">
        <f ca="1">AA1-M48</f>
        <v>#VALUE!</v>
      </c>
    </row>
    <row r="49" spans="1:30" x14ac:dyDescent="0.25">
      <c r="A49" t="s">
        <v>96</v>
      </c>
      <c r="B49" s="41">
        <v>267</v>
      </c>
      <c r="C49" t="s">
        <v>319</v>
      </c>
      <c r="D49" t="s">
        <v>320</v>
      </c>
      <c r="E49" s="13" t="s">
        <v>321</v>
      </c>
      <c r="F49" s="13" t="s">
        <v>322</v>
      </c>
      <c r="G49" t="s">
        <v>323</v>
      </c>
      <c r="H49" t="s">
        <v>324</v>
      </c>
      <c r="I49" t="s">
        <v>29</v>
      </c>
      <c r="J49" s="13" t="s">
        <v>30</v>
      </c>
      <c r="K49" s="13"/>
      <c r="L49" t="s">
        <v>325</v>
      </c>
      <c r="M49" s="52" t="s">
        <v>53</v>
      </c>
      <c r="V49" s="54">
        <v>2155</v>
      </c>
      <c r="AB49" s="81">
        <f>W49+Y49-AA49</f>
        <v>0</v>
      </c>
      <c r="AC49" s="106">
        <v>1</v>
      </c>
      <c r="AD49" t="e">
        <f ca="1">AA1-M49</f>
        <v>#VALUE!</v>
      </c>
    </row>
    <row r="50" spans="1:30" x14ac:dyDescent="0.25">
      <c r="A50" t="s">
        <v>96</v>
      </c>
      <c r="B50" s="41">
        <v>272</v>
      </c>
      <c r="C50" t="s">
        <v>326</v>
      </c>
      <c r="D50" t="s">
        <v>327</v>
      </c>
      <c r="E50" s="13" t="s">
        <v>328</v>
      </c>
      <c r="F50" s="13" t="s">
        <v>329</v>
      </c>
      <c r="G50" t="s">
        <v>330</v>
      </c>
      <c r="H50" t="s">
        <v>331</v>
      </c>
      <c r="I50" t="s">
        <v>29</v>
      </c>
      <c r="J50" s="13" t="s">
        <v>34</v>
      </c>
      <c r="K50" s="13"/>
      <c r="L50" t="s">
        <v>111</v>
      </c>
      <c r="M50" s="52" t="s">
        <v>53</v>
      </c>
      <c r="V50" s="54">
        <v>4404</v>
      </c>
      <c r="AB50" s="81">
        <f>W50+Y50-AA50</f>
        <v>0</v>
      </c>
      <c r="AC50" s="106">
        <v>1</v>
      </c>
      <c r="AD50" t="e">
        <f ca="1">AA1-M50</f>
        <v>#VALUE!</v>
      </c>
    </row>
    <row r="51" spans="1:30" x14ac:dyDescent="0.25">
      <c r="A51" t="s">
        <v>96</v>
      </c>
      <c r="B51" s="41">
        <v>273</v>
      </c>
      <c r="C51" t="s">
        <v>332</v>
      </c>
      <c r="D51" t="s">
        <v>333</v>
      </c>
      <c r="E51" s="13" t="s">
        <v>328</v>
      </c>
      <c r="F51" s="13" t="s">
        <v>334</v>
      </c>
      <c r="G51" t="s">
        <v>335</v>
      </c>
      <c r="H51" t="s">
        <v>336</v>
      </c>
      <c r="I51" t="s">
        <v>29</v>
      </c>
      <c r="J51" s="13" t="s">
        <v>34</v>
      </c>
      <c r="K51" s="13"/>
      <c r="L51" t="s">
        <v>335</v>
      </c>
      <c r="M51" s="52" t="s">
        <v>53</v>
      </c>
      <c r="V51" s="54">
        <v>3410</v>
      </c>
      <c r="AB51" s="81">
        <f>W51+Y51-AA51</f>
        <v>0</v>
      </c>
      <c r="AC51" s="106">
        <v>1</v>
      </c>
      <c r="AD51" t="e">
        <f ca="1">AA1-M51</f>
        <v>#VALUE!</v>
      </c>
    </row>
    <row r="52" spans="1:30" x14ac:dyDescent="0.25">
      <c r="A52" t="s">
        <v>96</v>
      </c>
      <c r="B52" s="41">
        <v>275</v>
      </c>
      <c r="C52" t="s">
        <v>337</v>
      </c>
      <c r="D52" t="s">
        <v>338</v>
      </c>
      <c r="E52" s="13" t="s">
        <v>339</v>
      </c>
      <c r="F52" s="13" t="s">
        <v>340</v>
      </c>
      <c r="G52" t="s">
        <v>341</v>
      </c>
      <c r="H52" t="s">
        <v>342</v>
      </c>
      <c r="I52" t="s">
        <v>29</v>
      </c>
      <c r="J52" s="13" t="s">
        <v>34</v>
      </c>
      <c r="K52" s="13"/>
      <c r="L52" t="s">
        <v>193</v>
      </c>
      <c r="M52" s="52" t="s">
        <v>53</v>
      </c>
      <c r="V52" s="54">
        <v>6260</v>
      </c>
      <c r="AB52" s="81">
        <f>W52+Y52-AA52</f>
        <v>0</v>
      </c>
      <c r="AC52" s="106">
        <v>1</v>
      </c>
      <c r="AD52" t="e">
        <f ca="1">AA1-M52</f>
        <v>#VALUE!</v>
      </c>
    </row>
    <row r="53" spans="1:30" x14ac:dyDescent="0.25">
      <c r="A53" t="s">
        <v>96</v>
      </c>
      <c r="B53" s="41">
        <v>280</v>
      </c>
      <c r="C53" t="s">
        <v>343</v>
      </c>
      <c r="D53" t="s">
        <v>344</v>
      </c>
      <c r="E53" s="13" t="s">
        <v>345</v>
      </c>
      <c r="F53" s="13" t="s">
        <v>346</v>
      </c>
      <c r="G53" t="s">
        <v>347</v>
      </c>
      <c r="H53" t="s">
        <v>348</v>
      </c>
      <c r="I53" t="s">
        <v>29</v>
      </c>
      <c r="J53" s="13" t="s">
        <v>30</v>
      </c>
      <c r="K53" s="13"/>
      <c r="L53" t="s">
        <v>303</v>
      </c>
      <c r="M53" s="52" t="s">
        <v>53</v>
      </c>
      <c r="V53" s="54">
        <v>2796</v>
      </c>
      <c r="AB53" s="81">
        <f>W53+Y53-AA53</f>
        <v>0</v>
      </c>
      <c r="AC53" s="106">
        <v>1</v>
      </c>
      <c r="AD53" t="e">
        <f ca="1">AA1-M53</f>
        <v>#VALUE!</v>
      </c>
    </row>
    <row r="54" spans="1:30" x14ac:dyDescent="0.25">
      <c r="A54" t="s">
        <v>96</v>
      </c>
      <c r="B54" s="41">
        <v>285</v>
      </c>
      <c r="C54" t="s">
        <v>349</v>
      </c>
      <c r="D54" t="s">
        <v>350</v>
      </c>
      <c r="E54" s="13" t="s">
        <v>351</v>
      </c>
      <c r="F54" s="13" t="s">
        <v>352</v>
      </c>
      <c r="G54" t="s">
        <v>353</v>
      </c>
      <c r="H54" t="s">
        <v>354</v>
      </c>
      <c r="I54" t="s">
        <v>29</v>
      </c>
      <c r="J54" s="13" t="s">
        <v>34</v>
      </c>
      <c r="K54" s="13"/>
      <c r="L54" t="s">
        <v>355</v>
      </c>
      <c r="M54" s="52" t="s">
        <v>53</v>
      </c>
      <c r="V54" s="54">
        <v>4781</v>
      </c>
      <c r="AB54" s="81">
        <f>W54+Y54-AA54</f>
        <v>0</v>
      </c>
      <c r="AC54" s="106">
        <v>1</v>
      </c>
      <c r="AD54" t="e">
        <f ca="1">AA1-M54</f>
        <v>#VALUE!</v>
      </c>
    </row>
    <row r="55" spans="1:30" x14ac:dyDescent="0.25">
      <c r="A55" t="s">
        <v>96</v>
      </c>
      <c r="B55" s="41">
        <v>288</v>
      </c>
      <c r="C55" t="s">
        <v>356</v>
      </c>
      <c r="D55" t="s">
        <v>357</v>
      </c>
      <c r="E55" s="13" t="s">
        <v>358</v>
      </c>
      <c r="F55" s="13" t="s">
        <v>359</v>
      </c>
      <c r="G55" t="s">
        <v>360</v>
      </c>
      <c r="H55" t="s">
        <v>361</v>
      </c>
      <c r="I55" t="s">
        <v>29</v>
      </c>
      <c r="J55" s="13" t="s">
        <v>30</v>
      </c>
      <c r="K55" s="13"/>
      <c r="L55" t="s">
        <v>60</v>
      </c>
      <c r="M55" s="52" t="s">
        <v>53</v>
      </c>
      <c r="V55" s="54">
        <v>2605</v>
      </c>
      <c r="AB55" s="81">
        <f>W55+Y55-AA55</f>
        <v>0</v>
      </c>
      <c r="AC55" s="106">
        <v>1</v>
      </c>
      <c r="AD55" t="e">
        <f ca="1">AA1-M55</f>
        <v>#VALUE!</v>
      </c>
    </row>
    <row r="56" spans="1:30" x14ac:dyDescent="0.25">
      <c r="A56" t="s">
        <v>96</v>
      </c>
      <c r="B56" s="41">
        <v>289</v>
      </c>
      <c r="C56" t="s">
        <v>362</v>
      </c>
      <c r="D56" t="s">
        <v>363</v>
      </c>
      <c r="E56" s="13" t="s">
        <v>364</v>
      </c>
      <c r="F56" s="13" t="s">
        <v>365</v>
      </c>
      <c r="G56" t="s">
        <v>366</v>
      </c>
      <c r="H56" t="s">
        <v>367</v>
      </c>
      <c r="I56" t="s">
        <v>29</v>
      </c>
      <c r="J56" s="13" t="s">
        <v>30</v>
      </c>
      <c r="K56" s="13"/>
      <c r="L56" t="s">
        <v>111</v>
      </c>
      <c r="M56" s="52" t="s">
        <v>53</v>
      </c>
      <c r="V56" s="54">
        <v>2705</v>
      </c>
      <c r="AB56" s="81">
        <f>W56+Y56-AA56</f>
        <v>0</v>
      </c>
      <c r="AC56" s="106">
        <v>1</v>
      </c>
      <c r="AD56" t="e">
        <f ca="1">AA1-M56</f>
        <v>#VALUE!</v>
      </c>
    </row>
    <row r="57" spans="1:30" x14ac:dyDescent="0.25">
      <c r="A57" t="s">
        <v>96</v>
      </c>
      <c r="B57" s="41">
        <v>290</v>
      </c>
      <c r="C57" t="s">
        <v>368</v>
      </c>
      <c r="D57" t="s">
        <v>369</v>
      </c>
      <c r="E57" s="13" t="s">
        <v>370</v>
      </c>
      <c r="F57" s="13" t="s">
        <v>371</v>
      </c>
      <c r="G57" t="s">
        <v>372</v>
      </c>
      <c r="H57" t="s">
        <v>373</v>
      </c>
      <c r="I57" t="s">
        <v>374</v>
      </c>
      <c r="J57" s="13" t="s">
        <v>34</v>
      </c>
      <c r="K57" s="13"/>
      <c r="L57" t="s">
        <v>39</v>
      </c>
      <c r="M57" s="52" t="s">
        <v>53</v>
      </c>
      <c r="V57" s="54">
        <f>3600+6416</f>
        <v>10016</v>
      </c>
      <c r="AB57" s="81">
        <f>W57+Y57-AA57</f>
        <v>0</v>
      </c>
      <c r="AC57" s="106">
        <v>1</v>
      </c>
      <c r="AD57" t="e">
        <f ca="1">AA1-M57</f>
        <v>#VALUE!</v>
      </c>
    </row>
    <row r="58" spans="1:30" x14ac:dyDescent="0.25">
      <c r="A58" t="s">
        <v>96</v>
      </c>
      <c r="B58" s="41">
        <v>291</v>
      </c>
      <c r="C58" t="s">
        <v>375</v>
      </c>
      <c r="D58" t="s">
        <v>376</v>
      </c>
      <c r="E58" s="13" t="s">
        <v>377</v>
      </c>
      <c r="F58" s="13" t="s">
        <v>378</v>
      </c>
      <c r="G58" t="s">
        <v>379</v>
      </c>
      <c r="H58" t="s">
        <v>380</v>
      </c>
      <c r="I58" t="s">
        <v>29</v>
      </c>
      <c r="J58" s="13" t="s">
        <v>30</v>
      </c>
      <c r="K58" s="13"/>
      <c r="L58" t="s">
        <v>127</v>
      </c>
      <c r="M58" s="52" t="s">
        <v>53</v>
      </c>
      <c r="V58" s="54">
        <v>2896</v>
      </c>
      <c r="AB58" s="81">
        <f>W58+Y58-AA58</f>
        <v>0</v>
      </c>
      <c r="AC58" s="106">
        <v>1</v>
      </c>
      <c r="AD58" t="e">
        <f ca="1">AA1-M58</f>
        <v>#VALUE!</v>
      </c>
    </row>
    <row r="59" spans="1:30" x14ac:dyDescent="0.25">
      <c r="A59" t="s">
        <v>96</v>
      </c>
      <c r="B59" s="41">
        <v>293</v>
      </c>
      <c r="C59" t="s">
        <v>381</v>
      </c>
      <c r="D59" t="s">
        <v>382</v>
      </c>
      <c r="E59" s="13" t="s">
        <v>383</v>
      </c>
      <c r="F59" s="13" t="s">
        <v>384</v>
      </c>
      <c r="G59" t="s">
        <v>385</v>
      </c>
      <c r="H59" t="s">
        <v>386</v>
      </c>
      <c r="I59" t="s">
        <v>29</v>
      </c>
      <c r="J59" s="13" t="s">
        <v>30</v>
      </c>
      <c r="K59" s="13"/>
      <c r="L59" t="s">
        <v>387</v>
      </c>
      <c r="M59" s="52" t="s">
        <v>53</v>
      </c>
      <c r="V59" s="54">
        <v>3251</v>
      </c>
      <c r="AB59" s="81">
        <f>W59+Y59-AA59</f>
        <v>0</v>
      </c>
      <c r="AC59" s="106">
        <v>1</v>
      </c>
      <c r="AD59" t="e">
        <f ca="1">AA1-M59</f>
        <v>#VALUE!</v>
      </c>
    </row>
    <row r="60" spans="1:30" x14ac:dyDescent="0.25">
      <c r="A60" t="s">
        <v>96</v>
      </c>
      <c r="B60" s="41">
        <v>294</v>
      </c>
      <c r="C60" t="s">
        <v>388</v>
      </c>
      <c r="D60" t="s">
        <v>389</v>
      </c>
      <c r="E60" s="13" t="s">
        <v>390</v>
      </c>
      <c r="F60" s="13" t="s">
        <v>391</v>
      </c>
      <c r="G60" t="s">
        <v>392</v>
      </c>
      <c r="H60" t="s">
        <v>393</v>
      </c>
      <c r="I60" t="s">
        <v>29</v>
      </c>
      <c r="J60" s="13" t="s">
        <v>30</v>
      </c>
      <c r="K60" s="13"/>
      <c r="L60" t="s">
        <v>111</v>
      </c>
      <c r="M60" s="52" t="s">
        <v>53</v>
      </c>
      <c r="V60" s="54">
        <v>3264</v>
      </c>
      <c r="AB60" s="81">
        <f>W60+Y60-AA60</f>
        <v>0</v>
      </c>
      <c r="AC60" s="106">
        <v>1</v>
      </c>
      <c r="AD60" t="e">
        <f ca="1">AA1-M60</f>
        <v>#VALUE!</v>
      </c>
    </row>
    <row r="61" spans="1:30" x14ac:dyDescent="0.25">
      <c r="A61" t="s">
        <v>96</v>
      </c>
      <c r="B61" s="41">
        <v>295</v>
      </c>
      <c r="C61" t="s">
        <v>394</v>
      </c>
      <c r="D61" t="s">
        <v>395</v>
      </c>
      <c r="E61" s="13" t="s">
        <v>390</v>
      </c>
      <c r="F61" s="13" t="s">
        <v>396</v>
      </c>
      <c r="G61" t="s">
        <v>72</v>
      </c>
      <c r="H61" t="s">
        <v>397</v>
      </c>
      <c r="I61" t="s">
        <v>29</v>
      </c>
      <c r="J61" s="13" t="s">
        <v>34</v>
      </c>
      <c r="K61" s="13"/>
      <c r="L61" t="s">
        <v>60</v>
      </c>
      <c r="M61" s="52" t="s">
        <v>53</v>
      </c>
      <c r="V61" s="54">
        <v>3866</v>
      </c>
      <c r="AB61" s="81">
        <f>W61+Y61-AA61</f>
        <v>0</v>
      </c>
      <c r="AC61" s="106">
        <v>1</v>
      </c>
      <c r="AD61" t="e">
        <f ca="1">AA1-M61</f>
        <v>#VALUE!</v>
      </c>
    </row>
    <row r="62" spans="1:30" x14ac:dyDescent="0.25">
      <c r="A62" t="s">
        <v>96</v>
      </c>
      <c r="B62" s="41">
        <v>297</v>
      </c>
      <c r="C62" t="s">
        <v>398</v>
      </c>
      <c r="D62" t="s">
        <v>399</v>
      </c>
      <c r="E62" s="13" t="s">
        <v>400</v>
      </c>
      <c r="F62" s="13" t="s">
        <v>401</v>
      </c>
      <c r="G62" t="s">
        <v>402</v>
      </c>
      <c r="H62" t="s">
        <v>403</v>
      </c>
      <c r="I62" t="s">
        <v>404</v>
      </c>
      <c r="J62" s="13" t="s">
        <v>30</v>
      </c>
      <c r="K62" s="13"/>
      <c r="L62" t="s">
        <v>387</v>
      </c>
      <c r="M62" s="52" t="s">
        <v>53</v>
      </c>
      <c r="V62" s="54">
        <v>3100</v>
      </c>
      <c r="AB62" s="81">
        <f>W62+Y62-AA62</f>
        <v>0</v>
      </c>
      <c r="AC62" s="106">
        <v>1</v>
      </c>
      <c r="AD62" t="e">
        <f ca="1">AA1-M62</f>
        <v>#VALUE!</v>
      </c>
    </row>
    <row r="63" spans="1:30" x14ac:dyDescent="0.25">
      <c r="A63" t="s">
        <v>96</v>
      </c>
      <c r="B63" s="41">
        <v>298</v>
      </c>
      <c r="C63" t="s">
        <v>405</v>
      </c>
      <c r="D63" t="s">
        <v>406</v>
      </c>
      <c r="E63" s="13" t="s">
        <v>76</v>
      </c>
      <c r="F63" s="13" t="s">
        <v>407</v>
      </c>
      <c r="G63" t="s">
        <v>408</v>
      </c>
      <c r="H63" t="s">
        <v>409</v>
      </c>
      <c r="I63" t="s">
        <v>29</v>
      </c>
      <c r="J63" s="13" t="s">
        <v>30</v>
      </c>
      <c r="K63" s="13"/>
      <c r="L63" t="s">
        <v>410</v>
      </c>
      <c r="M63" s="52" t="s">
        <v>53</v>
      </c>
      <c r="V63" s="54">
        <v>3697</v>
      </c>
      <c r="AB63" s="81">
        <f>W63+Y63-AA63</f>
        <v>0</v>
      </c>
      <c r="AC63" s="106">
        <v>1</v>
      </c>
      <c r="AD63" t="e">
        <f ca="1">AA1-M63</f>
        <v>#VALUE!</v>
      </c>
    </row>
    <row r="64" spans="1:30" x14ac:dyDescent="0.25">
      <c r="A64" t="s">
        <v>96</v>
      </c>
      <c r="B64" s="41">
        <v>299</v>
      </c>
      <c r="C64" t="s">
        <v>411</v>
      </c>
      <c r="D64" t="s">
        <v>412</v>
      </c>
      <c r="E64" s="13" t="s">
        <v>76</v>
      </c>
      <c r="F64" s="13" t="s">
        <v>413</v>
      </c>
      <c r="G64" t="s">
        <v>360</v>
      </c>
      <c r="H64" t="s">
        <v>414</v>
      </c>
      <c r="I64" t="s">
        <v>29</v>
      </c>
      <c r="J64" s="13" t="s">
        <v>34</v>
      </c>
      <c r="K64" s="13"/>
      <c r="L64" t="s">
        <v>415</v>
      </c>
      <c r="M64" s="52" t="s">
        <v>53</v>
      </c>
      <c r="V64" s="54">
        <v>3610</v>
      </c>
      <c r="AB64" s="81">
        <f>W64+Y64-AA64</f>
        <v>0</v>
      </c>
      <c r="AC64" s="106">
        <v>1</v>
      </c>
      <c r="AD64" t="e">
        <f ca="1">AA1-M64</f>
        <v>#VALUE!</v>
      </c>
    </row>
    <row r="65" spans="1:30" x14ac:dyDescent="0.25">
      <c r="A65" t="s">
        <v>96</v>
      </c>
      <c r="B65" s="41">
        <v>302</v>
      </c>
      <c r="C65" t="s">
        <v>416</v>
      </c>
      <c r="D65" t="s">
        <v>417</v>
      </c>
      <c r="E65" s="13" t="s">
        <v>418</v>
      </c>
      <c r="F65" s="13" t="s">
        <v>419</v>
      </c>
      <c r="G65" t="s">
        <v>420</v>
      </c>
      <c r="H65" t="s">
        <v>421</v>
      </c>
      <c r="I65" t="s">
        <v>29</v>
      </c>
      <c r="J65" s="13" t="s">
        <v>34</v>
      </c>
      <c r="K65" s="13"/>
      <c r="L65" t="s">
        <v>422</v>
      </c>
      <c r="M65" s="52" t="s">
        <v>53</v>
      </c>
      <c r="V65" s="54">
        <v>4875</v>
      </c>
      <c r="AB65" s="81">
        <f>W65+Y65-AA65</f>
        <v>0</v>
      </c>
      <c r="AC65" s="106">
        <v>1</v>
      </c>
      <c r="AD65" t="e">
        <f ca="1">AA1-M65</f>
        <v>#VALUE!</v>
      </c>
    </row>
    <row r="66" spans="1:30" x14ac:dyDescent="0.25">
      <c r="A66" t="s">
        <v>96</v>
      </c>
      <c r="B66" s="41">
        <v>303</v>
      </c>
      <c r="C66" t="s">
        <v>423</v>
      </c>
      <c r="D66" t="s">
        <v>424</v>
      </c>
      <c r="E66" s="13" t="s">
        <v>425</v>
      </c>
      <c r="F66" s="13" t="s">
        <v>426</v>
      </c>
      <c r="G66" t="s">
        <v>427</v>
      </c>
      <c r="H66" t="s">
        <v>428</v>
      </c>
      <c r="I66" t="s">
        <v>29</v>
      </c>
      <c r="J66" s="13" t="s">
        <v>34</v>
      </c>
      <c r="K66" s="13"/>
      <c r="L66" t="s">
        <v>429</v>
      </c>
      <c r="M66" s="52" t="s">
        <v>53</v>
      </c>
      <c r="V66" s="54">
        <v>2396</v>
      </c>
      <c r="AB66" s="81">
        <f>W66+Y66-AA66</f>
        <v>0</v>
      </c>
      <c r="AC66" s="106">
        <v>1</v>
      </c>
      <c r="AD66" t="e">
        <f ca="1">AA1-M66</f>
        <v>#VALUE!</v>
      </c>
    </row>
    <row r="67" spans="1:30" x14ac:dyDescent="0.25">
      <c r="A67" t="s">
        <v>96</v>
      </c>
      <c r="B67" s="41">
        <v>304</v>
      </c>
      <c r="C67" t="s">
        <v>430</v>
      </c>
      <c r="D67" t="s">
        <v>431</v>
      </c>
      <c r="E67" s="13" t="s">
        <v>432</v>
      </c>
      <c r="F67" s="13" t="s">
        <v>433</v>
      </c>
      <c r="G67" t="s">
        <v>434</v>
      </c>
      <c r="H67" t="s">
        <v>435</v>
      </c>
      <c r="I67" t="s">
        <v>29</v>
      </c>
      <c r="J67" s="13" t="s">
        <v>34</v>
      </c>
      <c r="K67" s="13"/>
      <c r="L67" t="s">
        <v>436</v>
      </c>
      <c r="M67" s="52" t="s">
        <v>53</v>
      </c>
      <c r="V67" s="54">
        <v>6016</v>
      </c>
      <c r="AB67" s="81">
        <f>W67+Y67-AA67</f>
        <v>0</v>
      </c>
      <c r="AC67" s="106">
        <v>1</v>
      </c>
      <c r="AD67" t="e">
        <f ca="1">AA1-M67</f>
        <v>#VALUE!</v>
      </c>
    </row>
    <row r="68" spans="1:30" x14ac:dyDescent="0.25">
      <c r="A68" t="s">
        <v>96</v>
      </c>
      <c r="B68" s="41">
        <v>308</v>
      </c>
      <c r="C68" t="s">
        <v>437</v>
      </c>
      <c r="D68" t="s">
        <v>438</v>
      </c>
      <c r="E68" s="13" t="s">
        <v>439</v>
      </c>
      <c r="F68" s="13" t="s">
        <v>440</v>
      </c>
      <c r="G68" t="s">
        <v>441</v>
      </c>
      <c r="H68" t="s">
        <v>442</v>
      </c>
      <c r="I68" t="s">
        <v>29</v>
      </c>
      <c r="J68" s="13" t="s">
        <v>34</v>
      </c>
      <c r="K68" s="13"/>
      <c r="L68" t="s">
        <v>314</v>
      </c>
      <c r="M68" s="52" t="s">
        <v>53</v>
      </c>
      <c r="V68" s="54">
        <v>4801</v>
      </c>
      <c r="AB68" s="81">
        <f>W68+Y68-AA68</f>
        <v>0</v>
      </c>
      <c r="AC68" s="106">
        <v>1</v>
      </c>
      <c r="AD68" t="e">
        <f ca="1">AA1-M68</f>
        <v>#VALUE!</v>
      </c>
    </row>
    <row r="69" spans="1:30" x14ac:dyDescent="0.25">
      <c r="A69" t="s">
        <v>96</v>
      </c>
      <c r="B69" s="41">
        <v>309</v>
      </c>
      <c r="C69" t="s">
        <v>443</v>
      </c>
      <c r="D69" t="s">
        <v>444</v>
      </c>
      <c r="E69" s="13" t="s">
        <v>439</v>
      </c>
      <c r="F69" s="13" t="s">
        <v>445</v>
      </c>
      <c r="G69" t="s">
        <v>183</v>
      </c>
      <c r="H69" t="s">
        <v>446</v>
      </c>
      <c r="I69" t="s">
        <v>29</v>
      </c>
      <c r="J69" s="13" t="s">
        <v>34</v>
      </c>
      <c r="K69" s="13"/>
      <c r="L69" t="s">
        <v>447</v>
      </c>
      <c r="M69" s="52" t="s">
        <v>53</v>
      </c>
      <c r="V69" s="54">
        <v>8129</v>
      </c>
      <c r="AB69" s="81">
        <f>W69+Y69-AA69</f>
        <v>0</v>
      </c>
      <c r="AC69" s="106">
        <v>1</v>
      </c>
      <c r="AD69" t="e">
        <f ca="1">AA1-M69</f>
        <v>#VALUE!</v>
      </c>
    </row>
    <row r="70" spans="1:30" x14ac:dyDescent="0.25">
      <c r="A70" t="s">
        <v>96</v>
      </c>
      <c r="B70" s="41">
        <v>310</v>
      </c>
      <c r="C70" t="s">
        <v>448</v>
      </c>
      <c r="D70" t="s">
        <v>449</v>
      </c>
      <c r="E70" s="13" t="s">
        <v>450</v>
      </c>
      <c r="F70" s="13" t="s">
        <v>451</v>
      </c>
      <c r="G70" t="s">
        <v>452</v>
      </c>
      <c r="H70" t="s">
        <v>453</v>
      </c>
      <c r="I70" t="s">
        <v>29</v>
      </c>
      <c r="J70" s="13" t="s">
        <v>30</v>
      </c>
      <c r="K70" s="13"/>
      <c r="L70" t="s">
        <v>454</v>
      </c>
      <c r="M70" s="52" t="s">
        <v>53</v>
      </c>
      <c r="V70" s="54">
        <v>3674</v>
      </c>
      <c r="AB70" s="81">
        <f>W70+Y70-AA70</f>
        <v>0</v>
      </c>
      <c r="AC70" s="106">
        <v>1</v>
      </c>
      <c r="AD70" t="e">
        <f>#REF!-M70</f>
        <v>#REF!</v>
      </c>
    </row>
    <row r="71" spans="1:30" x14ac:dyDescent="0.25">
      <c r="A71" t="s">
        <v>96</v>
      </c>
      <c r="B71" s="41">
        <v>311</v>
      </c>
      <c r="C71" t="s">
        <v>455</v>
      </c>
      <c r="D71" t="s">
        <v>456</v>
      </c>
      <c r="E71" s="13" t="s">
        <v>457</v>
      </c>
      <c r="F71" s="13" t="s">
        <v>458</v>
      </c>
      <c r="G71" t="s">
        <v>459</v>
      </c>
      <c r="H71" t="s">
        <v>460</v>
      </c>
      <c r="I71" t="s">
        <v>29</v>
      </c>
      <c r="J71" s="13" t="s">
        <v>30</v>
      </c>
      <c r="K71" s="13"/>
      <c r="L71" t="s">
        <v>60</v>
      </c>
      <c r="M71" s="52" t="s">
        <v>53</v>
      </c>
      <c r="V71" s="54">
        <v>2560</v>
      </c>
      <c r="AB71" s="81">
        <f>W71+Y71-AA71</f>
        <v>0</v>
      </c>
      <c r="AC71" s="106">
        <v>1</v>
      </c>
      <c r="AD71" t="e">
        <f ca="1">AA1-M71</f>
        <v>#VALUE!</v>
      </c>
    </row>
    <row r="72" spans="1:30" x14ac:dyDescent="0.25">
      <c r="A72" t="s">
        <v>96</v>
      </c>
      <c r="B72" s="41">
        <v>314</v>
      </c>
      <c r="C72" t="s">
        <v>461</v>
      </c>
      <c r="D72" t="s">
        <v>462</v>
      </c>
      <c r="E72" s="13" t="s">
        <v>463</v>
      </c>
      <c r="F72" s="13" t="s">
        <v>464</v>
      </c>
      <c r="G72" t="s">
        <v>465</v>
      </c>
      <c r="H72" t="s">
        <v>466</v>
      </c>
      <c r="I72" t="s">
        <v>29</v>
      </c>
      <c r="J72" s="13" t="s">
        <v>30</v>
      </c>
      <c r="K72" s="13"/>
      <c r="L72" t="s">
        <v>467</v>
      </c>
      <c r="M72" s="52" t="s">
        <v>53</v>
      </c>
      <c r="V72" s="54">
        <v>2890</v>
      </c>
      <c r="AB72" s="81">
        <f>W72+Y72-AA72</f>
        <v>0</v>
      </c>
      <c r="AC72" s="106">
        <v>1</v>
      </c>
      <c r="AD72" t="e">
        <f ca="1">AA1-M72</f>
        <v>#VALUE!</v>
      </c>
    </row>
    <row r="73" spans="1:30" x14ac:dyDescent="0.25">
      <c r="A73" t="s">
        <v>468</v>
      </c>
      <c r="B73" s="41">
        <v>315</v>
      </c>
      <c r="C73" t="s">
        <v>469</v>
      </c>
      <c r="D73" t="s">
        <v>470</v>
      </c>
      <c r="E73" s="13" t="s">
        <v>463</v>
      </c>
      <c r="F73" s="13" t="s">
        <v>471</v>
      </c>
      <c r="G73" t="s">
        <v>472</v>
      </c>
      <c r="H73" t="s">
        <v>199</v>
      </c>
      <c r="I73" t="s">
        <v>29</v>
      </c>
      <c r="J73" s="13" t="s">
        <v>34</v>
      </c>
      <c r="K73" s="13"/>
      <c r="L73" t="s">
        <v>236</v>
      </c>
      <c r="M73" s="52" t="s">
        <v>53</v>
      </c>
      <c r="V73" s="54">
        <v>4610</v>
      </c>
      <c r="AB73" s="81">
        <f>W73+Y73-AA73</f>
        <v>0</v>
      </c>
      <c r="AC73" s="106">
        <v>1</v>
      </c>
      <c r="AD73" t="e">
        <f ca="1">AA1-M73</f>
        <v>#VALUE!</v>
      </c>
    </row>
    <row r="74" spans="1:30" x14ac:dyDescent="0.25">
      <c r="A74" t="s">
        <v>96</v>
      </c>
      <c r="B74" s="41">
        <v>318</v>
      </c>
      <c r="C74" t="s">
        <v>478</v>
      </c>
      <c r="D74" t="s">
        <v>479</v>
      </c>
      <c r="E74" s="13" t="s">
        <v>480</v>
      </c>
      <c r="F74" s="13" t="s">
        <v>481</v>
      </c>
      <c r="G74" t="s">
        <v>482</v>
      </c>
      <c r="H74" t="s">
        <v>483</v>
      </c>
      <c r="I74" t="s">
        <v>29</v>
      </c>
      <c r="J74" s="13" t="s">
        <v>30</v>
      </c>
      <c r="K74" s="13"/>
      <c r="L74" t="s">
        <v>436</v>
      </c>
      <c r="M74" s="52" t="s">
        <v>53</v>
      </c>
      <c r="V74" s="54">
        <v>2671</v>
      </c>
      <c r="AB74" s="81">
        <f>W74+Y74-AA74</f>
        <v>0</v>
      </c>
      <c r="AC74" s="106">
        <v>1</v>
      </c>
      <c r="AD74" t="e">
        <f ca="1">AA1-M74</f>
        <v>#VALUE!</v>
      </c>
    </row>
    <row r="75" spans="1:30" x14ac:dyDescent="0.25">
      <c r="A75" t="s">
        <v>96</v>
      </c>
      <c r="B75" s="41">
        <v>320</v>
      </c>
      <c r="C75" t="s">
        <v>484</v>
      </c>
      <c r="D75" t="s">
        <v>485</v>
      </c>
      <c r="E75" s="13" t="s">
        <v>486</v>
      </c>
      <c r="F75" s="13" t="s">
        <v>487</v>
      </c>
      <c r="G75" t="s">
        <v>488</v>
      </c>
      <c r="H75" t="s">
        <v>489</v>
      </c>
      <c r="I75" t="s">
        <v>29</v>
      </c>
      <c r="J75" s="13" t="s">
        <v>30</v>
      </c>
      <c r="K75" s="13"/>
      <c r="L75" t="s">
        <v>490</v>
      </c>
      <c r="M75" s="52" t="s">
        <v>53</v>
      </c>
      <c r="V75" s="54">
        <v>2766</v>
      </c>
      <c r="AB75" s="81">
        <f>W75+Y75-AA75</f>
        <v>0</v>
      </c>
      <c r="AC75" s="106">
        <v>1</v>
      </c>
      <c r="AD75" t="e">
        <f ca="1">AA1-M75</f>
        <v>#VALUE!</v>
      </c>
    </row>
    <row r="76" spans="1:30" x14ac:dyDescent="0.25">
      <c r="A76" t="s">
        <v>96</v>
      </c>
      <c r="B76" s="41">
        <v>323</v>
      </c>
      <c r="C76" t="s">
        <v>491</v>
      </c>
      <c r="D76" t="s">
        <v>492</v>
      </c>
      <c r="E76" s="13" t="s">
        <v>493</v>
      </c>
      <c r="F76" s="13" t="s">
        <v>494</v>
      </c>
      <c r="G76" t="s">
        <v>495</v>
      </c>
      <c r="H76" t="s">
        <v>496</v>
      </c>
      <c r="I76" t="s">
        <v>29</v>
      </c>
      <c r="J76" s="13" t="s">
        <v>34</v>
      </c>
      <c r="K76" s="13"/>
      <c r="L76" t="s">
        <v>60</v>
      </c>
      <c r="M76" s="52" t="s">
        <v>53</v>
      </c>
      <c r="V76" s="54">
        <v>2579</v>
      </c>
      <c r="AB76" s="81">
        <f>W76+Y76-AA76</f>
        <v>0</v>
      </c>
      <c r="AC76" s="106">
        <v>1</v>
      </c>
      <c r="AD76" t="e">
        <f ca="1">AA1-M76</f>
        <v>#VALUE!</v>
      </c>
    </row>
    <row r="77" spans="1:30" x14ac:dyDescent="0.25">
      <c r="A77" t="s">
        <v>96</v>
      </c>
      <c r="B77" s="41">
        <v>324</v>
      </c>
      <c r="C77" t="s">
        <v>497</v>
      </c>
      <c r="D77" t="s">
        <v>498</v>
      </c>
      <c r="E77" s="13" t="s">
        <v>493</v>
      </c>
      <c r="F77" s="13" t="s">
        <v>499</v>
      </c>
      <c r="G77" t="s">
        <v>500</v>
      </c>
      <c r="H77" t="s">
        <v>501</v>
      </c>
      <c r="I77" t="s">
        <v>29</v>
      </c>
      <c r="J77" s="13" t="s">
        <v>30</v>
      </c>
      <c r="K77" s="13"/>
      <c r="L77" t="s">
        <v>249</v>
      </c>
      <c r="M77" s="52" t="s">
        <v>53</v>
      </c>
      <c r="V77" s="54">
        <v>2019</v>
      </c>
      <c r="AB77" s="81">
        <f>W77+Y77-AA77</f>
        <v>0</v>
      </c>
      <c r="AC77" s="106">
        <v>1</v>
      </c>
      <c r="AD77" t="e">
        <f ca="1">AA1-M77</f>
        <v>#VALUE!</v>
      </c>
    </row>
    <row r="78" spans="1:30" x14ac:dyDescent="0.25">
      <c r="A78" t="s">
        <v>96</v>
      </c>
      <c r="B78" s="41">
        <v>325</v>
      </c>
      <c r="C78" t="s">
        <v>502</v>
      </c>
      <c r="D78" t="s">
        <v>503</v>
      </c>
      <c r="E78" s="13" t="s">
        <v>504</v>
      </c>
      <c r="F78" s="13" t="s">
        <v>505</v>
      </c>
      <c r="G78" t="s">
        <v>506</v>
      </c>
      <c r="H78" t="s">
        <v>507</v>
      </c>
      <c r="I78" t="s">
        <v>29</v>
      </c>
      <c r="J78" s="13" t="s">
        <v>34</v>
      </c>
      <c r="K78" s="13"/>
      <c r="L78" t="s">
        <v>60</v>
      </c>
      <c r="M78" s="52" t="s">
        <v>53</v>
      </c>
      <c r="V78" s="54">
        <v>4473</v>
      </c>
      <c r="AB78" s="81">
        <f>W78+Y78-AA78</f>
        <v>0</v>
      </c>
      <c r="AC78" s="106">
        <v>1</v>
      </c>
      <c r="AD78" t="e">
        <f ca="1">AA1-M78</f>
        <v>#VALUE!</v>
      </c>
    </row>
    <row r="79" spans="1:30" x14ac:dyDescent="0.25">
      <c r="A79" t="s">
        <v>96</v>
      </c>
      <c r="B79" s="41">
        <v>326</v>
      </c>
      <c r="C79" t="s">
        <v>508</v>
      </c>
      <c r="D79" t="s">
        <v>509</v>
      </c>
      <c r="E79" s="13" t="s">
        <v>510</v>
      </c>
      <c r="F79" s="13" t="s">
        <v>511</v>
      </c>
      <c r="G79" t="s">
        <v>512</v>
      </c>
      <c r="H79" t="s">
        <v>513</v>
      </c>
      <c r="I79" t="s">
        <v>29</v>
      </c>
      <c r="J79" s="13" t="s">
        <v>30</v>
      </c>
      <c r="K79" s="13"/>
      <c r="L79" t="s">
        <v>60</v>
      </c>
      <c r="M79" s="52" t="s">
        <v>53</v>
      </c>
      <c r="V79" s="54">
        <v>2417</v>
      </c>
      <c r="AB79" s="81">
        <f>W79+Y79-AA79</f>
        <v>0</v>
      </c>
      <c r="AC79" s="106">
        <v>1</v>
      </c>
      <c r="AD79" t="e">
        <f ca="1">AA1-M79</f>
        <v>#VALUE!</v>
      </c>
    </row>
    <row r="80" spans="1:30" x14ac:dyDescent="0.25">
      <c r="A80" t="s">
        <v>96</v>
      </c>
      <c r="B80" s="41">
        <v>327</v>
      </c>
      <c r="C80" t="s">
        <v>514</v>
      </c>
      <c r="D80" t="s">
        <v>515</v>
      </c>
      <c r="E80" s="13" t="s">
        <v>516</v>
      </c>
      <c r="F80" s="13" t="s">
        <v>517</v>
      </c>
      <c r="G80" t="s">
        <v>518</v>
      </c>
      <c r="H80" t="s">
        <v>519</v>
      </c>
      <c r="I80" t="s">
        <v>40</v>
      </c>
      <c r="J80" s="13" t="s">
        <v>34</v>
      </c>
      <c r="K80" s="13"/>
      <c r="L80" t="s">
        <v>415</v>
      </c>
      <c r="M80" s="52" t="s">
        <v>53</v>
      </c>
      <c r="V80" s="54">
        <v>4140</v>
      </c>
      <c r="AB80" s="81">
        <f>W80+Y80-AA80</f>
        <v>0</v>
      </c>
      <c r="AC80" s="106">
        <v>1</v>
      </c>
      <c r="AD80" t="e">
        <f ca="1">AA1-M80</f>
        <v>#VALUE!</v>
      </c>
    </row>
    <row r="81" spans="1:30" x14ac:dyDescent="0.25">
      <c r="A81" t="s">
        <v>96</v>
      </c>
      <c r="B81" s="41">
        <v>328</v>
      </c>
      <c r="C81" t="s">
        <v>520</v>
      </c>
      <c r="D81" t="s">
        <v>521</v>
      </c>
      <c r="E81" s="13" t="s">
        <v>522</v>
      </c>
      <c r="F81" s="13" t="s">
        <v>523</v>
      </c>
      <c r="G81" t="s">
        <v>72</v>
      </c>
      <c r="H81" t="s">
        <v>524</v>
      </c>
      <c r="I81" t="s">
        <v>29</v>
      </c>
      <c r="J81" s="13" t="s">
        <v>30</v>
      </c>
      <c r="K81" s="13"/>
      <c r="L81" t="s">
        <v>60</v>
      </c>
      <c r="M81" s="52" t="s">
        <v>53</v>
      </c>
      <c r="V81" s="54">
        <v>3151</v>
      </c>
      <c r="AB81" s="81">
        <f>W81+Y81-AA81</f>
        <v>0</v>
      </c>
      <c r="AC81" s="106">
        <v>1</v>
      </c>
      <c r="AD81" t="e">
        <f ca="1">AA1-M81</f>
        <v>#VALUE!</v>
      </c>
    </row>
    <row r="82" spans="1:30" x14ac:dyDescent="0.25">
      <c r="A82" t="s">
        <v>96</v>
      </c>
      <c r="B82" s="41">
        <v>329</v>
      </c>
      <c r="C82" t="s">
        <v>525</v>
      </c>
      <c r="D82" t="s">
        <v>526</v>
      </c>
      <c r="E82" s="13" t="s">
        <v>527</v>
      </c>
      <c r="F82" s="13" t="s">
        <v>528</v>
      </c>
      <c r="G82" t="s">
        <v>529</v>
      </c>
      <c r="H82" t="s">
        <v>530</v>
      </c>
      <c r="I82" t="s">
        <v>531</v>
      </c>
      <c r="J82" s="13" t="s">
        <v>34</v>
      </c>
      <c r="K82" s="13"/>
      <c r="L82" t="s">
        <v>314</v>
      </c>
      <c r="M82" s="52" t="s">
        <v>53</v>
      </c>
      <c r="V82" s="54">
        <v>3784</v>
      </c>
      <c r="AB82" s="81">
        <f>W82+Y82-AA82</f>
        <v>0</v>
      </c>
      <c r="AC82" s="106">
        <v>1</v>
      </c>
      <c r="AD82" t="e">
        <f ca="1">AA1-M82</f>
        <v>#VALUE!</v>
      </c>
    </row>
    <row r="83" spans="1:30" x14ac:dyDescent="0.25">
      <c r="A83" t="s">
        <v>96</v>
      </c>
      <c r="B83" s="41">
        <v>330</v>
      </c>
      <c r="C83" t="s">
        <v>532</v>
      </c>
      <c r="D83" t="s">
        <v>533</v>
      </c>
      <c r="E83" s="13" t="s">
        <v>534</v>
      </c>
      <c r="F83" s="13" t="s">
        <v>535</v>
      </c>
      <c r="G83" t="s">
        <v>536</v>
      </c>
      <c r="H83" t="s">
        <v>537</v>
      </c>
      <c r="I83" t="s">
        <v>29</v>
      </c>
      <c r="J83" s="13" t="s">
        <v>34</v>
      </c>
      <c r="K83" s="13"/>
      <c r="L83" t="s">
        <v>111</v>
      </c>
      <c r="M83" s="52" t="s">
        <v>53</v>
      </c>
      <c r="V83" s="54">
        <v>4564</v>
      </c>
      <c r="AB83" s="81">
        <f>W83+Y83-AA83</f>
        <v>0</v>
      </c>
      <c r="AC83" s="106">
        <v>1</v>
      </c>
      <c r="AD83" t="e">
        <f ca="1">AA1-M83</f>
        <v>#VALUE!</v>
      </c>
    </row>
    <row r="84" spans="1:30" x14ac:dyDescent="0.25">
      <c r="A84" t="s">
        <v>96</v>
      </c>
      <c r="B84" s="41">
        <v>331</v>
      </c>
      <c r="C84" t="s">
        <v>538</v>
      </c>
      <c r="D84" t="s">
        <v>539</v>
      </c>
      <c r="E84" s="13" t="s">
        <v>540</v>
      </c>
      <c r="F84" s="13" t="s">
        <v>541</v>
      </c>
      <c r="G84" t="s">
        <v>542</v>
      </c>
      <c r="H84" t="s">
        <v>543</v>
      </c>
      <c r="I84" t="s">
        <v>29</v>
      </c>
      <c r="J84" s="13" t="s">
        <v>30</v>
      </c>
      <c r="K84" s="13"/>
      <c r="M84" s="52" t="s">
        <v>53</v>
      </c>
      <c r="V84" s="54">
        <v>2347</v>
      </c>
      <c r="AB84" s="81">
        <f>W84+Y84-AA84</f>
        <v>0</v>
      </c>
      <c r="AC84" s="106">
        <v>1</v>
      </c>
      <c r="AD84" t="e">
        <f ca="1">AA1-M84</f>
        <v>#VALUE!</v>
      </c>
    </row>
    <row r="85" spans="1:30" x14ac:dyDescent="0.25">
      <c r="A85" t="s">
        <v>96</v>
      </c>
      <c r="B85" s="41">
        <v>332</v>
      </c>
      <c r="C85" t="s">
        <v>544</v>
      </c>
      <c r="D85" t="s">
        <v>545</v>
      </c>
      <c r="E85" s="13" t="s">
        <v>540</v>
      </c>
      <c r="F85" s="13" t="s">
        <v>546</v>
      </c>
      <c r="G85" t="s">
        <v>476</v>
      </c>
      <c r="H85" t="s">
        <v>547</v>
      </c>
      <c r="I85" t="s">
        <v>548</v>
      </c>
      <c r="J85" s="13" t="s">
        <v>34</v>
      </c>
      <c r="K85" s="13"/>
      <c r="L85" t="s">
        <v>60</v>
      </c>
      <c r="M85" s="52" t="s">
        <v>53</v>
      </c>
      <c r="V85" s="54">
        <v>5381</v>
      </c>
      <c r="AB85" s="81">
        <f>W85+Y85-AA85</f>
        <v>0</v>
      </c>
      <c r="AC85" s="106">
        <v>1</v>
      </c>
      <c r="AD85" t="e">
        <f ca="1">AA1-M85</f>
        <v>#VALUE!</v>
      </c>
    </row>
    <row r="86" spans="1:30" x14ac:dyDescent="0.25">
      <c r="A86" t="s">
        <v>96</v>
      </c>
      <c r="B86" s="41">
        <v>333</v>
      </c>
      <c r="C86" t="s">
        <v>549</v>
      </c>
      <c r="D86" t="s">
        <v>550</v>
      </c>
      <c r="E86" s="13" t="s">
        <v>540</v>
      </c>
      <c r="F86" s="13" t="s">
        <v>551</v>
      </c>
      <c r="G86" t="s">
        <v>552</v>
      </c>
      <c r="H86" t="s">
        <v>553</v>
      </c>
      <c r="I86" t="s">
        <v>29</v>
      </c>
      <c r="J86" s="13" t="s">
        <v>30</v>
      </c>
      <c r="K86" s="13"/>
      <c r="L86" t="s">
        <v>554</v>
      </c>
      <c r="M86" s="52" t="s">
        <v>53</v>
      </c>
      <c r="V86" s="54">
        <v>3172</v>
      </c>
      <c r="AB86" s="81">
        <f>W86+Y86-AA86</f>
        <v>0</v>
      </c>
      <c r="AC86" s="106">
        <v>1</v>
      </c>
      <c r="AD86" t="e">
        <f ca="1">AA1-M86</f>
        <v>#VALUE!</v>
      </c>
    </row>
    <row r="87" spans="1:30" x14ac:dyDescent="0.25">
      <c r="A87" t="s">
        <v>96</v>
      </c>
      <c r="B87" s="41">
        <v>334</v>
      </c>
      <c r="C87" t="s">
        <v>555</v>
      </c>
      <c r="D87" t="s">
        <v>556</v>
      </c>
      <c r="E87" s="13" t="s">
        <v>557</v>
      </c>
      <c r="F87" s="13" t="s">
        <v>558</v>
      </c>
      <c r="G87" t="s">
        <v>559</v>
      </c>
      <c r="H87" t="s">
        <v>560</v>
      </c>
      <c r="I87" t="s">
        <v>29</v>
      </c>
      <c r="J87" s="13" t="s">
        <v>30</v>
      </c>
      <c r="K87" s="13"/>
      <c r="L87" t="s">
        <v>325</v>
      </c>
      <c r="M87" s="52" t="s">
        <v>53</v>
      </c>
      <c r="V87" s="54">
        <v>2505</v>
      </c>
      <c r="AB87" s="81">
        <f>W87+Y87-AA87</f>
        <v>0</v>
      </c>
      <c r="AC87" s="106">
        <v>1</v>
      </c>
      <c r="AD87" t="e">
        <f ca="1">AA1-M87</f>
        <v>#VALUE!</v>
      </c>
    </row>
    <row r="88" spans="1:30" x14ac:dyDescent="0.25">
      <c r="A88" t="s">
        <v>96</v>
      </c>
      <c r="B88" s="41">
        <v>335</v>
      </c>
      <c r="C88" t="s">
        <v>561</v>
      </c>
      <c r="D88" t="s">
        <v>562</v>
      </c>
      <c r="E88" s="13" t="s">
        <v>557</v>
      </c>
      <c r="F88" s="13" t="s">
        <v>563</v>
      </c>
      <c r="G88" t="s">
        <v>564</v>
      </c>
      <c r="H88" t="s">
        <v>73</v>
      </c>
      <c r="I88" t="s">
        <v>29</v>
      </c>
      <c r="J88" s="13" t="s">
        <v>30</v>
      </c>
      <c r="K88" s="13"/>
      <c r="L88" t="s">
        <v>35</v>
      </c>
      <c r="M88" s="52" t="s">
        <v>53</v>
      </c>
      <c r="V88" s="54">
        <v>2971</v>
      </c>
      <c r="AB88" s="81">
        <f>W88+Y88-AA88</f>
        <v>0</v>
      </c>
      <c r="AC88" s="106">
        <v>1</v>
      </c>
      <c r="AD88" t="e">
        <f ca="1">AA1-M88</f>
        <v>#VALUE!</v>
      </c>
    </row>
    <row r="89" spans="1:30" x14ac:dyDescent="0.25">
      <c r="A89" t="s">
        <v>96</v>
      </c>
      <c r="B89" s="41">
        <v>336</v>
      </c>
      <c r="C89" t="s">
        <v>565</v>
      </c>
      <c r="D89" t="s">
        <v>566</v>
      </c>
      <c r="E89" s="13" t="s">
        <v>557</v>
      </c>
      <c r="F89" s="13" t="s">
        <v>567</v>
      </c>
      <c r="G89" t="s">
        <v>379</v>
      </c>
      <c r="H89" t="s">
        <v>568</v>
      </c>
      <c r="I89" t="s">
        <v>531</v>
      </c>
      <c r="J89" s="13" t="s">
        <v>30</v>
      </c>
      <c r="K89" s="13"/>
      <c r="L89" t="s">
        <v>127</v>
      </c>
      <c r="M89" s="52" t="s">
        <v>53</v>
      </c>
      <c r="V89" s="54">
        <v>2255</v>
      </c>
      <c r="AB89" s="81">
        <f>W89+Y89-AA89</f>
        <v>0</v>
      </c>
      <c r="AC89" s="106">
        <v>1</v>
      </c>
      <c r="AD89" t="e">
        <f ca="1">AA1-M89</f>
        <v>#VALUE!</v>
      </c>
    </row>
    <row r="90" spans="1:30" x14ac:dyDescent="0.25">
      <c r="A90" t="s">
        <v>96</v>
      </c>
      <c r="B90" s="41">
        <v>338</v>
      </c>
      <c r="C90" t="s">
        <v>574</v>
      </c>
      <c r="D90" t="s">
        <v>575</v>
      </c>
      <c r="E90" s="13" t="s">
        <v>576</v>
      </c>
      <c r="F90" s="13" t="s">
        <v>577</v>
      </c>
      <c r="G90" t="s">
        <v>578</v>
      </c>
      <c r="H90" t="s">
        <v>579</v>
      </c>
      <c r="I90" t="s">
        <v>29</v>
      </c>
      <c r="J90" s="13" t="s">
        <v>30</v>
      </c>
      <c r="K90" s="13"/>
      <c r="L90" t="s">
        <v>580</v>
      </c>
      <c r="M90" s="52" t="s">
        <v>53</v>
      </c>
      <c r="V90" s="54">
        <v>2814</v>
      </c>
      <c r="AB90" s="81">
        <f>W90+Y90-AA90</f>
        <v>0</v>
      </c>
      <c r="AC90" s="106">
        <v>1</v>
      </c>
      <c r="AD90" t="e">
        <f ca="1">AA1-M90</f>
        <v>#VALUE!</v>
      </c>
    </row>
    <row r="91" spans="1:30" x14ac:dyDescent="0.25">
      <c r="A91" t="s">
        <v>96</v>
      </c>
      <c r="B91" s="41">
        <v>339</v>
      </c>
      <c r="C91" t="s">
        <v>581</v>
      </c>
      <c r="D91" t="s">
        <v>582</v>
      </c>
      <c r="E91" s="13" t="s">
        <v>583</v>
      </c>
      <c r="F91" s="13" t="s">
        <v>584</v>
      </c>
      <c r="G91" t="s">
        <v>585</v>
      </c>
      <c r="H91" t="s">
        <v>586</v>
      </c>
      <c r="I91" t="s">
        <v>29</v>
      </c>
      <c r="J91" s="13" t="s">
        <v>34</v>
      </c>
      <c r="K91" s="13"/>
      <c r="L91" t="s">
        <v>436</v>
      </c>
      <c r="M91" s="52" t="s">
        <v>53</v>
      </c>
      <c r="V91" s="54">
        <v>3316</v>
      </c>
      <c r="AB91" s="81">
        <f>W91+Y91-AA91</f>
        <v>0</v>
      </c>
      <c r="AC91" s="106">
        <v>1</v>
      </c>
      <c r="AD91" t="e">
        <f ca="1">AA1-M91</f>
        <v>#VALUE!</v>
      </c>
    </row>
    <row r="92" spans="1:30" x14ac:dyDescent="0.25">
      <c r="A92" t="s">
        <v>96</v>
      </c>
      <c r="B92" s="41">
        <v>341</v>
      </c>
      <c r="C92" t="s">
        <v>587</v>
      </c>
      <c r="D92" t="s">
        <v>588</v>
      </c>
      <c r="E92" s="13" t="s">
        <v>589</v>
      </c>
      <c r="F92" s="13" t="s">
        <v>590</v>
      </c>
      <c r="G92" t="s">
        <v>591</v>
      </c>
      <c r="H92" t="s">
        <v>592</v>
      </c>
      <c r="I92" t="s">
        <v>29</v>
      </c>
      <c r="J92" s="13" t="s">
        <v>30</v>
      </c>
      <c r="K92" s="13"/>
      <c r="L92" t="s">
        <v>60</v>
      </c>
      <c r="M92" s="52" t="s">
        <v>53</v>
      </c>
      <c r="V92" s="54">
        <v>2540</v>
      </c>
      <c r="AB92" s="81">
        <f>W92+Y92-AA92</f>
        <v>0</v>
      </c>
      <c r="AC92" s="106">
        <v>1</v>
      </c>
      <c r="AD92" t="e">
        <f ca="1">AA1-M92</f>
        <v>#VALUE!</v>
      </c>
    </row>
    <row r="93" spans="1:30" x14ac:dyDescent="0.25">
      <c r="A93" t="s">
        <v>96</v>
      </c>
      <c r="B93" s="41">
        <v>342</v>
      </c>
      <c r="C93" t="s">
        <v>593</v>
      </c>
      <c r="D93" t="s">
        <v>566</v>
      </c>
      <c r="E93" s="13" t="s">
        <v>589</v>
      </c>
      <c r="F93" s="13" t="s">
        <v>594</v>
      </c>
      <c r="G93" t="s">
        <v>506</v>
      </c>
      <c r="H93" t="s">
        <v>595</v>
      </c>
      <c r="I93" t="s">
        <v>29</v>
      </c>
      <c r="J93" s="13" t="s">
        <v>34</v>
      </c>
      <c r="K93" s="13"/>
      <c r="L93" t="s">
        <v>60</v>
      </c>
      <c r="M93" s="52" t="s">
        <v>53</v>
      </c>
      <c r="V93" s="54">
        <v>3376</v>
      </c>
      <c r="AB93" s="81">
        <f>W93+Y93-AA93</f>
        <v>0</v>
      </c>
      <c r="AC93" s="106">
        <v>1</v>
      </c>
      <c r="AD93" t="e">
        <f ca="1">AA1-M93</f>
        <v>#VALUE!</v>
      </c>
    </row>
    <row r="94" spans="1:30" x14ac:dyDescent="0.25">
      <c r="A94" t="s">
        <v>96</v>
      </c>
      <c r="B94" s="41">
        <v>343</v>
      </c>
      <c r="C94" t="s">
        <v>596</v>
      </c>
      <c r="D94" t="s">
        <v>597</v>
      </c>
      <c r="E94" s="13" t="s">
        <v>589</v>
      </c>
      <c r="F94" s="13" t="s">
        <v>598</v>
      </c>
      <c r="G94" t="s">
        <v>554</v>
      </c>
      <c r="H94" t="s">
        <v>477</v>
      </c>
      <c r="I94" t="s">
        <v>29</v>
      </c>
      <c r="J94" s="13" t="s">
        <v>30</v>
      </c>
      <c r="K94" s="13"/>
      <c r="L94" t="s">
        <v>599</v>
      </c>
      <c r="M94" s="52" t="s">
        <v>53</v>
      </c>
      <c r="V94" s="54">
        <v>3194</v>
      </c>
      <c r="AB94" s="81">
        <f>W94+Y94-AA94</f>
        <v>0</v>
      </c>
      <c r="AC94" s="106">
        <v>1</v>
      </c>
      <c r="AD94" t="e">
        <f ca="1">AA1-M94</f>
        <v>#VALUE!</v>
      </c>
    </row>
    <row r="95" spans="1:30" x14ac:dyDescent="0.25">
      <c r="A95" t="s">
        <v>96</v>
      </c>
      <c r="B95" s="41">
        <v>344</v>
      </c>
      <c r="C95" t="s">
        <v>600</v>
      </c>
      <c r="D95" t="s">
        <v>601</v>
      </c>
      <c r="E95" s="13" t="s">
        <v>602</v>
      </c>
      <c r="F95" s="13" t="s">
        <v>603</v>
      </c>
      <c r="G95" t="s">
        <v>604</v>
      </c>
      <c r="H95" t="s">
        <v>605</v>
      </c>
      <c r="I95" t="s">
        <v>29</v>
      </c>
      <c r="J95" s="13" t="s">
        <v>30</v>
      </c>
      <c r="K95" s="13"/>
      <c r="L95" t="s">
        <v>39</v>
      </c>
      <c r="M95" s="52" t="s">
        <v>53</v>
      </c>
      <c r="V95" s="54">
        <v>7311</v>
      </c>
      <c r="AB95" s="81">
        <f>W95+Y95-AA95</f>
        <v>0</v>
      </c>
      <c r="AC95" s="106">
        <v>1</v>
      </c>
      <c r="AD95" t="e">
        <f ca="1">AA1-M95</f>
        <v>#VALUE!</v>
      </c>
    </row>
    <row r="96" spans="1:30" x14ac:dyDescent="0.25">
      <c r="A96" t="s">
        <v>96</v>
      </c>
      <c r="B96" s="41">
        <v>345</v>
      </c>
      <c r="C96" t="s">
        <v>606</v>
      </c>
      <c r="D96" t="s">
        <v>607</v>
      </c>
      <c r="E96" s="13" t="s">
        <v>608</v>
      </c>
      <c r="F96" s="13" t="s">
        <v>609</v>
      </c>
      <c r="G96" t="s">
        <v>610</v>
      </c>
      <c r="H96" t="s">
        <v>611</v>
      </c>
      <c r="I96" t="s">
        <v>29</v>
      </c>
      <c r="J96" s="13" t="s">
        <v>30</v>
      </c>
      <c r="K96" s="13"/>
      <c r="L96" t="s">
        <v>60</v>
      </c>
      <c r="M96" s="52" t="s">
        <v>53</v>
      </c>
      <c r="V96" s="54">
        <v>2458</v>
      </c>
      <c r="AB96" s="81">
        <f>W96+Y96-AA96</f>
        <v>0</v>
      </c>
      <c r="AC96" s="106">
        <v>1</v>
      </c>
      <c r="AD96" t="e">
        <f ca="1">AA1-M96</f>
        <v>#VALUE!</v>
      </c>
    </row>
    <row r="97" spans="1:30" x14ac:dyDescent="0.25">
      <c r="A97" t="s">
        <v>96</v>
      </c>
      <c r="B97" s="41">
        <v>346</v>
      </c>
      <c r="C97" t="s">
        <v>612</v>
      </c>
      <c r="D97" t="s">
        <v>613</v>
      </c>
      <c r="E97" s="13" t="s">
        <v>608</v>
      </c>
      <c r="F97" s="13" t="s">
        <v>614</v>
      </c>
      <c r="G97" t="s">
        <v>506</v>
      </c>
      <c r="H97" t="s">
        <v>615</v>
      </c>
      <c r="I97" t="s">
        <v>29</v>
      </c>
      <c r="J97" s="13" t="s">
        <v>30</v>
      </c>
      <c r="K97" s="13"/>
      <c r="L97" t="s">
        <v>60</v>
      </c>
      <c r="M97" s="52" t="s">
        <v>53</v>
      </c>
      <c r="V97" s="54">
        <v>6696</v>
      </c>
      <c r="AB97" s="81">
        <f>W97+Y97-AA97</f>
        <v>0</v>
      </c>
      <c r="AC97" s="106">
        <v>1</v>
      </c>
      <c r="AD97" t="e">
        <f ca="1">AA1-M97</f>
        <v>#VALUE!</v>
      </c>
    </row>
    <row r="98" spans="1:30" x14ac:dyDescent="0.25">
      <c r="A98" t="s">
        <v>96</v>
      </c>
      <c r="B98" s="41">
        <v>347</v>
      </c>
      <c r="C98" t="s">
        <v>616</v>
      </c>
      <c r="D98" t="s">
        <v>617</v>
      </c>
      <c r="E98" s="13" t="s">
        <v>618</v>
      </c>
      <c r="F98" s="13" t="s">
        <v>619</v>
      </c>
      <c r="G98" t="s">
        <v>620</v>
      </c>
      <c r="H98" t="s">
        <v>621</v>
      </c>
      <c r="I98" t="s">
        <v>29</v>
      </c>
      <c r="J98" s="13" t="s">
        <v>30</v>
      </c>
      <c r="K98" s="13"/>
      <c r="L98" t="s">
        <v>436</v>
      </c>
      <c r="M98" s="52" t="s">
        <v>53</v>
      </c>
      <c r="V98" s="54">
        <v>2494</v>
      </c>
      <c r="AB98" s="81">
        <f>W98+Y98-AA98</f>
        <v>0</v>
      </c>
      <c r="AC98" s="106">
        <v>1</v>
      </c>
      <c r="AD98" t="e">
        <f ca="1">AA1-M98</f>
        <v>#VALUE!</v>
      </c>
    </row>
    <row r="99" spans="1:30" x14ac:dyDescent="0.25">
      <c r="A99" t="s">
        <v>96</v>
      </c>
      <c r="B99" s="41">
        <v>348</v>
      </c>
      <c r="C99" t="s">
        <v>622</v>
      </c>
      <c r="D99" t="s">
        <v>623</v>
      </c>
      <c r="E99" s="13" t="s">
        <v>618</v>
      </c>
      <c r="F99" s="13" t="s">
        <v>624</v>
      </c>
      <c r="G99" t="s">
        <v>625</v>
      </c>
      <c r="H99" t="s">
        <v>507</v>
      </c>
      <c r="I99" t="s">
        <v>29</v>
      </c>
      <c r="J99" s="13" t="s">
        <v>34</v>
      </c>
      <c r="K99" s="13"/>
      <c r="L99" t="s">
        <v>625</v>
      </c>
      <c r="M99" s="52" t="s">
        <v>53</v>
      </c>
      <c r="V99" s="54">
        <v>6252.8</v>
      </c>
      <c r="AB99" s="81">
        <f>W99+Y99-AA99</f>
        <v>0</v>
      </c>
      <c r="AC99" s="106">
        <v>1</v>
      </c>
      <c r="AD99" t="e">
        <f ca="1">AA1-M99</f>
        <v>#VALUE!</v>
      </c>
    </row>
    <row r="100" spans="1:30" x14ac:dyDescent="0.25">
      <c r="A100" t="s">
        <v>96</v>
      </c>
      <c r="B100" s="41">
        <v>349</v>
      </c>
      <c r="C100" t="s">
        <v>626</v>
      </c>
      <c r="D100" t="s">
        <v>627</v>
      </c>
      <c r="E100" s="13" t="s">
        <v>618</v>
      </c>
      <c r="F100" s="13" t="s">
        <v>628</v>
      </c>
      <c r="G100" t="s">
        <v>227</v>
      </c>
      <c r="H100" t="s">
        <v>629</v>
      </c>
      <c r="I100" t="s">
        <v>29</v>
      </c>
      <c r="J100" s="13" t="s">
        <v>30</v>
      </c>
      <c r="K100" s="13"/>
      <c r="L100" t="s">
        <v>229</v>
      </c>
      <c r="M100" s="52" t="s">
        <v>53</v>
      </c>
      <c r="V100" s="54">
        <v>2347</v>
      </c>
      <c r="AB100" s="81">
        <f>W100+Y100-AA100</f>
        <v>0</v>
      </c>
      <c r="AC100" s="106">
        <v>1</v>
      </c>
      <c r="AD100" t="e">
        <f ca="1">AA1-M100</f>
        <v>#VALUE!</v>
      </c>
    </row>
    <row r="101" spans="1:30" x14ac:dyDescent="0.25">
      <c r="A101" t="s">
        <v>96</v>
      </c>
      <c r="B101" s="41">
        <v>350</v>
      </c>
      <c r="C101" t="s">
        <v>630</v>
      </c>
      <c r="D101" t="s">
        <v>631</v>
      </c>
      <c r="E101" s="13" t="s">
        <v>618</v>
      </c>
      <c r="F101" s="13" t="s">
        <v>632</v>
      </c>
      <c r="G101" t="s">
        <v>633</v>
      </c>
      <c r="H101" t="s">
        <v>634</v>
      </c>
      <c r="I101" t="s">
        <v>29</v>
      </c>
      <c r="J101" s="13" t="s">
        <v>30</v>
      </c>
      <c r="K101" s="13"/>
      <c r="L101" t="s">
        <v>635</v>
      </c>
      <c r="M101" s="52" t="s">
        <v>53</v>
      </c>
      <c r="V101" s="54">
        <v>2540</v>
      </c>
      <c r="AB101" s="81">
        <f>W101+Y101-AA101</f>
        <v>0</v>
      </c>
      <c r="AC101" s="106">
        <v>1</v>
      </c>
      <c r="AD101" t="e">
        <f ca="1">AA1-M101</f>
        <v>#VALUE!</v>
      </c>
    </row>
    <row r="102" spans="1:30" x14ac:dyDescent="0.25">
      <c r="A102" t="s">
        <v>636</v>
      </c>
      <c r="B102" s="41">
        <v>351</v>
      </c>
      <c r="C102" t="s">
        <v>637</v>
      </c>
      <c r="D102" t="s">
        <v>638</v>
      </c>
      <c r="E102" s="13" t="s">
        <v>618</v>
      </c>
      <c r="F102" s="13" t="s">
        <v>639</v>
      </c>
      <c r="G102" t="s">
        <v>640</v>
      </c>
      <c r="H102" t="s">
        <v>641</v>
      </c>
      <c r="I102" t="s">
        <v>29</v>
      </c>
      <c r="J102" s="13" t="s">
        <v>34</v>
      </c>
      <c r="K102" s="13"/>
      <c r="L102" t="s">
        <v>642</v>
      </c>
      <c r="M102" s="52" t="s">
        <v>53</v>
      </c>
      <c r="V102" s="54">
        <v>3502</v>
      </c>
      <c r="AB102" s="81">
        <f>W102+Y102-AA102</f>
        <v>0</v>
      </c>
      <c r="AC102" s="106">
        <v>1</v>
      </c>
      <c r="AD102" t="e">
        <f ca="1">AA1-M102</f>
        <v>#VALUE!</v>
      </c>
    </row>
    <row r="103" spans="1:30" x14ac:dyDescent="0.25">
      <c r="A103" t="s">
        <v>96</v>
      </c>
      <c r="B103" s="41">
        <v>352</v>
      </c>
      <c r="C103" t="s">
        <v>643</v>
      </c>
      <c r="D103" t="s">
        <v>644</v>
      </c>
      <c r="E103" s="13" t="s">
        <v>645</v>
      </c>
      <c r="F103" s="13" t="s">
        <v>646</v>
      </c>
      <c r="G103" t="s">
        <v>647</v>
      </c>
      <c r="H103" t="s">
        <v>648</v>
      </c>
      <c r="I103" t="s">
        <v>29</v>
      </c>
      <c r="J103" s="13" t="s">
        <v>34</v>
      </c>
      <c r="K103" s="13"/>
      <c r="L103" t="s">
        <v>647</v>
      </c>
      <c r="M103" s="52" t="s">
        <v>53</v>
      </c>
      <c r="V103" s="54">
        <v>3444</v>
      </c>
      <c r="AB103" s="81">
        <f>W103+Y103-AA103</f>
        <v>0</v>
      </c>
      <c r="AC103" s="106">
        <v>1</v>
      </c>
      <c r="AD103" t="e">
        <f ca="1">AA1-M103</f>
        <v>#VALUE!</v>
      </c>
    </row>
    <row r="104" spans="1:30" x14ac:dyDescent="0.25">
      <c r="A104" t="s">
        <v>96</v>
      </c>
      <c r="B104" s="41">
        <v>353</v>
      </c>
      <c r="C104" t="s">
        <v>649</v>
      </c>
      <c r="D104" t="s">
        <v>650</v>
      </c>
      <c r="E104" s="13" t="s">
        <v>651</v>
      </c>
      <c r="F104" s="13" t="s">
        <v>652</v>
      </c>
      <c r="G104" t="s">
        <v>653</v>
      </c>
      <c r="H104" t="s">
        <v>654</v>
      </c>
      <c r="I104" t="s">
        <v>29</v>
      </c>
      <c r="J104" s="13" t="s">
        <v>34</v>
      </c>
      <c r="K104" s="13"/>
      <c r="L104" t="s">
        <v>229</v>
      </c>
      <c r="M104" s="52" t="s">
        <v>53</v>
      </c>
      <c r="V104" s="54">
        <v>5499</v>
      </c>
      <c r="AB104" s="81">
        <f>W104+Y104-AA104</f>
        <v>0</v>
      </c>
      <c r="AC104" s="106">
        <v>1</v>
      </c>
      <c r="AD104" t="e">
        <f ca="1">AA1-M104</f>
        <v>#VALUE!</v>
      </c>
    </row>
    <row r="105" spans="1:30" x14ac:dyDescent="0.25">
      <c r="A105" t="s">
        <v>96</v>
      </c>
      <c r="B105" s="41">
        <v>354</v>
      </c>
      <c r="C105" t="s">
        <v>655</v>
      </c>
      <c r="D105" t="s">
        <v>656</v>
      </c>
      <c r="E105" s="13" t="s">
        <v>651</v>
      </c>
      <c r="F105" s="13" t="s">
        <v>657</v>
      </c>
      <c r="G105" t="s">
        <v>658</v>
      </c>
      <c r="H105" t="s">
        <v>659</v>
      </c>
      <c r="I105" t="s">
        <v>29</v>
      </c>
      <c r="J105" s="13" t="s">
        <v>34</v>
      </c>
      <c r="K105" s="13"/>
      <c r="L105" t="s">
        <v>660</v>
      </c>
      <c r="M105" s="52" t="s">
        <v>53</v>
      </c>
      <c r="V105" s="54">
        <v>3912</v>
      </c>
      <c r="AB105" s="81">
        <f>W105+Y105-AA105</f>
        <v>0</v>
      </c>
      <c r="AC105" s="106">
        <v>1</v>
      </c>
      <c r="AD105" t="e">
        <f ca="1">AA1-M105</f>
        <v>#VALUE!</v>
      </c>
    </row>
    <row r="106" spans="1:30" x14ac:dyDescent="0.25">
      <c r="A106" t="s">
        <v>96</v>
      </c>
      <c r="B106" s="41">
        <v>355</v>
      </c>
      <c r="C106" t="s">
        <v>661</v>
      </c>
      <c r="D106" t="s">
        <v>662</v>
      </c>
      <c r="E106" s="13" t="s">
        <v>651</v>
      </c>
      <c r="F106" s="13" t="s">
        <v>663</v>
      </c>
      <c r="G106" t="s">
        <v>664</v>
      </c>
      <c r="H106" t="s">
        <v>665</v>
      </c>
      <c r="I106" t="s">
        <v>29</v>
      </c>
      <c r="J106" s="13" t="s">
        <v>34</v>
      </c>
      <c r="K106" s="13"/>
      <c r="L106" t="s">
        <v>222</v>
      </c>
      <c r="M106" s="52" t="s">
        <v>53</v>
      </c>
      <c r="V106" s="54">
        <v>5483</v>
      </c>
      <c r="AB106" s="81">
        <f>W106+Y106-AA106</f>
        <v>0</v>
      </c>
      <c r="AC106" s="106">
        <v>1</v>
      </c>
      <c r="AD106" t="e">
        <f ca="1">AA1-M106</f>
        <v>#VALUE!</v>
      </c>
    </row>
    <row r="107" spans="1:30" x14ac:dyDescent="0.25">
      <c r="A107" t="s">
        <v>96</v>
      </c>
      <c r="B107" s="41">
        <v>356</v>
      </c>
      <c r="C107" t="s">
        <v>666</v>
      </c>
      <c r="D107" t="s">
        <v>667</v>
      </c>
      <c r="E107" s="13" t="s">
        <v>668</v>
      </c>
      <c r="F107" s="13" t="s">
        <v>669</v>
      </c>
      <c r="G107" t="s">
        <v>176</v>
      </c>
      <c r="H107" t="s">
        <v>670</v>
      </c>
      <c r="I107" t="s">
        <v>29</v>
      </c>
      <c r="J107" s="13" t="s">
        <v>30</v>
      </c>
      <c r="K107" s="13"/>
      <c r="L107" t="s">
        <v>671</v>
      </c>
      <c r="M107" s="52" t="s">
        <v>53</v>
      </c>
      <c r="V107" s="54">
        <v>2579</v>
      </c>
      <c r="AB107" s="81">
        <f>W107+Y107-AA107</f>
        <v>0</v>
      </c>
      <c r="AC107" s="106">
        <v>1</v>
      </c>
      <c r="AD107" t="e">
        <f>#REF!-M107</f>
        <v>#REF!</v>
      </c>
    </row>
    <row r="108" spans="1:30" x14ac:dyDescent="0.25">
      <c r="A108" t="s">
        <v>96</v>
      </c>
      <c r="B108" s="41">
        <v>357</v>
      </c>
      <c r="C108" t="s">
        <v>672</v>
      </c>
      <c r="D108" t="s">
        <v>673</v>
      </c>
      <c r="E108" s="13" t="s">
        <v>674</v>
      </c>
      <c r="F108" s="13" t="s">
        <v>675</v>
      </c>
      <c r="G108" t="s">
        <v>227</v>
      </c>
      <c r="H108" t="s">
        <v>676</v>
      </c>
      <c r="I108" t="s">
        <v>29</v>
      </c>
      <c r="J108" s="13" t="s">
        <v>30</v>
      </c>
      <c r="K108" s="13"/>
      <c r="L108" t="s">
        <v>229</v>
      </c>
      <c r="M108" s="52" t="s">
        <v>53</v>
      </c>
      <c r="V108" s="54">
        <v>2347</v>
      </c>
      <c r="AB108" s="81">
        <f>W108+Y108-AA108</f>
        <v>0</v>
      </c>
      <c r="AC108" s="106">
        <v>1</v>
      </c>
      <c r="AD108" t="e">
        <f>#REF!-M108</f>
        <v>#REF!</v>
      </c>
    </row>
    <row r="109" spans="1:30" x14ac:dyDescent="0.25">
      <c r="A109" t="s">
        <v>96</v>
      </c>
      <c r="B109" s="41">
        <v>358</v>
      </c>
      <c r="C109" t="s">
        <v>677</v>
      </c>
      <c r="D109" t="s">
        <v>678</v>
      </c>
      <c r="E109" s="13" t="s">
        <v>674</v>
      </c>
      <c r="F109" s="13" t="s">
        <v>679</v>
      </c>
      <c r="G109" t="s">
        <v>680</v>
      </c>
      <c r="H109" t="s">
        <v>681</v>
      </c>
      <c r="I109" t="s">
        <v>29</v>
      </c>
      <c r="J109" s="13" t="s">
        <v>30</v>
      </c>
      <c r="K109" s="13"/>
      <c r="L109" t="s">
        <v>680</v>
      </c>
      <c r="M109" s="52" t="s">
        <v>53</v>
      </c>
      <c r="V109" s="54">
        <v>7492</v>
      </c>
      <c r="AB109" s="81">
        <f>W109+Y109-AA109</f>
        <v>0</v>
      </c>
      <c r="AC109" s="106">
        <v>1</v>
      </c>
      <c r="AD109" t="e">
        <f>#REF!-M109</f>
        <v>#REF!</v>
      </c>
    </row>
    <row r="110" spans="1:30" x14ac:dyDescent="0.25">
      <c r="A110" t="s">
        <v>96</v>
      </c>
      <c r="B110" s="41">
        <v>359</v>
      </c>
      <c r="C110" t="s">
        <v>3261</v>
      </c>
      <c r="D110" t="s">
        <v>3263</v>
      </c>
      <c r="E110" s="13" t="s">
        <v>674</v>
      </c>
      <c r="F110" s="13" t="s">
        <v>3262</v>
      </c>
      <c r="G110" t="s">
        <v>860</v>
      </c>
      <c r="H110" t="s">
        <v>3264</v>
      </c>
      <c r="I110" t="s">
        <v>40</v>
      </c>
      <c r="J110" s="13" t="s">
        <v>34</v>
      </c>
      <c r="K110" s="13"/>
      <c r="L110" t="s">
        <v>60</v>
      </c>
      <c r="M110" s="52" t="s">
        <v>53</v>
      </c>
      <c r="V110" s="54">
        <v>4599</v>
      </c>
      <c r="AB110" s="81">
        <f>W110+Y110-AA110</f>
        <v>0</v>
      </c>
      <c r="AC110" s="106">
        <v>1</v>
      </c>
      <c r="AD110" t="e">
        <f>#REF!-M110</f>
        <v>#REF!</v>
      </c>
    </row>
    <row r="111" spans="1:30" x14ac:dyDescent="0.25">
      <c r="A111" t="s">
        <v>96</v>
      </c>
      <c r="B111" s="41">
        <v>360</v>
      </c>
      <c r="C111" t="s">
        <v>2693</v>
      </c>
      <c r="D111" t="s">
        <v>3267</v>
      </c>
      <c r="E111" s="13" t="s">
        <v>674</v>
      </c>
      <c r="F111" s="13" t="s">
        <v>3268</v>
      </c>
      <c r="G111" t="s">
        <v>506</v>
      </c>
      <c r="H111" t="s">
        <v>3269</v>
      </c>
      <c r="I111" t="s">
        <v>29</v>
      </c>
      <c r="J111" s="13" t="s">
        <v>34</v>
      </c>
      <c r="K111" s="13"/>
      <c r="L111" t="s">
        <v>60</v>
      </c>
      <c r="M111" s="52" t="s">
        <v>53</v>
      </c>
      <c r="V111" s="54">
        <v>4524</v>
      </c>
      <c r="AB111" s="81">
        <f>W111+Y111-AA111</f>
        <v>0</v>
      </c>
      <c r="AC111" s="106">
        <v>1</v>
      </c>
      <c r="AD111" t="e">
        <f>#REF!-M111</f>
        <v>#REF!</v>
      </c>
    </row>
    <row r="112" spans="1:30" x14ac:dyDescent="0.25">
      <c r="A112" t="s">
        <v>96</v>
      </c>
      <c r="B112" s="41">
        <v>361</v>
      </c>
      <c r="C112" t="s">
        <v>3273</v>
      </c>
      <c r="D112" t="s">
        <v>3274</v>
      </c>
      <c r="E112" s="13" t="s">
        <v>3275</v>
      </c>
      <c r="F112" s="13" t="s">
        <v>3276</v>
      </c>
      <c r="G112" t="s">
        <v>3277</v>
      </c>
      <c r="H112" t="s">
        <v>3278</v>
      </c>
      <c r="I112" t="s">
        <v>29</v>
      </c>
      <c r="J112" s="13" t="s">
        <v>30</v>
      </c>
      <c r="K112" s="13"/>
      <c r="L112" t="s">
        <v>1307</v>
      </c>
      <c r="M112" s="52" t="s">
        <v>53</v>
      </c>
      <c r="V112" s="54">
        <v>4267</v>
      </c>
      <c r="AB112" s="81">
        <f>W112+Y112-AA112</f>
        <v>0</v>
      </c>
      <c r="AC112" s="106">
        <v>1</v>
      </c>
      <c r="AD112" t="e">
        <f>#REF!-M112</f>
        <v>#REF!</v>
      </c>
    </row>
    <row r="113" spans="1:30" x14ac:dyDescent="0.25">
      <c r="A113" t="s">
        <v>96</v>
      </c>
      <c r="B113" s="41">
        <v>362</v>
      </c>
      <c r="C113" t="s">
        <v>3281</v>
      </c>
      <c r="D113" t="s">
        <v>3282</v>
      </c>
      <c r="E113" s="13" t="s">
        <v>3275</v>
      </c>
      <c r="F113" s="13" t="s">
        <v>1890</v>
      </c>
      <c r="G113" t="s">
        <v>591</v>
      </c>
      <c r="H113" t="s">
        <v>3283</v>
      </c>
      <c r="I113" t="s">
        <v>29</v>
      </c>
      <c r="J113" s="13" t="s">
        <v>34</v>
      </c>
      <c r="K113" s="13"/>
      <c r="L113" t="s">
        <v>60</v>
      </c>
      <c r="M113" s="52" t="s">
        <v>53</v>
      </c>
      <c r="V113" s="54">
        <v>3463</v>
      </c>
      <c r="AB113" s="81">
        <f>W113+Y113-AA113</f>
        <v>0</v>
      </c>
      <c r="AC113" s="106">
        <v>1</v>
      </c>
      <c r="AD113" t="e">
        <f>#REF!-M113</f>
        <v>#REF!</v>
      </c>
    </row>
    <row r="114" spans="1:30" x14ac:dyDescent="0.25">
      <c r="A114" t="s">
        <v>96</v>
      </c>
      <c r="B114" s="41">
        <v>363</v>
      </c>
      <c r="C114" t="s">
        <v>2718</v>
      </c>
      <c r="D114" t="s">
        <v>3290</v>
      </c>
      <c r="E114" s="13" t="s">
        <v>3272</v>
      </c>
      <c r="F114" s="13" t="s">
        <v>3291</v>
      </c>
      <c r="G114" t="s">
        <v>3292</v>
      </c>
      <c r="H114" t="s">
        <v>507</v>
      </c>
      <c r="I114" t="s">
        <v>40</v>
      </c>
      <c r="J114" s="13" t="s">
        <v>30</v>
      </c>
      <c r="K114" s="13"/>
      <c r="L114" t="s">
        <v>39</v>
      </c>
      <c r="M114" s="52" t="s">
        <v>53</v>
      </c>
      <c r="V114" s="54">
        <v>3044</v>
      </c>
      <c r="AB114" s="81">
        <f>W114+Y114-AA114</f>
        <v>0</v>
      </c>
      <c r="AC114" s="106">
        <v>1</v>
      </c>
      <c r="AD114" t="e">
        <f ca="1">AA1-M114</f>
        <v>#VALUE!</v>
      </c>
    </row>
    <row r="115" spans="1:30" x14ac:dyDescent="0.25">
      <c r="A115" t="s">
        <v>45</v>
      </c>
      <c r="B115" s="41">
        <v>9346</v>
      </c>
      <c r="C115" t="s">
        <v>682</v>
      </c>
      <c r="D115" t="s">
        <v>683</v>
      </c>
      <c r="E115" s="13" t="s">
        <v>684</v>
      </c>
      <c r="F115" s="13" t="s">
        <v>685</v>
      </c>
      <c r="G115" t="s">
        <v>686</v>
      </c>
      <c r="H115" t="s">
        <v>687</v>
      </c>
      <c r="I115" t="s">
        <v>29</v>
      </c>
      <c r="J115" s="13" t="s">
        <v>30</v>
      </c>
      <c r="K115" s="13"/>
      <c r="L115" t="s">
        <v>60</v>
      </c>
      <c r="M115" s="52" t="s">
        <v>53</v>
      </c>
      <c r="V115" s="54">
        <v>1905</v>
      </c>
      <c r="AB115" s="81">
        <f>W115+Y115-AA115</f>
        <v>0</v>
      </c>
      <c r="AC115" s="106">
        <v>1</v>
      </c>
      <c r="AD115" t="e">
        <f>#REF!-M115</f>
        <v>#REF!</v>
      </c>
    </row>
    <row r="116" spans="1:30" x14ac:dyDescent="0.25">
      <c r="A116" t="s">
        <v>45</v>
      </c>
      <c r="B116" s="41">
        <v>10013</v>
      </c>
      <c r="C116" t="s">
        <v>693</v>
      </c>
      <c r="D116" t="s">
        <v>694</v>
      </c>
      <c r="E116" s="13" t="s">
        <v>602</v>
      </c>
      <c r="F116" s="13" t="s">
        <v>695</v>
      </c>
      <c r="G116" t="s">
        <v>696</v>
      </c>
      <c r="H116" t="s">
        <v>697</v>
      </c>
      <c r="I116" t="s">
        <v>29</v>
      </c>
      <c r="J116" s="13" t="s">
        <v>30</v>
      </c>
      <c r="K116" s="13"/>
      <c r="L116" t="s">
        <v>60</v>
      </c>
      <c r="M116" s="52" t="s">
        <v>53</v>
      </c>
      <c r="V116" s="54">
        <v>1950</v>
      </c>
      <c r="AB116" s="81">
        <f>W116+Y116-AA116</f>
        <v>0</v>
      </c>
      <c r="AC116" s="106">
        <v>1</v>
      </c>
      <c r="AD116" t="e">
        <f>#REF!-M116</f>
        <v>#REF!</v>
      </c>
    </row>
    <row r="117" spans="1:30" x14ac:dyDescent="0.25">
      <c r="A117" t="s">
        <v>45</v>
      </c>
      <c r="B117" s="41">
        <v>10018</v>
      </c>
      <c r="C117" t="s">
        <v>698</v>
      </c>
      <c r="D117" t="s">
        <v>699</v>
      </c>
      <c r="E117" s="13" t="s">
        <v>700</v>
      </c>
      <c r="F117" s="13" t="s">
        <v>701</v>
      </c>
      <c r="G117" t="s">
        <v>702</v>
      </c>
      <c r="H117" t="s">
        <v>703</v>
      </c>
      <c r="I117" t="s">
        <v>29</v>
      </c>
      <c r="J117" s="13" t="s">
        <v>30</v>
      </c>
      <c r="K117" s="13"/>
      <c r="L117" t="s">
        <v>39</v>
      </c>
      <c r="M117" s="52" t="s">
        <v>53</v>
      </c>
      <c r="V117" s="54">
        <v>3319</v>
      </c>
      <c r="AB117" s="81">
        <f>W117+Y117-AA117</f>
        <v>0</v>
      </c>
      <c r="AC117" s="106">
        <v>1</v>
      </c>
      <c r="AD117" t="e">
        <f>#REF!-M117</f>
        <v>#REF!</v>
      </c>
    </row>
    <row r="118" spans="1:30" x14ac:dyDescent="0.25">
      <c r="A118" t="s">
        <v>45</v>
      </c>
      <c r="B118" s="41">
        <v>10020</v>
      </c>
      <c r="C118" t="s">
        <v>704</v>
      </c>
      <c r="D118" t="s">
        <v>705</v>
      </c>
      <c r="E118" s="13" t="s">
        <v>706</v>
      </c>
      <c r="F118" s="13" t="s">
        <v>707</v>
      </c>
      <c r="G118" t="s">
        <v>708</v>
      </c>
      <c r="H118" t="s">
        <v>709</v>
      </c>
      <c r="I118" t="s">
        <v>29</v>
      </c>
      <c r="J118" s="13" t="s">
        <v>30</v>
      </c>
      <c r="K118" s="13"/>
      <c r="L118" t="s">
        <v>35</v>
      </c>
      <c r="M118" s="52" t="s">
        <v>53</v>
      </c>
      <c r="V118" s="54">
        <v>2255</v>
      </c>
      <c r="AB118" s="81">
        <f>W118+Y118-AA118</f>
        <v>0</v>
      </c>
      <c r="AC118" s="106">
        <v>1</v>
      </c>
      <c r="AD118" t="e">
        <f>#REF!-M118</f>
        <v>#REF!</v>
      </c>
    </row>
    <row r="119" spans="1:30" x14ac:dyDescent="0.25">
      <c r="A119" t="s">
        <v>45</v>
      </c>
      <c r="B119" s="41">
        <v>10021</v>
      </c>
      <c r="C119" t="s">
        <v>710</v>
      </c>
      <c r="D119" t="s">
        <v>711</v>
      </c>
      <c r="E119" s="13" t="s">
        <v>712</v>
      </c>
      <c r="F119" s="13" t="s">
        <v>713</v>
      </c>
      <c r="G119" t="s">
        <v>714</v>
      </c>
      <c r="H119" t="s">
        <v>715</v>
      </c>
      <c r="I119" t="s">
        <v>29</v>
      </c>
      <c r="J119" s="13" t="s">
        <v>34</v>
      </c>
      <c r="K119" s="13"/>
      <c r="L119" t="s">
        <v>303</v>
      </c>
      <c r="M119" s="52" t="s">
        <v>53</v>
      </c>
      <c r="V119" s="54">
        <v>3784</v>
      </c>
      <c r="AB119" s="81">
        <f>W119+Y119-AA119</f>
        <v>0</v>
      </c>
      <c r="AC119" s="106">
        <v>1</v>
      </c>
      <c r="AD119" t="e">
        <f>#REF!-M119</f>
        <v>#REF!</v>
      </c>
    </row>
    <row r="122" spans="1:30" x14ac:dyDescent="0.25">
      <c r="K122" s="13"/>
      <c r="M122" s="38"/>
      <c r="N122" s="52"/>
      <c r="O122" s="52"/>
      <c r="V122" s="53"/>
      <c r="Y122" s="54"/>
      <c r="AB122" s="54"/>
      <c r="AD122" s="159">
        <f ca="1">AA1-M122</f>
        <v>45901</v>
      </c>
    </row>
    <row r="123" spans="1:30" x14ac:dyDescent="0.25">
      <c r="K123" s="13"/>
      <c r="M123" s="38"/>
      <c r="N123" s="52"/>
      <c r="O123" s="52"/>
      <c r="V123" s="53"/>
      <c r="Y123" s="54"/>
      <c r="AB123" s="54"/>
      <c r="AD123" s="159">
        <f ca="1">AA1-M123</f>
        <v>45901</v>
      </c>
    </row>
    <row r="124" spans="1:30" x14ac:dyDescent="0.25">
      <c r="K124" s="13"/>
      <c r="M124" s="38"/>
      <c r="N124" s="52"/>
      <c r="O124" s="52"/>
      <c r="V124" s="53"/>
      <c r="Y124" s="54"/>
      <c r="AB124" s="54"/>
      <c r="AD124" s="159">
        <f ca="1">AA1-M124</f>
        <v>45901</v>
      </c>
    </row>
    <row r="125" spans="1:30" x14ac:dyDescent="0.25">
      <c r="K125" s="13"/>
      <c r="M125" s="38"/>
      <c r="N125" s="52"/>
      <c r="O125" s="52"/>
      <c r="V125" s="53"/>
      <c r="Y125" s="54"/>
      <c r="AB125" s="54"/>
      <c r="AD125" s="159">
        <f ca="1">AA1-M125</f>
        <v>45901</v>
      </c>
    </row>
    <row r="126" spans="1:30" x14ac:dyDescent="0.25">
      <c r="K126" s="13"/>
      <c r="M126" s="38"/>
      <c r="N126" s="52"/>
      <c r="O126" s="52"/>
      <c r="V126" s="53"/>
      <c r="Y126" s="54"/>
      <c r="AB126" s="54"/>
      <c r="AD126" s="159">
        <f ca="1">AA1-M126</f>
        <v>45901</v>
      </c>
    </row>
    <row r="127" spans="1:30" x14ac:dyDescent="0.25">
      <c r="K127" s="13"/>
      <c r="M127" s="38"/>
      <c r="N127" s="52"/>
      <c r="O127" s="52"/>
      <c r="V127" s="53"/>
      <c r="Y127" s="54"/>
      <c r="AB127" s="54"/>
      <c r="AD127" s="159">
        <f ca="1">AA1-M127</f>
        <v>45901</v>
      </c>
    </row>
    <row r="128" spans="1:30" x14ac:dyDescent="0.25">
      <c r="K128" s="13"/>
      <c r="M128" s="38"/>
      <c r="N128" s="52"/>
      <c r="O128" s="52"/>
      <c r="V128" s="53"/>
      <c r="Y128" s="54"/>
      <c r="AB128" s="54"/>
      <c r="AD128" s="159">
        <f ca="1">AA1-M128</f>
        <v>45901</v>
      </c>
    </row>
    <row r="129" spans="11:30" x14ac:dyDescent="0.25">
      <c r="K129" s="13"/>
      <c r="M129" s="38"/>
      <c r="N129" s="52"/>
      <c r="O129" s="52"/>
      <c r="V129" s="53"/>
      <c r="Y129" s="54"/>
      <c r="AB129" s="54"/>
      <c r="AD129" s="159">
        <f ca="1">AA1-M129</f>
        <v>45901</v>
      </c>
    </row>
    <row r="130" spans="11:30" x14ac:dyDescent="0.25">
      <c r="K130" s="13"/>
      <c r="M130" s="38"/>
      <c r="N130" s="52"/>
      <c r="O130" s="52"/>
      <c r="V130" s="53"/>
      <c r="Y130" s="54"/>
      <c r="AB130" s="54"/>
      <c r="AD130" s="159">
        <f ca="1">AA1-M130</f>
        <v>45901</v>
      </c>
    </row>
    <row r="131" spans="11:30" x14ac:dyDescent="0.25">
      <c r="K131" s="13"/>
      <c r="M131" s="38"/>
      <c r="N131" s="52"/>
      <c r="O131" s="52"/>
      <c r="V131" s="53"/>
      <c r="Y131" s="54"/>
      <c r="AB131" s="54"/>
      <c r="AD131" s="159">
        <f ca="1">AA1-M131</f>
        <v>45901</v>
      </c>
    </row>
    <row r="132" spans="11:30" x14ac:dyDescent="0.25">
      <c r="K132" s="13"/>
      <c r="M132" s="38"/>
      <c r="N132" s="52"/>
      <c r="O132" s="52"/>
      <c r="V132" s="53"/>
      <c r="Y132" s="54"/>
      <c r="AB132" s="54"/>
      <c r="AD132" s="159">
        <f ca="1">AA1-M132</f>
        <v>45901</v>
      </c>
    </row>
    <row r="133" spans="11:30" x14ac:dyDescent="0.25">
      <c r="K133" s="13"/>
      <c r="M133" s="38"/>
      <c r="N133" s="52"/>
      <c r="O133" s="52"/>
      <c r="V133" s="53"/>
      <c r="Y133" s="54"/>
      <c r="AB133" s="54"/>
      <c r="AD133" s="159">
        <f ca="1">AA1-M133</f>
        <v>45901</v>
      </c>
    </row>
    <row r="134" spans="11:30" x14ac:dyDescent="0.25">
      <c r="K134" s="13"/>
      <c r="M134" s="38"/>
      <c r="N134" s="52"/>
      <c r="O134" s="52"/>
      <c r="V134" s="53"/>
      <c r="Y134" s="54"/>
      <c r="AB134" s="54"/>
      <c r="AD134" s="159">
        <f ca="1">AA1-M134</f>
        <v>45901</v>
      </c>
    </row>
    <row r="135" spans="11:30" x14ac:dyDescent="0.25">
      <c r="K135" s="13"/>
      <c r="M135" s="38"/>
      <c r="N135" s="52"/>
      <c r="O135" s="52"/>
      <c r="V135" s="53"/>
      <c r="Y135" s="54"/>
      <c r="AB135" s="54"/>
      <c r="AD135" s="159">
        <f ca="1">AA1-M135</f>
        <v>45901</v>
      </c>
    </row>
    <row r="136" spans="11:30" x14ac:dyDescent="0.25">
      <c r="K136" s="13"/>
      <c r="M136" s="38"/>
      <c r="N136" s="52"/>
      <c r="O136" s="52"/>
      <c r="V136" s="53"/>
      <c r="Y136" s="54"/>
      <c r="AB136" s="54"/>
      <c r="AD136" s="159" t="e">
        <f>#REF!-M136</f>
        <v>#REF!</v>
      </c>
    </row>
    <row r="137" spans="11:30" x14ac:dyDescent="0.25">
      <c r="K137" s="13"/>
      <c r="M137" s="38"/>
      <c r="N137" s="52"/>
      <c r="O137" s="52"/>
      <c r="V137" s="53"/>
      <c r="Y137" s="54"/>
      <c r="AB137" s="54"/>
      <c r="AD137" s="159">
        <f>Completed!Z41-M137</f>
        <v>1412.1200000000001</v>
      </c>
    </row>
    <row r="138" spans="11:30" x14ac:dyDescent="0.25">
      <c r="K138" s="13"/>
      <c r="M138" s="38"/>
      <c r="N138" s="52"/>
      <c r="O138" s="52"/>
      <c r="V138" s="53"/>
      <c r="Y138" s="54"/>
      <c r="AB138" s="54"/>
      <c r="AD138" s="159">
        <f>Completed!Z280-M138</f>
        <v>1672.77</v>
      </c>
    </row>
    <row r="139" spans="11:30" x14ac:dyDescent="0.25">
      <c r="K139" s="13"/>
      <c r="M139" s="38"/>
      <c r="N139" s="52"/>
      <c r="O139" s="52"/>
      <c r="V139" s="53"/>
      <c r="Y139" s="54"/>
      <c r="AB139" s="54"/>
      <c r="AD139" s="159">
        <f>Completed!Z52-M139</f>
        <v>3242.99</v>
      </c>
    </row>
    <row r="140" spans="11:30" x14ac:dyDescent="0.25">
      <c r="K140" s="13"/>
      <c r="M140" s="38"/>
      <c r="N140" s="52"/>
      <c r="O140" s="52"/>
      <c r="V140" s="53"/>
      <c r="Y140" s="54"/>
      <c r="AB140" s="54"/>
      <c r="AD140" s="159">
        <f>Completed!Z35-M140</f>
        <v>1852.8600000000001</v>
      </c>
    </row>
    <row r="141" spans="11:30" x14ac:dyDescent="0.25">
      <c r="K141" s="13"/>
      <c r="M141" s="38"/>
      <c r="N141" s="52"/>
      <c r="O141" s="52"/>
      <c r="V141" s="53"/>
      <c r="Y141" s="54"/>
      <c r="AB141" s="54"/>
      <c r="AD141" s="159">
        <f>Completed!Z251-M141</f>
        <v>2019.37</v>
      </c>
    </row>
    <row r="142" spans="11:30" x14ac:dyDescent="0.25">
      <c r="K142" s="13"/>
      <c r="M142" s="38"/>
      <c r="N142" s="52"/>
      <c r="O142" s="52"/>
      <c r="V142" s="53"/>
      <c r="Y142" s="54"/>
      <c r="AB142" s="54"/>
      <c r="AD142" s="159" t="e">
        <f>#REF!-M142</f>
        <v>#REF!</v>
      </c>
    </row>
    <row r="143" spans="11:30" x14ac:dyDescent="0.25">
      <c r="K143" s="13"/>
      <c r="M143" s="38"/>
      <c r="N143" s="52"/>
      <c r="O143" s="52"/>
      <c r="V143" s="53"/>
      <c r="Y143" s="54"/>
      <c r="AB143" s="54"/>
      <c r="AD143" s="159">
        <f>Completed!Z128-M143</f>
        <v>1380.03</v>
      </c>
    </row>
    <row r="144" spans="11:30" x14ac:dyDescent="0.25">
      <c r="K144" s="13"/>
      <c r="M144" s="38"/>
      <c r="N144" s="52"/>
      <c r="O144" s="52"/>
      <c r="V144" s="53"/>
      <c r="Y144" s="54"/>
      <c r="AB144" s="54"/>
      <c r="AD144" s="159">
        <f>Completed!Z259-M144</f>
        <v>1478.6499999999999</v>
      </c>
    </row>
    <row r="145" spans="11:30" x14ac:dyDescent="0.25">
      <c r="K145" s="13"/>
      <c r="M145" s="38"/>
      <c r="N145" s="52"/>
      <c r="O145" s="52"/>
      <c r="V145" s="53"/>
      <c r="Y145" s="54"/>
      <c r="AB145" s="54"/>
      <c r="AD145" s="159">
        <f>Completed!Z287-M145</f>
        <v>1287.3899999999999</v>
      </c>
    </row>
    <row r="146" spans="11:30" x14ac:dyDescent="0.25">
      <c r="K146" s="13"/>
      <c r="M146" s="38"/>
      <c r="N146" s="52"/>
      <c r="O146" s="52"/>
      <c r="V146" s="53"/>
      <c r="Y146" s="54"/>
      <c r="AB146" s="54"/>
      <c r="AD146" s="159">
        <f>Completed!Z122-M146</f>
        <v>1069.02</v>
      </c>
    </row>
    <row r="147" spans="11:30" x14ac:dyDescent="0.25">
      <c r="K147" s="13"/>
      <c r="M147" s="38"/>
      <c r="N147" s="52"/>
      <c r="O147" s="52"/>
      <c r="V147" s="53"/>
      <c r="Y147" s="54"/>
      <c r="AB147" s="54"/>
      <c r="AD147" s="159">
        <f>Completed!Z203-M147</f>
        <v>2041.25</v>
      </c>
    </row>
    <row r="148" spans="11:30" x14ac:dyDescent="0.25">
      <c r="K148" s="13"/>
      <c r="M148" s="38"/>
      <c r="N148" s="52"/>
      <c r="O148" s="52"/>
      <c r="V148" s="53"/>
      <c r="Y148" s="54"/>
      <c r="AB148" s="54"/>
      <c r="AD148" s="159">
        <f>Completed!Z105-M148</f>
        <v>1521.8700000000001</v>
      </c>
    </row>
    <row r="149" spans="11:30" x14ac:dyDescent="0.25">
      <c r="K149" s="13"/>
      <c r="M149" s="38"/>
      <c r="N149" s="52"/>
      <c r="O149" s="52"/>
      <c r="V149" s="53"/>
      <c r="Y149" s="54"/>
      <c r="AB149" s="54"/>
      <c r="AD149" s="159">
        <f>Completed!Z202-M149</f>
        <v>2032.4599999999998</v>
      </c>
    </row>
    <row r="150" spans="11:30" x14ac:dyDescent="0.25">
      <c r="K150" s="13"/>
      <c r="M150" s="38"/>
      <c r="N150" s="52"/>
      <c r="O150" s="52"/>
      <c r="V150" s="53"/>
      <c r="Y150" s="54"/>
      <c r="AB150" s="54"/>
      <c r="AD150" s="159">
        <f>Completed!Z89-M150</f>
        <v>1136.98</v>
      </c>
    </row>
    <row r="151" spans="11:30" x14ac:dyDescent="0.25">
      <c r="K151" s="13"/>
      <c r="M151" s="38"/>
      <c r="N151" s="52"/>
      <c r="O151" s="52"/>
      <c r="V151" s="53"/>
      <c r="Y151" s="54"/>
      <c r="AB151" s="54"/>
      <c r="AD151" s="159">
        <f>Completed!Z42-M151</f>
        <v>1126.1400000000001</v>
      </c>
    </row>
    <row r="152" spans="11:30" x14ac:dyDescent="0.25">
      <c r="K152" s="13"/>
      <c r="M152" s="38"/>
      <c r="N152" s="52"/>
      <c r="O152" s="52"/>
      <c r="V152" s="53"/>
      <c r="Y152" s="54"/>
      <c r="AB152" s="54"/>
      <c r="AD152" s="159">
        <f>Completed!Z98-M152</f>
        <v>1137.1799999999998</v>
      </c>
    </row>
    <row r="153" spans="11:30" x14ac:dyDescent="0.25">
      <c r="K153" s="13"/>
      <c r="M153" s="38"/>
      <c r="N153" s="52"/>
      <c r="O153" s="52"/>
      <c r="V153" s="53"/>
      <c r="Y153" s="54"/>
      <c r="AB153" s="54"/>
      <c r="AD153" s="159">
        <f>Completed!Z222-M153</f>
        <v>1710.86</v>
      </c>
    </row>
    <row r="154" spans="11:30" x14ac:dyDescent="0.25">
      <c r="K154" s="13"/>
      <c r="M154" s="38"/>
      <c r="N154" s="52"/>
      <c r="O154" s="52"/>
      <c r="V154" s="53"/>
      <c r="Y154" s="54"/>
      <c r="AB154" s="54"/>
      <c r="AD154" s="159">
        <f>Completed!Z159-M154</f>
        <v>1227.6500000000001</v>
      </c>
    </row>
    <row r="155" spans="11:30" x14ac:dyDescent="0.25">
      <c r="K155" s="13"/>
      <c r="M155" s="38"/>
      <c r="N155" s="52"/>
      <c r="O155" s="52"/>
      <c r="V155" s="53"/>
      <c r="Y155" s="54"/>
      <c r="AB155" s="54"/>
      <c r="AD155" s="159" t="e">
        <f>#REF!-M155</f>
        <v>#REF!</v>
      </c>
    </row>
    <row r="156" spans="11:30" x14ac:dyDescent="0.25">
      <c r="K156" s="13"/>
      <c r="M156" s="38"/>
      <c r="N156" s="52"/>
      <c r="O156" s="52"/>
      <c r="V156" s="53"/>
      <c r="Y156" s="54"/>
      <c r="AB156" s="54"/>
      <c r="AD156" s="159">
        <f>Completed!Z250-M156</f>
        <v>0</v>
      </c>
    </row>
    <row r="157" spans="11:30" x14ac:dyDescent="0.25">
      <c r="K157" s="13"/>
      <c r="M157" s="38"/>
      <c r="N157" s="52"/>
      <c r="O157" s="52"/>
      <c r="V157" s="53"/>
      <c r="Y157" s="54"/>
      <c r="AB157" s="54"/>
      <c r="AD157" s="159">
        <f>Completed!Z24-M157</f>
        <v>1101.58</v>
      </c>
    </row>
    <row r="158" spans="11:30" x14ac:dyDescent="0.25">
      <c r="K158" s="13"/>
      <c r="M158" s="38"/>
      <c r="N158" s="52"/>
      <c r="O158" s="52"/>
      <c r="V158" s="53"/>
      <c r="Y158" s="54"/>
      <c r="AB158" s="54"/>
    </row>
    <row r="159" spans="11:30" x14ac:dyDescent="0.25">
      <c r="K159" s="13"/>
      <c r="M159" s="38"/>
      <c r="N159" s="52"/>
      <c r="O159" s="52"/>
      <c r="V159" s="53"/>
      <c r="Y159" s="54"/>
      <c r="AB159" s="54"/>
    </row>
    <row r="160" spans="11:30" x14ac:dyDescent="0.25">
      <c r="K160" s="13"/>
      <c r="M160" s="38"/>
      <c r="N160" s="52"/>
      <c r="O160" s="52"/>
      <c r="V160" s="53"/>
      <c r="Y160" s="54"/>
      <c r="AB160" s="54"/>
    </row>
    <row r="161" spans="11:28" x14ac:dyDescent="0.25">
      <c r="K161" s="13"/>
      <c r="M161" s="38"/>
      <c r="N161" s="52"/>
      <c r="O161" s="52"/>
      <c r="V161" s="53"/>
      <c r="Y161" s="54"/>
      <c r="AB161" s="54"/>
    </row>
    <row r="162" spans="11:28" x14ac:dyDescent="0.25">
      <c r="K162" s="13"/>
      <c r="M162" s="38"/>
      <c r="N162" s="52"/>
      <c r="O162" s="52"/>
      <c r="V162" s="53"/>
      <c r="Y162" s="54"/>
      <c r="AB162" s="54"/>
    </row>
    <row r="163" spans="11:28" x14ac:dyDescent="0.25">
      <c r="K163" s="13"/>
      <c r="M163" s="38"/>
      <c r="N163" s="52"/>
      <c r="O163" s="52"/>
      <c r="V163" s="53"/>
      <c r="Y163" s="54"/>
      <c r="AB163" s="54"/>
    </row>
    <row r="164" spans="11:28" x14ac:dyDescent="0.25">
      <c r="K164" s="13"/>
      <c r="M164" s="38"/>
      <c r="N164" s="52"/>
      <c r="O164" s="52"/>
      <c r="V164" s="53"/>
      <c r="Y164" s="54"/>
      <c r="AB164" s="54"/>
    </row>
    <row r="165" spans="11:28" x14ac:dyDescent="0.25">
      <c r="K165" s="13"/>
      <c r="M165" s="38"/>
      <c r="N165" s="52"/>
      <c r="O165" s="52"/>
      <c r="V165" s="53"/>
      <c r="Y165" s="54"/>
      <c r="AB165" s="54"/>
    </row>
    <row r="166" spans="11:28" x14ac:dyDescent="0.25">
      <c r="K166" s="13"/>
      <c r="M166" s="38"/>
      <c r="N166" s="52"/>
      <c r="O166" s="52"/>
      <c r="V166" s="53"/>
      <c r="Y166" s="54"/>
      <c r="AB166" s="54"/>
    </row>
    <row r="167" spans="11:28" x14ac:dyDescent="0.25">
      <c r="K167" s="13"/>
      <c r="M167" s="38"/>
      <c r="N167" s="52"/>
      <c r="O167" s="52"/>
      <c r="V167" s="53"/>
      <c r="Y167" s="54"/>
      <c r="AB167" s="54"/>
    </row>
    <row r="168" spans="11:28" x14ac:dyDescent="0.25">
      <c r="K168" s="13"/>
      <c r="M168" s="38"/>
      <c r="N168" s="52"/>
      <c r="O168" s="52"/>
      <c r="V168" s="53"/>
      <c r="Y168" s="54"/>
      <c r="AB168" s="54"/>
    </row>
    <row r="169" spans="11:28" x14ac:dyDescent="0.25">
      <c r="K169" s="13"/>
      <c r="M169" s="38"/>
      <c r="N169" s="52"/>
      <c r="O169" s="52"/>
      <c r="V169" s="53"/>
      <c r="Y169" s="54"/>
      <c r="AB169" s="54"/>
    </row>
    <row r="170" spans="11:28" x14ac:dyDescent="0.25">
      <c r="K170" s="13"/>
      <c r="M170" s="38"/>
      <c r="N170" s="52"/>
      <c r="O170" s="52"/>
      <c r="V170" s="53"/>
      <c r="Y170" s="54"/>
      <c r="AB170" s="54"/>
    </row>
    <row r="171" spans="11:28" x14ac:dyDescent="0.25">
      <c r="K171" s="13"/>
      <c r="M171" s="38"/>
      <c r="N171" s="52"/>
      <c r="O171" s="52"/>
      <c r="V171" s="53"/>
      <c r="Y171" s="54"/>
      <c r="AB171" s="54"/>
    </row>
    <row r="172" spans="11:28" x14ac:dyDescent="0.25">
      <c r="K172" s="13"/>
      <c r="M172" s="38"/>
      <c r="N172" s="52"/>
      <c r="O172" s="52"/>
      <c r="V172" s="53"/>
      <c r="Y172" s="54"/>
      <c r="AB172" s="54"/>
    </row>
    <row r="173" spans="11:28" x14ac:dyDescent="0.25">
      <c r="K173" s="13"/>
      <c r="M173" s="38"/>
      <c r="N173" s="52"/>
      <c r="O173" s="52"/>
      <c r="V173" s="53"/>
      <c r="Y173" s="54"/>
      <c r="AB173" s="54"/>
    </row>
    <row r="174" spans="11:28" x14ac:dyDescent="0.25">
      <c r="K174" s="13"/>
      <c r="M174" s="38"/>
      <c r="N174" s="52"/>
      <c r="O174" s="52"/>
      <c r="V174" s="53"/>
      <c r="Y174" s="54"/>
      <c r="AB174" s="54"/>
    </row>
    <row r="175" spans="11:28" x14ac:dyDescent="0.25">
      <c r="K175" s="13"/>
      <c r="M175" s="38"/>
      <c r="N175" s="52"/>
      <c r="O175" s="52"/>
      <c r="V175" s="53"/>
      <c r="Y175" s="54"/>
      <c r="AB175" s="54"/>
    </row>
    <row r="176" spans="11:28" x14ac:dyDescent="0.25">
      <c r="K176" s="13"/>
      <c r="M176" s="38"/>
      <c r="N176" s="52"/>
      <c r="O176" s="52"/>
      <c r="V176" s="53"/>
      <c r="Y176" s="54"/>
      <c r="AB176" s="54"/>
    </row>
    <row r="177" spans="11:28" x14ac:dyDescent="0.25">
      <c r="K177" s="13"/>
      <c r="M177" s="38"/>
      <c r="N177" s="52"/>
      <c r="O177" s="52"/>
      <c r="V177" s="53"/>
      <c r="Y177" s="54"/>
      <c r="AB177" s="54"/>
    </row>
    <row r="178" spans="11:28" x14ac:dyDescent="0.25">
      <c r="M178" s="38"/>
      <c r="N178" s="52"/>
      <c r="O178" s="52"/>
      <c r="V178" s="53"/>
      <c r="Y178" s="54"/>
      <c r="AB178" s="54"/>
    </row>
    <row r="179" spans="11:28" x14ac:dyDescent="0.25">
      <c r="M179" s="38"/>
      <c r="N179" s="52"/>
      <c r="O179" s="52"/>
      <c r="V179" s="53"/>
      <c r="Y179" s="54"/>
      <c r="AB179" s="54"/>
    </row>
    <row r="180" spans="11:28" x14ac:dyDescent="0.25">
      <c r="M180" s="38"/>
      <c r="N180" s="52"/>
      <c r="O180" s="52"/>
      <c r="V180" s="53"/>
      <c r="Y180" s="54"/>
      <c r="AB180" s="54"/>
    </row>
    <row r="181" spans="11:28" x14ac:dyDescent="0.25">
      <c r="M181" s="38"/>
      <c r="N181" s="52"/>
      <c r="O181" s="52"/>
      <c r="V181" s="53"/>
      <c r="Y181" s="54"/>
      <c r="AB181" s="54"/>
    </row>
    <row r="182" spans="11:28" x14ac:dyDescent="0.25">
      <c r="M182" s="38"/>
      <c r="N182" s="52"/>
      <c r="O182" s="52"/>
      <c r="V182" s="53"/>
      <c r="Y182" s="54"/>
      <c r="AB182" s="54"/>
    </row>
    <row r="183" spans="11:28" x14ac:dyDescent="0.25">
      <c r="M183" s="38"/>
      <c r="N183" s="52"/>
      <c r="O183" s="52"/>
      <c r="V183" s="53"/>
      <c r="Y183" s="54"/>
      <c r="AB183" s="54"/>
    </row>
    <row r="184" spans="11:28" x14ac:dyDescent="0.25">
      <c r="M184" s="38"/>
      <c r="N184" s="52"/>
      <c r="O184" s="52"/>
      <c r="V184" s="53"/>
      <c r="Y184" s="54"/>
      <c r="AB184" s="54"/>
    </row>
    <row r="185" spans="11:28" x14ac:dyDescent="0.25">
      <c r="M185" s="38"/>
      <c r="N185" s="52"/>
      <c r="O185" s="52"/>
      <c r="V185" s="53"/>
      <c r="Y185" s="54"/>
      <c r="AB185" s="54"/>
    </row>
    <row r="186" spans="11:28" x14ac:dyDescent="0.25">
      <c r="M186" s="38"/>
      <c r="N186" s="52"/>
      <c r="O186" s="52"/>
      <c r="V186" s="53"/>
      <c r="Y186" s="54"/>
      <c r="AB186" s="54"/>
    </row>
    <row r="187" spans="11:28" x14ac:dyDescent="0.25">
      <c r="M187" s="38"/>
      <c r="N187" s="52"/>
      <c r="O187" s="52"/>
      <c r="V187" s="53"/>
      <c r="Y187" s="54"/>
      <c r="AB187" s="54"/>
    </row>
    <row r="188" spans="11:28" x14ac:dyDescent="0.25">
      <c r="M188" s="38"/>
      <c r="N188" s="52"/>
      <c r="O188" s="52"/>
      <c r="V188" s="53"/>
      <c r="Y188" s="54"/>
      <c r="AB188" s="54"/>
    </row>
    <row r="189" spans="11:28" x14ac:dyDescent="0.25">
      <c r="M189" s="38"/>
      <c r="N189" s="52"/>
      <c r="O189" s="52"/>
      <c r="V189" s="53"/>
      <c r="Y189" s="54"/>
      <c r="AB189" s="54"/>
    </row>
    <row r="190" spans="11:28" x14ac:dyDescent="0.25">
      <c r="M190" s="38"/>
      <c r="N190" s="52"/>
      <c r="O190" s="52"/>
      <c r="V190" s="53"/>
      <c r="Y190" s="54"/>
      <c r="AB190" s="54"/>
    </row>
    <row r="191" spans="11:28" x14ac:dyDescent="0.25">
      <c r="M191" s="38"/>
      <c r="N191" s="52"/>
      <c r="O191" s="52"/>
      <c r="V191" s="53"/>
      <c r="Y191" s="54"/>
      <c r="AB191" s="54"/>
    </row>
    <row r="192" spans="11:28" x14ac:dyDescent="0.25">
      <c r="M192" s="38"/>
      <c r="N192" s="52"/>
      <c r="O192" s="52"/>
      <c r="V192" s="53"/>
      <c r="Y192" s="54"/>
      <c r="AB192" s="54"/>
    </row>
    <row r="193" spans="13:28" x14ac:dyDescent="0.25">
      <c r="M193" s="38"/>
      <c r="N193" s="52"/>
      <c r="O193" s="52"/>
      <c r="V193" s="53"/>
      <c r="Y193" s="54"/>
      <c r="AB193" s="54"/>
    </row>
    <row r="194" spans="13:28" x14ac:dyDescent="0.25">
      <c r="M194" s="38"/>
      <c r="N194" s="52"/>
      <c r="O194" s="52"/>
      <c r="V194" s="53"/>
      <c r="Y194" s="54"/>
      <c r="AB194" s="54"/>
    </row>
    <row r="195" spans="13:28" x14ac:dyDescent="0.25">
      <c r="M195" s="38"/>
      <c r="N195" s="52"/>
      <c r="O195" s="52"/>
      <c r="V195" s="53"/>
      <c r="Y195" s="54"/>
      <c r="AB195" s="54"/>
    </row>
    <row r="196" spans="13:28" x14ac:dyDescent="0.25">
      <c r="M196" s="38"/>
      <c r="N196" s="52"/>
      <c r="O196" s="52"/>
      <c r="V196" s="53"/>
      <c r="Y196" s="54"/>
      <c r="AB196" s="54"/>
    </row>
    <row r="197" spans="13:28" x14ac:dyDescent="0.25">
      <c r="M197" s="38"/>
      <c r="N197" s="52"/>
      <c r="O197" s="52"/>
      <c r="V197" s="53"/>
      <c r="Y197" s="54"/>
      <c r="AB197" s="54"/>
    </row>
    <row r="198" spans="13:28" x14ac:dyDescent="0.25">
      <c r="M198" s="38"/>
      <c r="N198" s="52"/>
      <c r="O198" s="52"/>
      <c r="V198" s="53"/>
      <c r="Y198" s="54"/>
      <c r="AB198" s="54"/>
    </row>
    <row r="199" spans="13:28" x14ac:dyDescent="0.25">
      <c r="M199" s="38"/>
      <c r="N199" s="52"/>
      <c r="O199" s="52"/>
      <c r="V199" s="53"/>
      <c r="Y199" s="54"/>
      <c r="AB199" s="54"/>
    </row>
    <row r="200" spans="13:28" x14ac:dyDescent="0.25">
      <c r="M200" s="38"/>
      <c r="N200" s="52"/>
      <c r="O200" s="52"/>
      <c r="V200" s="53"/>
      <c r="Y200" s="54"/>
      <c r="AB200" s="54"/>
    </row>
    <row r="201" spans="13:28" x14ac:dyDescent="0.25">
      <c r="M201" s="38"/>
      <c r="N201" s="52"/>
      <c r="O201" s="52"/>
      <c r="V201" s="53"/>
      <c r="Y201" s="54"/>
      <c r="AB201" s="54"/>
    </row>
    <row r="202" spans="13:28" x14ac:dyDescent="0.25">
      <c r="M202" s="38"/>
      <c r="N202" s="52"/>
      <c r="O202" s="52"/>
      <c r="V202" s="53"/>
      <c r="Y202" s="54"/>
      <c r="AB202" s="54"/>
    </row>
    <row r="203" spans="13:28" x14ac:dyDescent="0.25">
      <c r="M203" s="38"/>
      <c r="N203" s="52"/>
      <c r="O203" s="52"/>
      <c r="V203" s="53"/>
      <c r="Y203" s="54"/>
      <c r="AB203" s="54"/>
    </row>
    <row r="204" spans="13:28" x14ac:dyDescent="0.25">
      <c r="M204" s="38"/>
      <c r="N204" s="52"/>
      <c r="O204" s="52"/>
      <c r="V204" s="53"/>
      <c r="Y204" s="54"/>
      <c r="AB204" s="54"/>
    </row>
    <row r="205" spans="13:28" x14ac:dyDescent="0.25">
      <c r="M205" s="38"/>
      <c r="N205" s="52"/>
      <c r="O205" s="52"/>
      <c r="V205" s="53"/>
      <c r="Y205" s="54"/>
      <c r="AB205" s="54"/>
    </row>
    <row r="206" spans="13:28" x14ac:dyDescent="0.25">
      <c r="M206" s="38"/>
      <c r="N206" s="52"/>
      <c r="O206" s="52"/>
      <c r="V206" s="53"/>
      <c r="Y206" s="54"/>
      <c r="AB206" s="54"/>
    </row>
    <row r="207" spans="13:28" x14ac:dyDescent="0.25">
      <c r="M207" s="38"/>
      <c r="N207" s="52"/>
      <c r="O207" s="52"/>
      <c r="V207" s="53"/>
      <c r="Y207" s="54"/>
      <c r="AB207" s="54"/>
    </row>
    <row r="208" spans="13:28" x14ac:dyDescent="0.25">
      <c r="M208" s="38"/>
      <c r="N208" s="52"/>
      <c r="O208" s="52"/>
      <c r="V208" s="53"/>
      <c r="Y208" s="54"/>
      <c r="AB208" s="54"/>
    </row>
    <row r="209" spans="13:28" x14ac:dyDescent="0.25">
      <c r="M209" s="38"/>
      <c r="N209" s="52"/>
      <c r="O209" s="52"/>
      <c r="V209" s="53"/>
      <c r="Y209" s="54"/>
      <c r="AB209" s="54"/>
    </row>
    <row r="210" spans="13:28" x14ac:dyDescent="0.25">
      <c r="M210" s="38"/>
      <c r="N210" s="52"/>
      <c r="O210" s="52"/>
      <c r="V210" s="53"/>
      <c r="Y210" s="54"/>
      <c r="AB210" s="54"/>
    </row>
    <row r="211" spans="13:28" x14ac:dyDescent="0.25">
      <c r="M211" s="38"/>
      <c r="N211" s="52"/>
      <c r="O211" s="52"/>
      <c r="V211" s="53"/>
      <c r="Y211" s="54"/>
      <c r="AB211" s="54"/>
    </row>
    <row r="212" spans="13:28" x14ac:dyDescent="0.25">
      <c r="M212" s="38"/>
      <c r="N212" s="52"/>
      <c r="O212" s="52"/>
      <c r="V212" s="53"/>
      <c r="Y212" s="54"/>
      <c r="AB212" s="54"/>
    </row>
    <row r="213" spans="13:28" x14ac:dyDescent="0.25">
      <c r="M213" s="38"/>
      <c r="N213" s="52"/>
      <c r="O213" s="52"/>
      <c r="V213" s="53"/>
      <c r="Y213" s="54"/>
      <c r="AB213" s="54"/>
    </row>
    <row r="214" spans="13:28" x14ac:dyDescent="0.25">
      <c r="M214" s="38"/>
      <c r="N214" s="52"/>
      <c r="O214" s="52"/>
      <c r="V214" s="53"/>
      <c r="Y214" s="54"/>
      <c r="AB214" s="54"/>
    </row>
    <row r="215" spans="13:28" x14ac:dyDescent="0.25">
      <c r="M215" s="38"/>
      <c r="N215" s="52"/>
      <c r="O215" s="52"/>
      <c r="V215" s="53"/>
      <c r="Y215" s="54"/>
      <c r="AB215" s="54"/>
    </row>
    <row r="216" spans="13:28" x14ac:dyDescent="0.25">
      <c r="M216" s="38"/>
      <c r="N216" s="52"/>
      <c r="O216" s="52"/>
      <c r="V216" s="53"/>
      <c r="Y216" s="54"/>
      <c r="AB216" s="54"/>
    </row>
    <row r="217" spans="13:28" x14ac:dyDescent="0.25">
      <c r="M217" s="38"/>
      <c r="N217" s="52"/>
      <c r="O217" s="52"/>
      <c r="V217" s="53"/>
      <c r="Y217" s="54"/>
      <c r="AB217" s="54"/>
    </row>
    <row r="218" spans="13:28" x14ac:dyDescent="0.25">
      <c r="M218" s="38"/>
      <c r="N218" s="52"/>
      <c r="O218" s="52"/>
      <c r="V218" s="53"/>
      <c r="Y218" s="54"/>
      <c r="AB218" s="54"/>
    </row>
    <row r="219" spans="13:28" x14ac:dyDescent="0.25">
      <c r="M219" s="38"/>
      <c r="N219" s="52"/>
      <c r="O219" s="52"/>
      <c r="V219" s="53"/>
      <c r="Y219" s="54"/>
      <c r="AB219" s="54"/>
    </row>
    <row r="220" spans="13:28" x14ac:dyDescent="0.25">
      <c r="M220" s="38"/>
      <c r="N220" s="52"/>
      <c r="O220" s="52"/>
      <c r="V220" s="53"/>
      <c r="Y220" s="54"/>
      <c r="AB220" s="54"/>
    </row>
    <row r="221" spans="13:28" x14ac:dyDescent="0.25">
      <c r="M221" s="38"/>
      <c r="N221" s="52"/>
      <c r="O221" s="52"/>
      <c r="V221" s="53"/>
      <c r="Y221" s="54"/>
      <c r="AB221" s="54"/>
    </row>
    <row r="222" spans="13:28" x14ac:dyDescent="0.25">
      <c r="M222" s="38"/>
      <c r="N222" s="52"/>
      <c r="O222" s="52"/>
      <c r="V222" s="53"/>
      <c r="Y222" s="54"/>
      <c r="AB222" s="54"/>
    </row>
    <row r="223" spans="13:28" x14ac:dyDescent="0.25">
      <c r="M223" s="38"/>
      <c r="N223" s="52"/>
      <c r="O223" s="52"/>
      <c r="V223" s="53"/>
      <c r="Y223" s="54"/>
      <c r="AB223" s="54"/>
    </row>
    <row r="224" spans="13:28" x14ac:dyDescent="0.25">
      <c r="M224" s="38"/>
      <c r="N224" s="52"/>
      <c r="O224" s="52"/>
      <c r="V224" s="53"/>
      <c r="Y224" s="54"/>
      <c r="AB224" s="54"/>
    </row>
    <row r="225" spans="13:28" x14ac:dyDescent="0.25">
      <c r="M225" s="38"/>
      <c r="N225" s="52"/>
      <c r="O225" s="52"/>
      <c r="V225" s="53"/>
      <c r="Y225" s="54"/>
      <c r="AB225" s="54"/>
    </row>
    <row r="226" spans="13:28" x14ac:dyDescent="0.25">
      <c r="M226" s="38"/>
      <c r="N226" s="52"/>
      <c r="O226" s="52"/>
      <c r="V226" s="53"/>
      <c r="Y226" s="54"/>
      <c r="AB226" s="54"/>
    </row>
    <row r="227" spans="13:28" x14ac:dyDescent="0.25">
      <c r="M227" s="38"/>
      <c r="N227" s="52"/>
      <c r="O227" s="52"/>
      <c r="V227" s="53"/>
      <c r="Y227" s="54"/>
      <c r="AB227" s="54"/>
    </row>
    <row r="228" spans="13:28" x14ac:dyDescent="0.25">
      <c r="M228" s="38"/>
      <c r="N228" s="52"/>
      <c r="O228" s="52"/>
      <c r="V228" s="53"/>
      <c r="Y228" s="54"/>
      <c r="AB228" s="54"/>
    </row>
    <row r="229" spans="13:28" x14ac:dyDescent="0.25">
      <c r="M229" s="38"/>
      <c r="N229" s="52"/>
      <c r="O229" s="52"/>
      <c r="V229" s="53"/>
      <c r="Y229" s="54"/>
      <c r="AB229" s="54"/>
    </row>
    <row r="230" spans="13:28" x14ac:dyDescent="0.25">
      <c r="M230" s="38"/>
      <c r="N230" s="52"/>
      <c r="O230" s="52"/>
      <c r="V230" s="53"/>
      <c r="Y230" s="54"/>
      <c r="AB230" s="54"/>
    </row>
    <row r="231" spans="13:28" x14ac:dyDescent="0.25">
      <c r="M231" s="38"/>
      <c r="N231" s="52"/>
      <c r="O231" s="52"/>
      <c r="V231" s="53"/>
      <c r="Y231" s="54"/>
      <c r="AB231" s="54"/>
    </row>
    <row r="232" spans="13:28" x14ac:dyDescent="0.25">
      <c r="M232" s="38"/>
      <c r="N232" s="52"/>
      <c r="O232" s="52"/>
      <c r="V232" s="53"/>
      <c r="Y232" s="54"/>
      <c r="AB232" s="54"/>
    </row>
    <row r="233" spans="13:28" x14ac:dyDescent="0.25">
      <c r="M233" s="38"/>
      <c r="N233" s="52"/>
      <c r="O233" s="52"/>
      <c r="V233" s="53"/>
      <c r="Y233" s="54"/>
      <c r="AB233" s="54"/>
    </row>
    <row r="234" spans="13:28" x14ac:dyDescent="0.25">
      <c r="M234" s="38"/>
      <c r="N234" s="52"/>
      <c r="O234" s="52"/>
      <c r="V234" s="53"/>
      <c r="Y234" s="54"/>
      <c r="AB234" s="54"/>
    </row>
    <row r="235" spans="13:28" x14ac:dyDescent="0.25">
      <c r="M235" s="38"/>
      <c r="N235" s="52"/>
      <c r="O235" s="52"/>
      <c r="V235" s="53"/>
      <c r="Y235" s="54"/>
      <c r="AB235" s="54"/>
    </row>
    <row r="236" spans="13:28" x14ac:dyDescent="0.25">
      <c r="M236" s="38"/>
      <c r="N236" s="52"/>
      <c r="O236" s="52"/>
      <c r="V236" s="53"/>
      <c r="Y236" s="54"/>
      <c r="AB236" s="54"/>
    </row>
    <row r="237" spans="13:28" x14ac:dyDescent="0.25">
      <c r="M237" s="38"/>
      <c r="N237" s="52"/>
      <c r="O237" s="52"/>
      <c r="V237" s="53"/>
      <c r="Y237" s="54"/>
      <c r="AB237" s="54"/>
    </row>
    <row r="238" spans="13:28" x14ac:dyDescent="0.25">
      <c r="M238" s="38"/>
      <c r="N238" s="52"/>
      <c r="O238" s="52"/>
      <c r="V238" s="53"/>
      <c r="Y238" s="54"/>
      <c r="AB238" s="54"/>
    </row>
    <row r="239" spans="13:28" x14ac:dyDescent="0.25">
      <c r="M239" s="38"/>
      <c r="N239" s="52"/>
      <c r="O239" s="52"/>
      <c r="V239" s="53"/>
      <c r="Y239" s="54"/>
      <c r="AB239" s="54"/>
    </row>
    <row r="240" spans="13:28" x14ac:dyDescent="0.25">
      <c r="M240" s="38"/>
      <c r="N240" s="52"/>
      <c r="O240" s="52"/>
      <c r="V240" s="53"/>
      <c r="Y240" s="54"/>
      <c r="AB240" s="54"/>
    </row>
    <row r="241" spans="13:28" x14ac:dyDescent="0.25">
      <c r="M241" s="38"/>
      <c r="N241" s="52"/>
      <c r="O241" s="52"/>
      <c r="V241" s="53"/>
      <c r="Y241" s="54"/>
      <c r="AB241" s="54"/>
    </row>
    <row r="242" spans="13:28" x14ac:dyDescent="0.25">
      <c r="M242" s="38"/>
      <c r="N242" s="52"/>
      <c r="O242" s="52"/>
      <c r="V242" s="53"/>
      <c r="Y242" s="54"/>
      <c r="AB242" s="54"/>
    </row>
    <row r="243" spans="13:28" x14ac:dyDescent="0.25">
      <c r="M243" s="38"/>
      <c r="N243" s="52"/>
      <c r="O243" s="52"/>
      <c r="V243" s="53"/>
      <c r="Y243" s="54"/>
      <c r="AB243" s="54"/>
    </row>
    <row r="244" spans="13:28" x14ac:dyDescent="0.25">
      <c r="M244" s="38"/>
      <c r="N244" s="52"/>
      <c r="O244" s="52"/>
      <c r="V244" s="53"/>
      <c r="Y244" s="54"/>
      <c r="AB244" s="54"/>
    </row>
    <row r="245" spans="13:28" x14ac:dyDescent="0.25">
      <c r="M245" s="38"/>
      <c r="N245" s="52"/>
      <c r="O245" s="52"/>
      <c r="V245" s="53"/>
      <c r="Y245" s="54"/>
      <c r="AB245" s="54"/>
    </row>
    <row r="246" spans="13:28" x14ac:dyDescent="0.25">
      <c r="M246" s="38"/>
      <c r="N246" s="52"/>
      <c r="O246" s="52"/>
      <c r="V246" s="53"/>
      <c r="Y246" s="54"/>
      <c r="AB246" s="54"/>
    </row>
    <row r="247" spans="13:28" x14ac:dyDescent="0.25">
      <c r="M247" s="38"/>
      <c r="N247" s="52"/>
      <c r="O247" s="52"/>
      <c r="V247" s="53"/>
      <c r="Y247" s="54"/>
      <c r="AB247" s="54"/>
    </row>
    <row r="248" spans="13:28" x14ac:dyDescent="0.25">
      <c r="M248" s="38"/>
      <c r="N248" s="52"/>
      <c r="O248" s="52"/>
      <c r="V248" s="53"/>
      <c r="Y248" s="54"/>
      <c r="AB248" s="54"/>
    </row>
    <row r="249" spans="13:28" x14ac:dyDescent="0.25">
      <c r="M249" s="38"/>
      <c r="N249" s="52"/>
      <c r="O249" s="52"/>
      <c r="V249" s="53"/>
      <c r="Y249" s="54"/>
      <c r="AB249" s="54"/>
    </row>
    <row r="250" spans="13:28" x14ac:dyDescent="0.25">
      <c r="M250" s="38"/>
      <c r="N250" s="52"/>
      <c r="O250" s="52"/>
      <c r="V250" s="53"/>
      <c r="Y250" s="54"/>
      <c r="AB250" s="54"/>
    </row>
    <row r="251" spans="13:28" x14ac:dyDescent="0.25">
      <c r="M251" s="38"/>
      <c r="N251" s="52"/>
      <c r="O251" s="52"/>
      <c r="V251" s="53"/>
      <c r="Y251" s="54"/>
      <c r="AB251" s="54"/>
    </row>
    <row r="252" spans="13:28" x14ac:dyDescent="0.25">
      <c r="M252" s="38"/>
      <c r="N252" s="52"/>
      <c r="O252" s="52"/>
      <c r="V252" s="53"/>
      <c r="Y252" s="54"/>
      <c r="AB252" s="54"/>
    </row>
    <row r="253" spans="13:28" x14ac:dyDescent="0.25">
      <c r="M253" s="38"/>
      <c r="N253" s="52"/>
      <c r="O253" s="52"/>
      <c r="V253" s="53"/>
      <c r="Y253" s="54"/>
      <c r="AB253" s="54"/>
    </row>
    <row r="254" spans="13:28" x14ac:dyDescent="0.25">
      <c r="M254" s="38"/>
      <c r="N254" s="52"/>
      <c r="O254" s="52"/>
      <c r="V254" s="53"/>
      <c r="Y254" s="54"/>
      <c r="AB254" s="54"/>
    </row>
    <row r="255" spans="13:28" x14ac:dyDescent="0.25">
      <c r="M255" s="38"/>
      <c r="N255" s="52"/>
      <c r="O255" s="52"/>
      <c r="V255" s="53"/>
      <c r="Y255" s="54"/>
      <c r="AB255" s="54"/>
    </row>
    <row r="256" spans="13:28" x14ac:dyDescent="0.25">
      <c r="M256" s="38"/>
      <c r="N256" s="52"/>
      <c r="O256" s="52"/>
      <c r="V256" s="53"/>
      <c r="Y256" s="54"/>
      <c r="AB256" s="54"/>
    </row>
    <row r="257" spans="13:28" x14ac:dyDescent="0.25">
      <c r="M257" s="38"/>
      <c r="N257" s="52"/>
      <c r="O257" s="52"/>
      <c r="V257" s="53"/>
      <c r="Y257" s="54"/>
      <c r="AB257" s="54"/>
    </row>
    <row r="258" spans="13:28" x14ac:dyDescent="0.25">
      <c r="M258" s="38"/>
      <c r="N258" s="52"/>
      <c r="O258" s="52"/>
      <c r="V258" s="53"/>
      <c r="Y258" s="54"/>
      <c r="AB258" s="54"/>
    </row>
    <row r="259" spans="13:28" x14ac:dyDescent="0.25">
      <c r="M259" s="38"/>
      <c r="N259" s="52"/>
      <c r="O259" s="52"/>
      <c r="V259" s="53"/>
      <c r="Y259" s="54"/>
      <c r="AB259" s="54"/>
    </row>
    <row r="260" spans="13:28" x14ac:dyDescent="0.25">
      <c r="M260" s="38"/>
      <c r="N260" s="52"/>
      <c r="O260" s="52"/>
      <c r="V260" s="53"/>
      <c r="Y260" s="54"/>
      <c r="AB260" s="54"/>
    </row>
    <row r="261" spans="13:28" x14ac:dyDescent="0.25">
      <c r="M261" s="38"/>
      <c r="N261" s="52"/>
      <c r="O261" s="52"/>
      <c r="V261" s="53"/>
      <c r="Y261" s="54"/>
      <c r="AB261" s="54"/>
    </row>
    <row r="262" spans="13:28" x14ac:dyDescent="0.25">
      <c r="M262" s="38"/>
      <c r="N262" s="52"/>
      <c r="O262" s="52"/>
      <c r="V262" s="53"/>
      <c r="Y262" s="54"/>
      <c r="AB262" s="54"/>
    </row>
    <row r="263" spans="13:28" x14ac:dyDescent="0.25">
      <c r="M263" s="38"/>
      <c r="N263" s="52"/>
      <c r="O263" s="52"/>
      <c r="V263" s="53"/>
      <c r="Y263" s="54"/>
      <c r="AB263" s="54"/>
    </row>
    <row r="264" spans="13:28" x14ac:dyDescent="0.25">
      <c r="M264" s="38"/>
      <c r="N264" s="52"/>
      <c r="O264" s="52"/>
      <c r="V264" s="53"/>
      <c r="Y264" s="54"/>
      <c r="AB264" s="54"/>
    </row>
    <row r="265" spans="13:28" x14ac:dyDescent="0.25">
      <c r="M265" s="38"/>
      <c r="N265" s="52"/>
      <c r="O265" s="52"/>
      <c r="V265" s="53"/>
      <c r="Y265" s="54"/>
      <c r="AB265" s="54"/>
    </row>
    <row r="266" spans="13:28" x14ac:dyDescent="0.25">
      <c r="M266" s="38"/>
      <c r="N266" s="52"/>
      <c r="O266" s="52"/>
      <c r="V266" s="53"/>
      <c r="Y266" s="54"/>
      <c r="AB266" s="54"/>
    </row>
    <row r="267" spans="13:28" x14ac:dyDescent="0.25">
      <c r="M267" s="38"/>
      <c r="N267" s="52"/>
      <c r="O267" s="52"/>
      <c r="V267" s="53"/>
      <c r="Y267" s="54"/>
      <c r="AB267" s="54"/>
    </row>
    <row r="268" spans="13:28" x14ac:dyDescent="0.25">
      <c r="M268" s="38"/>
      <c r="N268" s="52"/>
      <c r="O268" s="52"/>
      <c r="V268" s="53"/>
      <c r="Y268" s="54"/>
      <c r="AB268" s="54"/>
    </row>
    <row r="269" spans="13:28" x14ac:dyDescent="0.25">
      <c r="M269" s="38"/>
      <c r="N269" s="52"/>
      <c r="O269" s="52"/>
      <c r="V269" s="53"/>
      <c r="Y269" s="54"/>
      <c r="AB269" s="54"/>
    </row>
    <row r="270" spans="13:28" x14ac:dyDescent="0.25">
      <c r="M270" s="38"/>
      <c r="N270" s="52"/>
      <c r="O270" s="52"/>
      <c r="V270" s="53"/>
      <c r="Y270" s="54"/>
      <c r="AB270" s="54"/>
    </row>
    <row r="271" spans="13:28" x14ac:dyDescent="0.25">
      <c r="M271" s="38"/>
      <c r="N271" s="52"/>
      <c r="O271" s="52"/>
      <c r="V271" s="53"/>
      <c r="Y271" s="54"/>
      <c r="AB271" s="54"/>
    </row>
    <row r="272" spans="13:28" x14ac:dyDescent="0.25">
      <c r="M272" s="38"/>
      <c r="N272" s="52"/>
      <c r="O272" s="52"/>
      <c r="V272" s="53"/>
      <c r="Y272" s="54"/>
      <c r="AB272" s="54"/>
    </row>
    <row r="273" spans="13:28" x14ac:dyDescent="0.25">
      <c r="M273" s="38"/>
      <c r="N273" s="52"/>
      <c r="O273" s="52"/>
      <c r="V273" s="53"/>
      <c r="Y273" s="54"/>
      <c r="AB273" s="54"/>
    </row>
    <row r="274" spans="13:28" x14ac:dyDescent="0.25">
      <c r="M274" s="38"/>
      <c r="N274" s="52"/>
      <c r="O274" s="52"/>
      <c r="V274" s="53"/>
      <c r="Y274" s="54"/>
      <c r="AB274" s="54"/>
    </row>
    <row r="275" spans="13:28" x14ac:dyDescent="0.25">
      <c r="M275" s="38"/>
      <c r="N275" s="52"/>
      <c r="O275" s="52"/>
      <c r="V275" s="53"/>
      <c r="Y275" s="54"/>
      <c r="AB275" s="54"/>
    </row>
    <row r="276" spans="13:28" x14ac:dyDescent="0.25">
      <c r="M276" s="38"/>
      <c r="N276" s="52"/>
      <c r="O276" s="52"/>
      <c r="V276" s="53"/>
      <c r="Y276" s="54"/>
      <c r="AB276" s="54"/>
    </row>
    <row r="277" spans="13:28" x14ac:dyDescent="0.25">
      <c r="M277" s="38"/>
      <c r="N277" s="52"/>
      <c r="O277" s="52"/>
      <c r="V277" s="53"/>
      <c r="Y277" s="54"/>
      <c r="AB277" s="54"/>
    </row>
    <row r="278" spans="13:28" x14ac:dyDescent="0.25">
      <c r="M278" s="38"/>
      <c r="N278" s="52"/>
      <c r="O278" s="52"/>
      <c r="V278" s="53"/>
      <c r="Y278" s="54"/>
      <c r="AB278" s="54"/>
    </row>
    <row r="279" spans="13:28" x14ac:dyDescent="0.25">
      <c r="M279" s="38"/>
      <c r="N279" s="52"/>
      <c r="O279" s="52"/>
      <c r="V279" s="53"/>
      <c r="Y279" s="54"/>
      <c r="AB279" s="54"/>
    </row>
    <row r="280" spans="13:28" x14ac:dyDescent="0.25">
      <c r="M280" s="38"/>
      <c r="N280" s="52"/>
      <c r="O280" s="52"/>
      <c r="V280" s="53"/>
      <c r="Y280" s="54"/>
      <c r="AB280" s="54"/>
    </row>
    <row r="281" spans="13:28" x14ac:dyDescent="0.25">
      <c r="M281" s="38"/>
      <c r="N281" s="52"/>
      <c r="O281" s="52"/>
      <c r="V281" s="53"/>
      <c r="Y281" s="54"/>
      <c r="AB281" s="54"/>
    </row>
    <row r="282" spans="13:28" x14ac:dyDescent="0.25">
      <c r="M282" s="38"/>
      <c r="N282" s="52"/>
      <c r="O282" s="52"/>
      <c r="V282" s="53"/>
      <c r="Y282" s="54"/>
      <c r="AB282" s="54"/>
    </row>
    <row r="283" spans="13:28" x14ac:dyDescent="0.25">
      <c r="M283" s="38"/>
      <c r="N283" s="52"/>
      <c r="O283" s="52"/>
      <c r="V283" s="53"/>
      <c r="Y283" s="54"/>
      <c r="AB283" s="54"/>
    </row>
    <row r="284" spans="13:28" x14ac:dyDescent="0.25">
      <c r="M284" s="38"/>
      <c r="N284" s="52"/>
      <c r="O284" s="52"/>
      <c r="V284" s="53"/>
      <c r="Y284" s="54"/>
      <c r="AB284" s="54"/>
    </row>
    <row r="285" spans="13:28" x14ac:dyDescent="0.25">
      <c r="M285" s="38"/>
      <c r="N285" s="52"/>
      <c r="O285" s="52"/>
      <c r="V285" s="53"/>
      <c r="Y285" s="54"/>
      <c r="AB285" s="54"/>
    </row>
    <row r="286" spans="13:28" x14ac:dyDescent="0.25">
      <c r="M286" s="38"/>
      <c r="N286" s="52"/>
      <c r="O286" s="52"/>
      <c r="V286" s="53"/>
      <c r="Y286" s="54"/>
      <c r="AB286" s="54"/>
    </row>
    <row r="287" spans="13:28" x14ac:dyDescent="0.25">
      <c r="M287" s="38"/>
      <c r="N287" s="52"/>
      <c r="O287" s="52"/>
      <c r="V287" s="53"/>
      <c r="Y287" s="54"/>
      <c r="AB287" s="54"/>
    </row>
    <row r="288" spans="13:28" x14ac:dyDescent="0.25">
      <c r="M288" s="38"/>
      <c r="N288" s="52"/>
      <c r="O288" s="52"/>
      <c r="V288" s="53"/>
      <c r="Y288" s="54"/>
      <c r="AB288" s="54"/>
    </row>
    <row r="289" spans="13:28" x14ac:dyDescent="0.25">
      <c r="M289" s="38"/>
      <c r="N289" s="52"/>
      <c r="O289" s="52"/>
      <c r="V289" s="53"/>
      <c r="Y289" s="54"/>
      <c r="AB289" s="54"/>
    </row>
    <row r="290" spans="13:28" x14ac:dyDescent="0.25">
      <c r="M290" s="38"/>
      <c r="N290" s="52"/>
      <c r="O290" s="52"/>
      <c r="V290" s="53"/>
      <c r="Y290" s="54"/>
      <c r="AB290" s="54"/>
    </row>
    <row r="291" spans="13:28" x14ac:dyDescent="0.25">
      <c r="M291" s="38"/>
      <c r="N291" s="52"/>
      <c r="O291" s="52"/>
      <c r="V291" s="53"/>
      <c r="Y291" s="54"/>
      <c r="AB291" s="54"/>
    </row>
    <row r="292" spans="13:28" x14ac:dyDescent="0.25">
      <c r="M292" s="38"/>
      <c r="N292" s="52"/>
      <c r="O292" s="52"/>
      <c r="V292" s="53"/>
      <c r="Y292" s="54"/>
      <c r="AB292" s="54"/>
    </row>
    <row r="293" spans="13:28" x14ac:dyDescent="0.25">
      <c r="M293" s="38"/>
      <c r="N293" s="52"/>
      <c r="O293" s="52"/>
      <c r="V293" s="53"/>
      <c r="Y293" s="54"/>
      <c r="AB293" s="54"/>
    </row>
    <row r="294" spans="13:28" x14ac:dyDescent="0.25">
      <c r="M294" s="38"/>
      <c r="N294" s="52"/>
      <c r="O294" s="52"/>
      <c r="V294" s="53"/>
      <c r="Y294" s="54"/>
      <c r="AB294" s="54"/>
    </row>
    <row r="295" spans="13:28" x14ac:dyDescent="0.25">
      <c r="M295" s="38"/>
      <c r="N295" s="52"/>
      <c r="O295" s="52"/>
      <c r="V295" s="53"/>
      <c r="Y295" s="54"/>
      <c r="AB295" s="54"/>
    </row>
    <row r="296" spans="13:28" x14ac:dyDescent="0.25">
      <c r="M296" s="38"/>
      <c r="N296" s="52"/>
      <c r="O296" s="52"/>
      <c r="V296" s="53"/>
      <c r="Y296" s="54"/>
      <c r="AB296" s="54"/>
    </row>
    <row r="297" spans="13:28" x14ac:dyDescent="0.25">
      <c r="M297" s="38"/>
      <c r="N297" s="52"/>
      <c r="O297" s="52"/>
      <c r="V297" s="53"/>
      <c r="Y297" s="54"/>
      <c r="AB297" s="54"/>
    </row>
    <row r="298" spans="13:28" x14ac:dyDescent="0.25">
      <c r="M298" s="38"/>
      <c r="N298" s="52"/>
      <c r="O298" s="52"/>
      <c r="V298" s="53"/>
      <c r="Y298" s="54"/>
      <c r="AB298" s="54"/>
    </row>
    <row r="299" spans="13:28" x14ac:dyDescent="0.25">
      <c r="M299" s="38"/>
      <c r="N299" s="52"/>
      <c r="O299" s="52"/>
      <c r="V299" s="53"/>
      <c r="Y299" s="54"/>
      <c r="AB299" s="54"/>
    </row>
    <row r="300" spans="13:28" x14ac:dyDescent="0.25">
      <c r="M300" s="38"/>
      <c r="N300" s="52"/>
      <c r="O300" s="52"/>
      <c r="V300" s="53"/>
      <c r="Y300" s="54"/>
      <c r="AB300" s="54"/>
    </row>
    <row r="301" spans="13:28" x14ac:dyDescent="0.25">
      <c r="M301" s="38"/>
      <c r="N301" s="52"/>
      <c r="O301" s="52"/>
      <c r="V301" s="53"/>
      <c r="Y301" s="54"/>
      <c r="AB301" s="54"/>
    </row>
    <row r="302" spans="13:28" x14ac:dyDescent="0.25">
      <c r="M302" s="38"/>
      <c r="N302" s="52"/>
      <c r="O302" s="52"/>
      <c r="V302" s="53"/>
      <c r="Y302" s="54"/>
      <c r="AB302" s="54"/>
    </row>
    <row r="303" spans="13:28" x14ac:dyDescent="0.25">
      <c r="M303" s="38"/>
      <c r="N303" s="52"/>
      <c r="O303" s="52"/>
      <c r="V303" s="53"/>
      <c r="Y303" s="54"/>
      <c r="AB303" s="54"/>
    </row>
    <row r="304" spans="13:28" x14ac:dyDescent="0.25">
      <c r="M304" s="38"/>
      <c r="N304" s="52"/>
      <c r="O304" s="52"/>
      <c r="V304" s="53"/>
      <c r="AB304" s="54"/>
    </row>
    <row r="305" spans="13:28" x14ac:dyDescent="0.25">
      <c r="M305" s="38"/>
      <c r="N305" s="52"/>
      <c r="O305" s="52"/>
      <c r="V305" s="53"/>
      <c r="AB305" s="54"/>
    </row>
    <row r="306" spans="13:28" x14ac:dyDescent="0.25">
      <c r="M306" s="38"/>
      <c r="N306" s="52"/>
      <c r="O306" s="52"/>
      <c r="V306" s="53"/>
      <c r="AB306" s="54"/>
    </row>
    <row r="307" spans="13:28" x14ac:dyDescent="0.25">
      <c r="M307" s="38"/>
      <c r="N307" s="52"/>
      <c r="O307" s="52"/>
      <c r="V307" s="53"/>
      <c r="AB307" s="54"/>
    </row>
    <row r="308" spans="13:28" x14ac:dyDescent="0.25">
      <c r="M308" s="38"/>
      <c r="N308" s="52"/>
      <c r="O308" s="52"/>
      <c r="V308" s="53"/>
      <c r="AB308" s="54"/>
    </row>
    <row r="309" spans="13:28" x14ac:dyDescent="0.25">
      <c r="M309" s="38"/>
      <c r="N309" s="52"/>
      <c r="O309" s="52"/>
      <c r="V309" s="53"/>
      <c r="AB309" s="54"/>
    </row>
    <row r="310" spans="13:28" x14ac:dyDescent="0.25">
      <c r="M310" s="38"/>
      <c r="N310" s="52"/>
      <c r="O310" s="52"/>
      <c r="V310" s="53"/>
      <c r="AB310" s="54"/>
    </row>
    <row r="311" spans="13:28" x14ac:dyDescent="0.25">
      <c r="M311" s="38"/>
      <c r="N311" s="52"/>
      <c r="O311" s="52"/>
      <c r="V311" s="53"/>
      <c r="AB311" s="54"/>
    </row>
    <row r="312" spans="13:28" x14ac:dyDescent="0.25">
      <c r="M312" s="38"/>
      <c r="N312" s="52"/>
      <c r="O312" s="52"/>
      <c r="V312" s="53"/>
      <c r="AB312" s="54"/>
    </row>
    <row r="313" spans="13:28" x14ac:dyDescent="0.25">
      <c r="M313" s="38"/>
      <c r="N313" s="52"/>
      <c r="O313" s="52"/>
      <c r="V313" s="53"/>
      <c r="AB313" s="54"/>
    </row>
    <row r="314" spans="13:28" x14ac:dyDescent="0.25">
      <c r="M314" s="38"/>
      <c r="N314" s="52"/>
      <c r="O314" s="52"/>
      <c r="V314" s="53"/>
      <c r="AB314" s="54"/>
    </row>
    <row r="315" spans="13:28" x14ac:dyDescent="0.25">
      <c r="M315" s="38"/>
      <c r="N315" s="52"/>
      <c r="O315" s="52"/>
      <c r="V315" s="53"/>
      <c r="AB315" s="54"/>
    </row>
    <row r="316" spans="13:28" x14ac:dyDescent="0.25">
      <c r="M316" s="38"/>
      <c r="N316" s="52"/>
      <c r="O316" s="52"/>
      <c r="V316" s="53"/>
      <c r="AB316" s="54"/>
    </row>
    <row r="317" spans="13:28" x14ac:dyDescent="0.25">
      <c r="M317" s="38"/>
      <c r="N317" s="52"/>
      <c r="O317" s="52"/>
      <c r="V317" s="53"/>
      <c r="AB317" s="54"/>
    </row>
    <row r="318" spans="13:28" x14ac:dyDescent="0.25">
      <c r="M318" s="38"/>
      <c r="N318" s="52"/>
      <c r="O318" s="52"/>
      <c r="V318" s="53"/>
      <c r="AB318" s="54"/>
    </row>
    <row r="319" spans="13:28" x14ac:dyDescent="0.25">
      <c r="M319" s="38"/>
      <c r="N319" s="52"/>
      <c r="O319" s="52"/>
      <c r="V319" s="53"/>
      <c r="AB319" s="54"/>
    </row>
    <row r="320" spans="13:28" x14ac:dyDescent="0.25">
      <c r="M320" s="38"/>
      <c r="N320" s="52"/>
      <c r="O320" s="52"/>
      <c r="V320" s="53"/>
      <c r="AB320" s="54"/>
    </row>
    <row r="321" spans="13:28" x14ac:dyDescent="0.25">
      <c r="M321" s="38"/>
      <c r="N321" s="52"/>
      <c r="O321" s="52"/>
      <c r="V321" s="53"/>
      <c r="AB321" s="54"/>
    </row>
    <row r="322" spans="13:28" x14ac:dyDescent="0.25">
      <c r="M322" s="38"/>
      <c r="N322" s="52"/>
      <c r="O322" s="52"/>
      <c r="V322" s="53"/>
      <c r="AB322" s="54"/>
    </row>
    <row r="323" spans="13:28" x14ac:dyDescent="0.25">
      <c r="M323" s="38"/>
      <c r="N323" s="52"/>
      <c r="O323" s="52"/>
      <c r="V323" s="53"/>
      <c r="AB323" s="54"/>
    </row>
    <row r="324" spans="13:28" x14ac:dyDescent="0.25">
      <c r="M324" s="38"/>
      <c r="N324" s="52"/>
      <c r="O324" s="52"/>
      <c r="V324" s="53"/>
      <c r="AB324" s="54"/>
    </row>
    <row r="325" spans="13:28" x14ac:dyDescent="0.25">
      <c r="M325" s="38"/>
      <c r="N325" s="52"/>
      <c r="O325" s="52"/>
      <c r="V325" s="53"/>
      <c r="AB325" s="54"/>
    </row>
    <row r="326" spans="13:28" x14ac:dyDescent="0.25">
      <c r="M326" s="38"/>
      <c r="N326" s="52"/>
      <c r="O326" s="52"/>
      <c r="V326" s="53"/>
      <c r="AB326" s="54"/>
    </row>
    <row r="327" spans="13:28" x14ac:dyDescent="0.25">
      <c r="M327" s="38"/>
      <c r="N327" s="52"/>
      <c r="O327" s="52"/>
      <c r="V327" s="53"/>
    </row>
    <row r="328" spans="13:28" x14ac:dyDescent="0.25">
      <c r="M328" s="38"/>
      <c r="N328" s="52"/>
      <c r="O328" s="52"/>
      <c r="V328" s="53"/>
    </row>
    <row r="329" spans="13:28" x14ac:dyDescent="0.25">
      <c r="M329" s="38"/>
      <c r="N329" s="52"/>
      <c r="O329" s="52"/>
      <c r="V329" s="53"/>
    </row>
    <row r="330" spans="13:28" x14ac:dyDescent="0.25">
      <c r="M330" s="38"/>
      <c r="N330" s="52"/>
      <c r="O330" s="52"/>
      <c r="V330" s="53"/>
    </row>
    <row r="331" spans="13:28" x14ac:dyDescent="0.25">
      <c r="M331" s="38"/>
      <c r="N331" s="52"/>
      <c r="O331" s="52"/>
      <c r="V331" s="53"/>
    </row>
    <row r="332" spans="13:28" x14ac:dyDescent="0.25">
      <c r="M332" s="38"/>
      <c r="N332" s="52"/>
      <c r="O332" s="52"/>
      <c r="V332" s="53"/>
    </row>
    <row r="333" spans="13:28" x14ac:dyDescent="0.25">
      <c r="M333" s="38"/>
      <c r="N333" s="52"/>
      <c r="O333" s="52"/>
      <c r="V333" s="53"/>
    </row>
    <row r="334" spans="13:28" x14ac:dyDescent="0.25">
      <c r="M334" s="38"/>
      <c r="N334" s="52"/>
      <c r="O334" s="52"/>
      <c r="V334" s="53"/>
    </row>
    <row r="335" spans="13:28" x14ac:dyDescent="0.25">
      <c r="M335" s="38"/>
      <c r="N335" s="52"/>
      <c r="O335" s="52"/>
      <c r="V335" s="53"/>
    </row>
    <row r="336" spans="13:28" x14ac:dyDescent="0.25">
      <c r="M336" s="38"/>
      <c r="N336" s="52"/>
      <c r="O336" s="52"/>
      <c r="V336" s="53"/>
    </row>
    <row r="337" spans="13:22" x14ac:dyDescent="0.25">
      <c r="M337" s="38"/>
      <c r="N337" s="52"/>
      <c r="O337" s="52"/>
      <c r="V337" s="53"/>
    </row>
    <row r="338" spans="13:22" x14ac:dyDescent="0.25">
      <c r="M338" s="38"/>
      <c r="N338" s="52"/>
      <c r="O338" s="52"/>
      <c r="V338" s="53"/>
    </row>
    <row r="339" spans="13:22" x14ac:dyDescent="0.25">
      <c r="M339" s="38"/>
      <c r="N339" s="52"/>
      <c r="O339" s="52"/>
      <c r="V339" s="53"/>
    </row>
    <row r="340" spans="13:22" x14ac:dyDescent="0.25">
      <c r="M340" s="38"/>
      <c r="N340" s="52"/>
      <c r="O340" s="52"/>
      <c r="V340" s="53"/>
    </row>
    <row r="341" spans="13:22" x14ac:dyDescent="0.25">
      <c r="M341" s="38"/>
      <c r="N341" s="52"/>
      <c r="O341" s="52"/>
      <c r="V341" s="53"/>
    </row>
    <row r="342" spans="13:22" x14ac:dyDescent="0.25">
      <c r="M342" s="38"/>
      <c r="N342" s="52"/>
      <c r="O342" s="52"/>
      <c r="V342" s="53"/>
    </row>
    <row r="343" spans="13:22" x14ac:dyDescent="0.25">
      <c r="M343" s="38"/>
      <c r="N343" s="52"/>
      <c r="O343" s="52"/>
      <c r="V343" s="53"/>
    </row>
    <row r="344" spans="13:22" x14ac:dyDescent="0.25">
      <c r="M344" s="38"/>
      <c r="N344" s="52"/>
      <c r="O344" s="52"/>
      <c r="V344" s="53"/>
    </row>
    <row r="345" spans="13:22" x14ac:dyDescent="0.25">
      <c r="M345" s="38"/>
      <c r="N345" s="52"/>
      <c r="O345" s="52"/>
      <c r="V345" s="53"/>
    </row>
    <row r="346" spans="13:22" x14ac:dyDescent="0.25">
      <c r="M346" s="38"/>
      <c r="N346" s="52"/>
      <c r="O346" s="52"/>
      <c r="V346" s="53"/>
    </row>
    <row r="347" spans="13:22" x14ac:dyDescent="0.25">
      <c r="M347" s="38"/>
      <c r="N347" s="52"/>
      <c r="O347" s="52"/>
      <c r="V347" s="53"/>
    </row>
    <row r="348" spans="13:22" x14ac:dyDescent="0.25">
      <c r="M348" s="38"/>
      <c r="N348" s="52"/>
      <c r="O348" s="52"/>
      <c r="V348" s="53"/>
    </row>
    <row r="349" spans="13:22" x14ac:dyDescent="0.25">
      <c r="M349" s="38"/>
      <c r="N349" s="52"/>
      <c r="O349" s="52"/>
      <c r="V349" s="53"/>
    </row>
    <row r="350" spans="13:22" x14ac:dyDescent="0.25">
      <c r="M350" s="38"/>
      <c r="N350" s="52"/>
      <c r="O350" s="52"/>
      <c r="V350" s="53"/>
    </row>
    <row r="351" spans="13:22" x14ac:dyDescent="0.25">
      <c r="M351" s="38"/>
      <c r="N351" s="52"/>
      <c r="O351" s="52"/>
      <c r="V351" s="53"/>
    </row>
    <row r="352" spans="13:22" x14ac:dyDescent="0.25">
      <c r="M352" s="38"/>
      <c r="N352" s="52"/>
      <c r="O352" s="52"/>
      <c r="V352" s="53"/>
    </row>
    <row r="353" spans="13:22" x14ac:dyDescent="0.25">
      <c r="M353" s="38"/>
      <c r="N353" s="52"/>
      <c r="O353" s="52"/>
      <c r="V353" s="53"/>
    </row>
    <row r="354" spans="13:22" x14ac:dyDescent="0.25">
      <c r="M354" s="38"/>
      <c r="N354" s="52"/>
      <c r="O354" s="52"/>
      <c r="V354" s="53"/>
    </row>
    <row r="355" spans="13:22" x14ac:dyDescent="0.25">
      <c r="M355" s="38"/>
      <c r="N355" s="52"/>
      <c r="O355" s="52"/>
      <c r="V355" s="53"/>
    </row>
    <row r="356" spans="13:22" x14ac:dyDescent="0.25">
      <c r="M356" s="38"/>
      <c r="N356" s="52"/>
      <c r="O356" s="52"/>
      <c r="V356" s="53"/>
    </row>
    <row r="357" spans="13:22" x14ac:dyDescent="0.25">
      <c r="M357" s="38"/>
      <c r="N357" s="52"/>
      <c r="O357" s="52"/>
      <c r="V357" s="53"/>
    </row>
    <row r="358" spans="13:22" x14ac:dyDescent="0.25">
      <c r="M358" s="38"/>
      <c r="N358" s="52"/>
      <c r="O358" s="52"/>
      <c r="V358" s="53"/>
    </row>
    <row r="359" spans="13:22" x14ac:dyDescent="0.25">
      <c r="M359" s="38"/>
      <c r="N359" s="52"/>
      <c r="O359" s="52"/>
      <c r="V359" s="53"/>
    </row>
    <row r="360" spans="13:22" x14ac:dyDescent="0.25">
      <c r="M360" s="38"/>
      <c r="N360" s="52"/>
      <c r="O360" s="52"/>
      <c r="V360" s="53"/>
    </row>
    <row r="361" spans="13:22" x14ac:dyDescent="0.25">
      <c r="M361" s="38"/>
      <c r="N361" s="52"/>
      <c r="O361" s="52"/>
      <c r="V361" s="53"/>
    </row>
    <row r="362" spans="13:22" x14ac:dyDescent="0.25">
      <c r="M362" s="38"/>
      <c r="N362" s="52"/>
      <c r="O362" s="52"/>
      <c r="V362" s="53"/>
    </row>
    <row r="363" spans="13:22" x14ac:dyDescent="0.25">
      <c r="M363" s="38"/>
      <c r="N363" s="52"/>
      <c r="O363" s="52"/>
      <c r="V363" s="53"/>
    </row>
    <row r="364" spans="13:22" x14ac:dyDescent="0.25">
      <c r="M364" s="38"/>
      <c r="N364" s="52"/>
      <c r="O364" s="52"/>
      <c r="V364" s="53"/>
    </row>
    <row r="365" spans="13:22" x14ac:dyDescent="0.25">
      <c r="M365" s="38"/>
      <c r="N365" s="52"/>
      <c r="O365" s="52"/>
      <c r="V365" s="53"/>
    </row>
    <row r="366" spans="13:22" x14ac:dyDescent="0.25">
      <c r="M366" s="38"/>
      <c r="N366" s="52"/>
      <c r="O366" s="52"/>
      <c r="V366" s="53"/>
    </row>
    <row r="367" spans="13:22" x14ac:dyDescent="0.25">
      <c r="M367" s="38"/>
      <c r="N367" s="52"/>
      <c r="O367" s="52"/>
      <c r="V367" s="53"/>
    </row>
    <row r="368" spans="13:22" x14ac:dyDescent="0.25">
      <c r="M368" s="38"/>
      <c r="N368" s="52"/>
      <c r="O368" s="52"/>
      <c r="V368" s="53"/>
    </row>
    <row r="369" spans="13:22" x14ac:dyDescent="0.25">
      <c r="M369" s="38"/>
      <c r="N369" s="52"/>
      <c r="O369" s="52"/>
      <c r="V369" s="53"/>
    </row>
    <row r="370" spans="13:22" x14ac:dyDescent="0.25">
      <c r="M370" s="38"/>
      <c r="N370" s="52"/>
      <c r="O370" s="52"/>
      <c r="V370" s="53"/>
    </row>
    <row r="371" spans="13:22" x14ac:dyDescent="0.25">
      <c r="M371" s="38"/>
      <c r="N371" s="52"/>
      <c r="O371" s="52"/>
      <c r="V371" s="53"/>
    </row>
    <row r="372" spans="13:22" x14ac:dyDescent="0.25">
      <c r="M372" s="38"/>
      <c r="N372" s="52"/>
      <c r="O372" s="52"/>
      <c r="V372" s="53"/>
    </row>
    <row r="373" spans="13:22" x14ac:dyDescent="0.25">
      <c r="M373" s="38"/>
      <c r="N373" s="52"/>
      <c r="O373" s="52"/>
      <c r="V373" s="53"/>
    </row>
    <row r="374" spans="13:22" x14ac:dyDescent="0.25">
      <c r="M374" s="38"/>
      <c r="N374" s="52"/>
      <c r="O374" s="52"/>
      <c r="V374" s="53"/>
    </row>
    <row r="375" spans="13:22" x14ac:dyDescent="0.25">
      <c r="M375" s="38"/>
      <c r="N375" s="52"/>
      <c r="O375" s="52"/>
      <c r="V375" s="53"/>
    </row>
    <row r="376" spans="13:22" x14ac:dyDescent="0.25">
      <c r="M376" s="38"/>
      <c r="N376" s="52"/>
      <c r="O376" s="52"/>
      <c r="V376" s="53"/>
    </row>
    <row r="377" spans="13:22" x14ac:dyDescent="0.25">
      <c r="M377" s="38"/>
      <c r="N377" s="52"/>
      <c r="O377" s="52"/>
      <c r="V377" s="53"/>
    </row>
    <row r="378" spans="13:22" x14ac:dyDescent="0.25">
      <c r="M378" s="38"/>
      <c r="N378" s="52"/>
      <c r="O378" s="52"/>
      <c r="V378" s="53"/>
    </row>
    <row r="379" spans="13:22" x14ac:dyDescent="0.25">
      <c r="M379" s="38"/>
      <c r="N379" s="52"/>
      <c r="O379" s="52"/>
      <c r="V379" s="53"/>
    </row>
    <row r="380" spans="13:22" x14ac:dyDescent="0.25">
      <c r="M380" s="38"/>
      <c r="N380" s="52"/>
      <c r="O380" s="52"/>
      <c r="V380" s="53"/>
    </row>
    <row r="381" spans="13:22" x14ac:dyDescent="0.25">
      <c r="M381" s="38"/>
      <c r="N381" s="52"/>
      <c r="O381" s="52"/>
      <c r="V381" s="53"/>
    </row>
    <row r="382" spans="13:22" x14ac:dyDescent="0.25">
      <c r="M382" s="38"/>
      <c r="N382" s="52"/>
      <c r="O382" s="52"/>
      <c r="V382" s="53"/>
    </row>
    <row r="383" spans="13:22" x14ac:dyDescent="0.25">
      <c r="M383" s="38"/>
      <c r="N383" s="52"/>
      <c r="O383" s="52"/>
      <c r="V383" s="53"/>
    </row>
    <row r="384" spans="13:22" x14ac:dyDescent="0.25">
      <c r="M384" s="38"/>
      <c r="N384" s="52"/>
      <c r="O384" s="52"/>
      <c r="V384" s="53"/>
    </row>
    <row r="385" spans="13:22" x14ac:dyDescent="0.25">
      <c r="M385" s="38"/>
      <c r="N385" s="52"/>
      <c r="O385" s="52"/>
      <c r="V385" s="53"/>
    </row>
    <row r="386" spans="13:22" x14ac:dyDescent="0.25">
      <c r="M386" s="38"/>
      <c r="N386" s="52"/>
      <c r="O386" s="52"/>
      <c r="V386" s="53"/>
    </row>
    <row r="387" spans="13:22" x14ac:dyDescent="0.25">
      <c r="M387" s="38"/>
      <c r="N387" s="52"/>
      <c r="O387" s="52"/>
      <c r="V387" s="53"/>
    </row>
    <row r="388" spans="13:22" x14ac:dyDescent="0.25">
      <c r="M388" s="38"/>
      <c r="N388" s="52"/>
      <c r="O388" s="52"/>
      <c r="V388" s="53"/>
    </row>
    <row r="389" spans="13:22" x14ac:dyDescent="0.25">
      <c r="M389" s="38"/>
      <c r="N389" s="52"/>
      <c r="O389" s="52"/>
      <c r="V389" s="53"/>
    </row>
    <row r="390" spans="13:22" x14ac:dyDescent="0.25">
      <c r="M390" s="38"/>
      <c r="N390" s="52"/>
      <c r="O390" s="52"/>
      <c r="V390" s="53"/>
    </row>
    <row r="391" spans="13:22" x14ac:dyDescent="0.25">
      <c r="M391" s="38"/>
      <c r="N391" s="52"/>
      <c r="O391" s="52"/>
      <c r="V391" s="53"/>
    </row>
    <row r="392" spans="13:22" x14ac:dyDescent="0.25">
      <c r="M392" s="38"/>
      <c r="N392" s="52"/>
      <c r="O392" s="52"/>
      <c r="V392" s="53"/>
    </row>
    <row r="393" spans="13:22" x14ac:dyDescent="0.25">
      <c r="M393" s="38"/>
      <c r="N393" s="52"/>
      <c r="O393" s="52"/>
      <c r="V393" s="53"/>
    </row>
    <row r="394" spans="13:22" x14ac:dyDescent="0.25">
      <c r="M394" s="38"/>
      <c r="N394" s="52"/>
      <c r="O394" s="52"/>
      <c r="V394" s="53"/>
    </row>
    <row r="395" spans="13:22" x14ac:dyDescent="0.25">
      <c r="M395" s="38"/>
      <c r="N395" s="52"/>
      <c r="O395" s="52"/>
      <c r="V395" s="53"/>
    </row>
    <row r="396" spans="13:22" x14ac:dyDescent="0.25">
      <c r="M396" s="38"/>
      <c r="N396" s="52"/>
      <c r="O396" s="52"/>
      <c r="V396" s="53"/>
    </row>
    <row r="397" spans="13:22" x14ac:dyDescent="0.25">
      <c r="M397" s="38"/>
      <c r="N397" s="52"/>
      <c r="O397" s="52"/>
      <c r="V397" s="53"/>
    </row>
    <row r="398" spans="13:22" x14ac:dyDescent="0.25">
      <c r="M398" s="38"/>
      <c r="N398" s="52"/>
      <c r="O398" s="52"/>
      <c r="V398" s="53"/>
    </row>
    <row r="399" spans="13:22" x14ac:dyDescent="0.25">
      <c r="M399" s="38"/>
      <c r="N399" s="52"/>
      <c r="O399" s="52"/>
      <c r="V399" s="53"/>
    </row>
    <row r="400" spans="13:22" x14ac:dyDescent="0.25">
      <c r="M400" s="38"/>
      <c r="N400" s="52"/>
      <c r="O400" s="52"/>
      <c r="V400" s="53"/>
    </row>
    <row r="401" spans="13:22" x14ac:dyDescent="0.25">
      <c r="M401" s="38"/>
      <c r="N401" s="52"/>
      <c r="O401" s="52"/>
      <c r="V401" s="53"/>
    </row>
    <row r="402" spans="13:22" x14ac:dyDescent="0.25">
      <c r="M402" s="38"/>
      <c r="N402" s="52"/>
      <c r="O402" s="52"/>
      <c r="V402" s="53"/>
    </row>
    <row r="403" spans="13:22" x14ac:dyDescent="0.25">
      <c r="M403" s="38"/>
      <c r="N403" s="52"/>
      <c r="O403" s="52"/>
      <c r="V403" s="53"/>
    </row>
    <row r="404" spans="13:22" x14ac:dyDescent="0.25">
      <c r="M404" s="38"/>
      <c r="N404" s="52"/>
      <c r="O404" s="52"/>
      <c r="V404" s="53"/>
    </row>
    <row r="405" spans="13:22" x14ac:dyDescent="0.25">
      <c r="M405" s="38"/>
      <c r="N405" s="52"/>
      <c r="O405" s="52"/>
      <c r="V405" s="53"/>
    </row>
    <row r="406" spans="13:22" x14ac:dyDescent="0.25">
      <c r="M406" s="38"/>
      <c r="N406" s="52"/>
      <c r="O406" s="52"/>
      <c r="V406" s="53"/>
    </row>
    <row r="407" spans="13:22" x14ac:dyDescent="0.25">
      <c r="M407" s="38"/>
      <c r="N407" s="52"/>
      <c r="O407" s="52"/>
      <c r="V407" s="53"/>
    </row>
    <row r="408" spans="13:22" x14ac:dyDescent="0.25">
      <c r="M408" s="38"/>
      <c r="N408" s="52"/>
      <c r="O408" s="52"/>
      <c r="V408" s="53"/>
    </row>
    <row r="409" spans="13:22" x14ac:dyDescent="0.25">
      <c r="M409" s="38"/>
      <c r="N409" s="52"/>
      <c r="O409" s="52"/>
      <c r="V409" s="53"/>
    </row>
    <row r="410" spans="13:22" x14ac:dyDescent="0.25">
      <c r="M410" s="38"/>
      <c r="N410" s="52"/>
      <c r="O410" s="52"/>
      <c r="V410" s="53"/>
    </row>
    <row r="411" spans="13:22" x14ac:dyDescent="0.25">
      <c r="M411" s="38"/>
      <c r="N411" s="52"/>
      <c r="O411" s="52"/>
      <c r="V411" s="53"/>
    </row>
    <row r="412" spans="13:22" x14ac:dyDescent="0.25">
      <c r="M412" s="38"/>
      <c r="N412" s="52"/>
      <c r="O412" s="52"/>
      <c r="V412" s="53"/>
    </row>
    <row r="413" spans="13:22" x14ac:dyDescent="0.25">
      <c r="M413" s="38"/>
      <c r="N413" s="52"/>
      <c r="O413" s="52"/>
      <c r="V413" s="53"/>
    </row>
    <row r="414" spans="13:22" x14ac:dyDescent="0.25">
      <c r="M414" s="38"/>
      <c r="N414" s="52"/>
      <c r="O414" s="52"/>
      <c r="V414" s="53"/>
    </row>
    <row r="415" spans="13:22" x14ac:dyDescent="0.25">
      <c r="M415" s="38"/>
      <c r="N415" s="52"/>
      <c r="O415" s="52"/>
      <c r="V415" s="53"/>
    </row>
    <row r="416" spans="13:22" x14ac:dyDescent="0.25">
      <c r="M416" s="38"/>
      <c r="N416" s="52"/>
      <c r="O416" s="52"/>
      <c r="V416" s="53"/>
    </row>
    <row r="417" spans="13:22" x14ac:dyDescent="0.25">
      <c r="M417" s="38"/>
      <c r="N417" s="52"/>
      <c r="O417" s="52"/>
      <c r="V417" s="53"/>
    </row>
    <row r="418" spans="13:22" x14ac:dyDescent="0.25">
      <c r="M418" s="38"/>
      <c r="N418" s="52"/>
      <c r="O418" s="52"/>
      <c r="V418" s="53"/>
    </row>
    <row r="419" spans="13:22" x14ac:dyDescent="0.25">
      <c r="M419" s="38"/>
      <c r="N419" s="52"/>
      <c r="O419" s="52"/>
      <c r="V419" s="53"/>
    </row>
    <row r="420" spans="13:22" x14ac:dyDescent="0.25">
      <c r="M420" s="38"/>
      <c r="N420" s="52"/>
      <c r="O420" s="52"/>
      <c r="V420" s="53"/>
    </row>
    <row r="421" spans="13:22" x14ac:dyDescent="0.25">
      <c r="M421" s="38"/>
      <c r="N421" s="52"/>
      <c r="O421" s="52"/>
      <c r="V421" s="53"/>
    </row>
    <row r="422" spans="13:22" x14ac:dyDescent="0.25">
      <c r="M422" s="38"/>
      <c r="N422" s="52"/>
      <c r="O422" s="52"/>
      <c r="V422" s="53"/>
    </row>
    <row r="423" spans="13:22" x14ac:dyDescent="0.25">
      <c r="M423" s="38"/>
      <c r="N423" s="52"/>
      <c r="O423" s="52"/>
      <c r="V423" s="53"/>
    </row>
    <row r="424" spans="13:22" x14ac:dyDescent="0.25">
      <c r="M424" s="38"/>
      <c r="N424" s="52"/>
      <c r="O424" s="52"/>
      <c r="V424" s="53"/>
    </row>
    <row r="425" spans="13:22" x14ac:dyDescent="0.25">
      <c r="M425" s="38"/>
      <c r="N425" s="52"/>
      <c r="O425" s="52"/>
      <c r="V425" s="53"/>
    </row>
    <row r="426" spans="13:22" x14ac:dyDescent="0.25">
      <c r="M426" s="38"/>
      <c r="N426" s="52"/>
      <c r="O426" s="52"/>
      <c r="V426" s="53"/>
    </row>
    <row r="427" spans="13:22" x14ac:dyDescent="0.25">
      <c r="M427" s="38"/>
      <c r="N427" s="52"/>
      <c r="O427" s="52"/>
      <c r="V427" s="53"/>
    </row>
    <row r="428" spans="13:22" x14ac:dyDescent="0.25">
      <c r="M428" s="38"/>
      <c r="N428" s="52"/>
      <c r="O428" s="52"/>
      <c r="V428" s="53"/>
    </row>
    <row r="429" spans="13:22" x14ac:dyDescent="0.25">
      <c r="M429" s="38"/>
      <c r="N429" s="52"/>
      <c r="O429" s="52"/>
      <c r="V429" s="53"/>
    </row>
    <row r="430" spans="13:22" x14ac:dyDescent="0.25">
      <c r="M430" s="38"/>
      <c r="N430" s="52"/>
      <c r="O430" s="52"/>
      <c r="V430" s="53"/>
    </row>
    <row r="431" spans="13:22" x14ac:dyDescent="0.25">
      <c r="M431" s="38"/>
      <c r="N431" s="52"/>
      <c r="O431" s="52"/>
      <c r="V431" s="53"/>
    </row>
    <row r="432" spans="13:22" x14ac:dyDescent="0.25">
      <c r="M432" s="38"/>
      <c r="N432" s="52"/>
      <c r="O432" s="52"/>
      <c r="V432" s="53"/>
    </row>
    <row r="433" spans="13:22" x14ac:dyDescent="0.25">
      <c r="M433" s="38"/>
      <c r="N433" s="52"/>
      <c r="O433" s="52"/>
      <c r="V433" s="53"/>
    </row>
    <row r="434" spans="13:22" x14ac:dyDescent="0.25">
      <c r="M434" s="38"/>
      <c r="N434" s="52"/>
      <c r="O434" s="52"/>
      <c r="V434" s="53"/>
    </row>
    <row r="435" spans="13:22" x14ac:dyDescent="0.25">
      <c r="M435" s="38"/>
      <c r="N435" s="52"/>
      <c r="O435" s="52"/>
      <c r="V435" s="53"/>
    </row>
    <row r="436" spans="13:22" x14ac:dyDescent="0.25">
      <c r="M436" s="38"/>
      <c r="N436" s="52"/>
      <c r="O436" s="52"/>
      <c r="V436" s="53"/>
    </row>
    <row r="437" spans="13:22" x14ac:dyDescent="0.25">
      <c r="M437" s="38"/>
      <c r="N437" s="52"/>
      <c r="O437" s="52"/>
      <c r="V437" s="53"/>
    </row>
    <row r="438" spans="13:22" x14ac:dyDescent="0.25">
      <c r="M438" s="38"/>
      <c r="N438" s="52"/>
      <c r="O438" s="52"/>
      <c r="V438" s="53"/>
    </row>
    <row r="439" spans="13:22" x14ac:dyDescent="0.25">
      <c r="M439" s="38"/>
      <c r="N439" s="52"/>
      <c r="O439" s="52"/>
      <c r="V439" s="53"/>
    </row>
    <row r="440" spans="13:22" x14ac:dyDescent="0.25">
      <c r="M440" s="38"/>
      <c r="N440" s="52"/>
      <c r="O440" s="52"/>
      <c r="V440" s="53"/>
    </row>
    <row r="441" spans="13:22" x14ac:dyDescent="0.25">
      <c r="M441" s="38"/>
      <c r="N441" s="52"/>
      <c r="O441" s="52"/>
      <c r="V441" s="53"/>
    </row>
    <row r="442" spans="13:22" x14ac:dyDescent="0.25">
      <c r="M442" s="38"/>
      <c r="N442" s="52"/>
      <c r="O442" s="52"/>
      <c r="V442" s="53"/>
    </row>
    <row r="443" spans="13:22" x14ac:dyDescent="0.25">
      <c r="M443" s="38"/>
      <c r="N443" s="52"/>
      <c r="O443" s="52"/>
      <c r="V443" s="53"/>
    </row>
    <row r="444" spans="13:22" x14ac:dyDescent="0.25">
      <c r="M444" s="38"/>
      <c r="N444" s="52"/>
      <c r="O444" s="52"/>
      <c r="V444" s="53"/>
    </row>
    <row r="445" spans="13:22" x14ac:dyDescent="0.25">
      <c r="M445" s="38"/>
      <c r="N445" s="52"/>
      <c r="O445" s="52"/>
      <c r="V445" s="53"/>
    </row>
    <row r="446" spans="13:22" x14ac:dyDescent="0.25">
      <c r="M446" s="38"/>
      <c r="N446" s="52"/>
      <c r="O446" s="52"/>
      <c r="V446" s="53"/>
    </row>
    <row r="447" spans="13:22" x14ac:dyDescent="0.25">
      <c r="M447" s="38"/>
      <c r="N447" s="52"/>
      <c r="O447" s="52"/>
      <c r="V447" s="53"/>
    </row>
    <row r="448" spans="13:22" x14ac:dyDescent="0.25">
      <c r="M448" s="38"/>
      <c r="N448" s="52"/>
      <c r="O448" s="52"/>
      <c r="V448" s="53"/>
    </row>
    <row r="449" spans="13:22" x14ac:dyDescent="0.25">
      <c r="M449" s="38"/>
      <c r="N449" s="52"/>
      <c r="O449" s="52"/>
      <c r="V449" s="53"/>
    </row>
    <row r="450" spans="13:22" x14ac:dyDescent="0.25">
      <c r="M450" s="38"/>
      <c r="N450" s="52"/>
      <c r="O450" s="52"/>
      <c r="V450" s="53"/>
    </row>
    <row r="451" spans="13:22" x14ac:dyDescent="0.25">
      <c r="M451" s="38"/>
      <c r="N451" s="52"/>
      <c r="O451" s="52"/>
      <c r="V451" s="53"/>
    </row>
    <row r="452" spans="13:22" x14ac:dyDescent="0.25">
      <c r="M452" s="38"/>
      <c r="N452" s="52"/>
      <c r="O452" s="52"/>
      <c r="V452" s="53"/>
    </row>
    <row r="453" spans="13:22" x14ac:dyDescent="0.25">
      <c r="M453" s="38"/>
      <c r="N453" s="52"/>
      <c r="O453" s="52"/>
      <c r="V453" s="53"/>
    </row>
    <row r="454" spans="13:22" x14ac:dyDescent="0.25">
      <c r="M454" s="38"/>
      <c r="N454" s="52"/>
      <c r="O454" s="52"/>
      <c r="V454" s="53"/>
    </row>
    <row r="455" spans="13:22" x14ac:dyDescent="0.25">
      <c r="M455" s="38"/>
      <c r="N455" s="52"/>
      <c r="O455" s="52"/>
      <c r="V455" s="53"/>
    </row>
    <row r="456" spans="13:22" x14ac:dyDescent="0.25">
      <c r="M456" s="38"/>
      <c r="N456" s="52"/>
      <c r="O456" s="52"/>
      <c r="V456" s="53"/>
    </row>
    <row r="457" spans="13:22" x14ac:dyDescent="0.25">
      <c r="M457" s="38"/>
      <c r="N457" s="52"/>
      <c r="O457" s="52"/>
      <c r="V457" s="53"/>
    </row>
    <row r="458" spans="13:22" x14ac:dyDescent="0.25">
      <c r="M458" s="38"/>
      <c r="N458" s="52"/>
      <c r="O458" s="52"/>
      <c r="V458" s="53"/>
    </row>
    <row r="459" spans="13:22" x14ac:dyDescent="0.25">
      <c r="M459" s="38"/>
      <c r="N459" s="52"/>
      <c r="O459" s="52"/>
      <c r="V459" s="53"/>
    </row>
    <row r="460" spans="13:22" x14ac:dyDescent="0.25">
      <c r="M460" s="38"/>
      <c r="N460" s="52"/>
      <c r="O460" s="52"/>
      <c r="V460" s="53"/>
    </row>
    <row r="461" spans="13:22" x14ac:dyDescent="0.25">
      <c r="M461" s="38"/>
      <c r="N461" s="52"/>
      <c r="O461" s="52"/>
      <c r="V461" s="53"/>
    </row>
    <row r="462" spans="13:22" x14ac:dyDescent="0.25">
      <c r="M462" s="38"/>
      <c r="N462" s="52"/>
      <c r="O462" s="52"/>
      <c r="V462" s="53"/>
    </row>
    <row r="463" spans="13:22" x14ac:dyDescent="0.25">
      <c r="M463" s="38"/>
      <c r="N463" s="52"/>
      <c r="O463" s="52"/>
    </row>
    <row r="464" spans="13:22" x14ac:dyDescent="0.25">
      <c r="M464" s="38"/>
      <c r="N464" s="52"/>
      <c r="O464" s="52"/>
    </row>
    <row r="465" spans="13:15" x14ac:dyDescent="0.25">
      <c r="M465" s="38"/>
      <c r="N465" s="52"/>
      <c r="O465" s="52"/>
    </row>
    <row r="466" spans="13:15" x14ac:dyDescent="0.25">
      <c r="M466" s="38"/>
      <c r="N466" s="52"/>
      <c r="O466" s="52"/>
    </row>
    <row r="467" spans="13:15" x14ac:dyDescent="0.25">
      <c r="M467" s="38"/>
      <c r="N467" s="52"/>
      <c r="O467" s="52"/>
    </row>
    <row r="468" spans="13:15" x14ac:dyDescent="0.25">
      <c r="M468" s="38"/>
      <c r="N468" s="52"/>
      <c r="O468" s="52"/>
    </row>
    <row r="469" spans="13:15" x14ac:dyDescent="0.25">
      <c r="M469" s="38"/>
      <c r="N469" s="52"/>
      <c r="O469" s="52"/>
    </row>
    <row r="470" spans="13:15" x14ac:dyDescent="0.25">
      <c r="M470" s="38"/>
      <c r="N470" s="52"/>
      <c r="O470" s="52"/>
    </row>
    <row r="471" spans="13:15" x14ac:dyDescent="0.25">
      <c r="M471" s="38"/>
      <c r="N471" s="52"/>
      <c r="O471" s="52"/>
    </row>
    <row r="472" spans="13:15" x14ac:dyDescent="0.25">
      <c r="M472" s="38"/>
      <c r="N472" s="52"/>
      <c r="O472" s="52"/>
    </row>
    <row r="473" spans="13:15" x14ac:dyDescent="0.25">
      <c r="M473" s="38"/>
      <c r="N473" s="52"/>
      <c r="O473" s="52"/>
    </row>
    <row r="474" spans="13:15" x14ac:dyDescent="0.25">
      <c r="M474" s="38"/>
      <c r="N474" s="52"/>
      <c r="O474" s="52"/>
    </row>
    <row r="475" spans="13:15" x14ac:dyDescent="0.25">
      <c r="M475" s="38"/>
      <c r="N475" s="52"/>
      <c r="O475" s="52"/>
    </row>
    <row r="476" spans="13:15" x14ac:dyDescent="0.25">
      <c r="M476" s="38"/>
      <c r="N476" s="52"/>
      <c r="O476" s="52"/>
    </row>
    <row r="477" spans="13:15" x14ac:dyDescent="0.25">
      <c r="M477" s="38"/>
      <c r="N477" s="52"/>
      <c r="O477" s="52"/>
    </row>
    <row r="478" spans="13:15" x14ac:dyDescent="0.25">
      <c r="M478" s="38"/>
      <c r="N478" s="52"/>
      <c r="O478" s="52"/>
    </row>
    <row r="479" spans="13:15" x14ac:dyDescent="0.25">
      <c r="M479" s="38"/>
      <c r="N479" s="52"/>
      <c r="O479" s="52"/>
    </row>
    <row r="480" spans="13:15" x14ac:dyDescent="0.25">
      <c r="M480" s="38"/>
      <c r="N480" s="52"/>
      <c r="O480" s="52"/>
    </row>
    <row r="481" spans="13:15" x14ac:dyDescent="0.25">
      <c r="M481" s="38"/>
      <c r="N481" s="52"/>
      <c r="O481" s="52"/>
    </row>
    <row r="482" spans="13:15" x14ac:dyDescent="0.25">
      <c r="M482" s="38"/>
      <c r="N482" s="52"/>
      <c r="O482" s="52"/>
    </row>
    <row r="483" spans="13:15" x14ac:dyDescent="0.25">
      <c r="M483" s="38"/>
      <c r="N483" s="52"/>
      <c r="O483" s="52"/>
    </row>
    <row r="484" spans="13:15" x14ac:dyDescent="0.25">
      <c r="M484" s="38"/>
      <c r="N484" s="52"/>
      <c r="O484" s="52"/>
    </row>
    <row r="485" spans="13:15" x14ac:dyDescent="0.25">
      <c r="M485" s="38"/>
      <c r="N485" s="52"/>
      <c r="O485" s="52"/>
    </row>
    <row r="486" spans="13:15" x14ac:dyDescent="0.25">
      <c r="M486" s="38"/>
      <c r="N486" s="52"/>
      <c r="O486" s="52"/>
    </row>
    <row r="487" spans="13:15" x14ac:dyDescent="0.25">
      <c r="M487" s="38"/>
      <c r="N487" s="52"/>
      <c r="O487" s="52"/>
    </row>
    <row r="488" spans="13:15" x14ac:dyDescent="0.25">
      <c r="M488" s="38"/>
      <c r="N488" s="52"/>
      <c r="O488" s="52"/>
    </row>
    <row r="489" spans="13:15" x14ac:dyDescent="0.25">
      <c r="M489" s="38"/>
      <c r="N489" s="52"/>
      <c r="O489" s="52"/>
    </row>
    <row r="490" spans="13:15" x14ac:dyDescent="0.25">
      <c r="M490" s="38"/>
      <c r="N490" s="52"/>
      <c r="O490" s="52"/>
    </row>
    <row r="491" spans="13:15" x14ac:dyDescent="0.25">
      <c r="M491" s="38"/>
      <c r="N491" s="52"/>
      <c r="O491" s="52"/>
    </row>
    <row r="492" spans="13:15" x14ac:dyDescent="0.25">
      <c r="M492" s="38"/>
      <c r="N492" s="52"/>
      <c r="O492" s="52"/>
    </row>
    <row r="493" spans="13:15" x14ac:dyDescent="0.25">
      <c r="M493" s="38"/>
      <c r="N493" s="52"/>
      <c r="O493" s="52"/>
    </row>
    <row r="494" spans="13:15" x14ac:dyDescent="0.25">
      <c r="M494" s="38"/>
      <c r="N494" s="52"/>
      <c r="O494" s="52"/>
    </row>
    <row r="495" spans="13:15" x14ac:dyDescent="0.25">
      <c r="M495" s="38"/>
      <c r="N495" s="52"/>
      <c r="O495" s="52"/>
    </row>
    <row r="496" spans="13:15" x14ac:dyDescent="0.25">
      <c r="M496" s="38"/>
      <c r="N496" s="52"/>
      <c r="O496" s="52"/>
    </row>
    <row r="497" spans="13:15" x14ac:dyDescent="0.25">
      <c r="M497" s="38"/>
      <c r="N497" s="52"/>
      <c r="O497" s="52"/>
    </row>
    <row r="498" spans="13:15" x14ac:dyDescent="0.25">
      <c r="M498" s="38"/>
      <c r="N498" s="52"/>
      <c r="O498" s="52"/>
    </row>
    <row r="499" spans="13:15" x14ac:dyDescent="0.25">
      <c r="M499" s="38"/>
      <c r="N499" s="52"/>
      <c r="O499" s="52"/>
    </row>
    <row r="500" spans="13:15" x14ac:dyDescent="0.25">
      <c r="M500" s="38"/>
      <c r="N500" s="52"/>
      <c r="O500" s="52"/>
    </row>
    <row r="501" spans="13:15" x14ac:dyDescent="0.25">
      <c r="M501" s="38"/>
      <c r="N501" s="52"/>
      <c r="O501" s="52"/>
    </row>
    <row r="502" spans="13:15" x14ac:dyDescent="0.25">
      <c r="M502" s="38"/>
      <c r="N502" s="52"/>
      <c r="O502" s="52"/>
    </row>
    <row r="503" spans="13:15" x14ac:dyDescent="0.25">
      <c r="M503" s="38"/>
      <c r="N503" s="52"/>
      <c r="O503" s="52"/>
    </row>
    <row r="504" spans="13:15" x14ac:dyDescent="0.25">
      <c r="M504" s="38"/>
      <c r="N504" s="52"/>
      <c r="O504" s="52"/>
    </row>
    <row r="505" spans="13:15" x14ac:dyDescent="0.25">
      <c r="M505" s="38"/>
      <c r="N505" s="52"/>
      <c r="O505" s="52"/>
    </row>
    <row r="506" spans="13:15" x14ac:dyDescent="0.25">
      <c r="M506" s="38"/>
      <c r="N506" s="52"/>
      <c r="O506" s="52"/>
    </row>
    <row r="507" spans="13:15" x14ac:dyDescent="0.25">
      <c r="M507" s="38"/>
      <c r="N507" s="52"/>
      <c r="O507" s="52"/>
    </row>
    <row r="508" spans="13:15" x14ac:dyDescent="0.25">
      <c r="M508" s="38"/>
      <c r="N508" s="52"/>
      <c r="O508" s="52"/>
    </row>
    <row r="509" spans="13:15" x14ac:dyDescent="0.25">
      <c r="M509" s="38"/>
      <c r="N509" s="52"/>
      <c r="O509" s="52"/>
    </row>
    <row r="510" spans="13:15" x14ac:dyDescent="0.25">
      <c r="M510" s="38"/>
      <c r="N510" s="52"/>
      <c r="O510" s="52"/>
    </row>
    <row r="511" spans="13:15" x14ac:dyDescent="0.25">
      <c r="M511" s="38"/>
      <c r="N511" s="52"/>
      <c r="O511" s="52"/>
    </row>
    <row r="512" spans="13:15" x14ac:dyDescent="0.25">
      <c r="M512" s="38"/>
      <c r="N512" s="52"/>
      <c r="O512" s="52"/>
    </row>
    <row r="513" spans="13:15" x14ac:dyDescent="0.25">
      <c r="M513" s="38"/>
      <c r="N513" s="52"/>
      <c r="O513" s="52"/>
    </row>
    <row r="514" spans="13:15" x14ac:dyDescent="0.25">
      <c r="M514" s="38"/>
      <c r="N514" s="52"/>
      <c r="O514" s="52"/>
    </row>
    <row r="515" spans="13:15" x14ac:dyDescent="0.25">
      <c r="M515" s="38"/>
      <c r="N515" s="52"/>
      <c r="O515" s="52"/>
    </row>
    <row r="516" spans="13:15" x14ac:dyDescent="0.25">
      <c r="M516" s="38"/>
      <c r="N516" s="52"/>
      <c r="O516" s="52"/>
    </row>
    <row r="517" spans="13:15" x14ac:dyDescent="0.25">
      <c r="M517" s="38"/>
      <c r="N517" s="52"/>
      <c r="O517" s="52"/>
    </row>
    <row r="518" spans="13:15" x14ac:dyDescent="0.25">
      <c r="M518" s="38"/>
      <c r="N518" s="52"/>
      <c r="O518" s="52"/>
    </row>
    <row r="519" spans="13:15" x14ac:dyDescent="0.25">
      <c r="M519" s="38"/>
      <c r="N519" s="52"/>
      <c r="O519" s="52"/>
    </row>
    <row r="520" spans="13:15" x14ac:dyDescent="0.25">
      <c r="M520" s="38"/>
      <c r="N520" s="52"/>
      <c r="O520" s="52"/>
    </row>
    <row r="521" spans="13:15" x14ac:dyDescent="0.25">
      <c r="M521" s="38"/>
      <c r="N521" s="52"/>
      <c r="O521" s="52"/>
    </row>
    <row r="522" spans="13:15" x14ac:dyDescent="0.25">
      <c r="M522" s="38"/>
      <c r="N522" s="52"/>
      <c r="O522" s="52"/>
    </row>
    <row r="523" spans="13:15" x14ac:dyDescent="0.25">
      <c r="M523" s="38"/>
      <c r="N523" s="52"/>
      <c r="O523" s="52"/>
    </row>
    <row r="524" spans="13:15" x14ac:dyDescent="0.25">
      <c r="M524" s="38"/>
      <c r="N524" s="52"/>
      <c r="O524" s="52"/>
    </row>
    <row r="525" spans="13:15" x14ac:dyDescent="0.25">
      <c r="M525" s="38"/>
      <c r="N525" s="52"/>
      <c r="O525" s="52"/>
    </row>
    <row r="526" spans="13:15" x14ac:dyDescent="0.25">
      <c r="M526" s="38"/>
      <c r="N526" s="52"/>
      <c r="O526" s="52"/>
    </row>
    <row r="527" spans="13:15" x14ac:dyDescent="0.25">
      <c r="M527" s="38"/>
      <c r="N527" s="52"/>
      <c r="O527" s="52"/>
    </row>
    <row r="528" spans="13:15" x14ac:dyDescent="0.25">
      <c r="M528" s="38"/>
      <c r="N528" s="52"/>
      <c r="O528" s="52"/>
    </row>
    <row r="529" spans="13:15" x14ac:dyDescent="0.25">
      <c r="M529" s="38"/>
      <c r="N529" s="52"/>
      <c r="O529" s="52"/>
    </row>
    <row r="530" spans="13:15" x14ac:dyDescent="0.25">
      <c r="M530" s="38"/>
      <c r="N530" s="52"/>
      <c r="O530" s="52"/>
    </row>
    <row r="531" spans="13:15" x14ac:dyDescent="0.25">
      <c r="M531" s="38"/>
      <c r="N531" s="52"/>
      <c r="O531" s="52"/>
    </row>
    <row r="532" spans="13:15" x14ac:dyDescent="0.25">
      <c r="M532" s="38"/>
      <c r="N532" s="52"/>
      <c r="O532" s="52"/>
    </row>
    <row r="533" spans="13:15" x14ac:dyDescent="0.25">
      <c r="M533" s="38"/>
      <c r="N533" s="52"/>
      <c r="O533" s="52"/>
    </row>
    <row r="534" spans="13:15" x14ac:dyDescent="0.25">
      <c r="M534" s="38"/>
      <c r="N534" s="52"/>
      <c r="O534" s="52"/>
    </row>
    <row r="535" spans="13:15" x14ac:dyDescent="0.25">
      <c r="M535" s="38"/>
      <c r="N535" s="52"/>
      <c r="O535" s="52"/>
    </row>
    <row r="536" spans="13:15" x14ac:dyDescent="0.25">
      <c r="M536" s="38"/>
      <c r="N536" s="52"/>
      <c r="O536" s="52"/>
    </row>
    <row r="537" spans="13:15" x14ac:dyDescent="0.25">
      <c r="M537" s="38"/>
      <c r="N537" s="52"/>
      <c r="O537" s="52"/>
    </row>
    <row r="538" spans="13:15" x14ac:dyDescent="0.25">
      <c r="M538" s="38"/>
      <c r="N538" s="52"/>
      <c r="O538" s="52"/>
    </row>
    <row r="539" spans="13:15" x14ac:dyDescent="0.25">
      <c r="M539" s="38"/>
      <c r="N539" s="52"/>
      <c r="O539" s="52"/>
    </row>
    <row r="540" spans="13:15" x14ac:dyDescent="0.25">
      <c r="M540" s="38"/>
      <c r="N540" s="52"/>
      <c r="O540" s="52"/>
    </row>
    <row r="541" spans="13:15" x14ac:dyDescent="0.25">
      <c r="M541" s="38"/>
      <c r="N541" s="52"/>
      <c r="O541" s="52"/>
    </row>
    <row r="542" spans="13:15" x14ac:dyDescent="0.25">
      <c r="M542" s="38"/>
      <c r="N542" s="52"/>
      <c r="O542" s="52"/>
    </row>
    <row r="543" spans="13:15" x14ac:dyDescent="0.25">
      <c r="M543" s="38"/>
      <c r="N543" s="52"/>
      <c r="O543" s="52"/>
    </row>
    <row r="544" spans="13:15" x14ac:dyDescent="0.25">
      <c r="M544" s="38"/>
      <c r="N544" s="52"/>
      <c r="O544" s="52"/>
    </row>
    <row r="545" spans="13:15" x14ac:dyDescent="0.25">
      <c r="M545" s="38"/>
      <c r="N545" s="52"/>
      <c r="O545" s="52"/>
    </row>
    <row r="546" spans="13:15" x14ac:dyDescent="0.25">
      <c r="M546" s="38"/>
      <c r="N546" s="52"/>
      <c r="O546" s="52"/>
    </row>
    <row r="547" spans="13:15" x14ac:dyDescent="0.25">
      <c r="M547" s="38"/>
      <c r="N547" s="52"/>
      <c r="O547" s="52"/>
    </row>
    <row r="548" spans="13:15" x14ac:dyDescent="0.25">
      <c r="M548" s="38"/>
      <c r="N548" s="52"/>
      <c r="O548" s="52"/>
    </row>
    <row r="549" spans="13:15" x14ac:dyDescent="0.25">
      <c r="M549" s="38"/>
      <c r="N549" s="52"/>
      <c r="O549" s="52"/>
    </row>
    <row r="550" spans="13:15" x14ac:dyDescent="0.25">
      <c r="M550" s="38"/>
      <c r="N550" s="52"/>
      <c r="O550" s="52"/>
    </row>
    <row r="551" spans="13:15" x14ac:dyDescent="0.25">
      <c r="M551" s="38"/>
      <c r="N551" s="52"/>
      <c r="O551" s="52"/>
    </row>
    <row r="552" spans="13:15" x14ac:dyDescent="0.25">
      <c r="M552" s="38"/>
      <c r="N552" s="52"/>
      <c r="O552" s="52"/>
    </row>
    <row r="553" spans="13:15" x14ac:dyDescent="0.25">
      <c r="M553" s="38"/>
      <c r="N553" s="52"/>
      <c r="O553" s="52"/>
    </row>
    <row r="554" spans="13:15" x14ac:dyDescent="0.25">
      <c r="M554" s="38"/>
      <c r="N554" s="52"/>
      <c r="O554" s="52"/>
    </row>
    <row r="555" spans="13:15" x14ac:dyDescent="0.25">
      <c r="M555" s="38"/>
      <c r="N555" s="52"/>
      <c r="O555" s="52"/>
    </row>
    <row r="556" spans="13:15" x14ac:dyDescent="0.25">
      <c r="M556" s="38"/>
      <c r="N556" s="52"/>
      <c r="O556" s="52"/>
    </row>
    <row r="557" spans="13:15" x14ac:dyDescent="0.25">
      <c r="M557" s="38"/>
      <c r="N557" s="52"/>
      <c r="O557" s="52"/>
    </row>
    <row r="558" spans="13:15" x14ac:dyDescent="0.25">
      <c r="M558" s="38"/>
      <c r="N558" s="52"/>
      <c r="O558" s="52"/>
    </row>
    <row r="559" spans="13:15" x14ac:dyDescent="0.25">
      <c r="M559" s="38"/>
      <c r="N559" s="52"/>
      <c r="O559" s="52"/>
    </row>
    <row r="560" spans="13:15" x14ac:dyDescent="0.25">
      <c r="M560" s="38"/>
      <c r="N560" s="52"/>
      <c r="O560" s="52"/>
    </row>
    <row r="561" spans="13:15" x14ac:dyDescent="0.25">
      <c r="M561" s="38"/>
      <c r="N561" s="52"/>
      <c r="O561" s="52"/>
    </row>
    <row r="562" spans="13:15" x14ac:dyDescent="0.25">
      <c r="M562" s="38"/>
      <c r="N562" s="52"/>
      <c r="O562" s="52"/>
    </row>
    <row r="563" spans="13:15" x14ac:dyDescent="0.25">
      <c r="M563" s="38"/>
      <c r="N563" s="52"/>
      <c r="O563" s="52"/>
    </row>
    <row r="564" spans="13:15" x14ac:dyDescent="0.25">
      <c r="M564" s="38"/>
      <c r="N564" s="52"/>
      <c r="O564" s="52"/>
    </row>
    <row r="565" spans="13:15" x14ac:dyDescent="0.25">
      <c r="M565" s="38"/>
      <c r="N565" s="52"/>
      <c r="O565" s="52"/>
    </row>
    <row r="566" spans="13:15" x14ac:dyDescent="0.25">
      <c r="M566" s="38"/>
      <c r="N566" s="52"/>
      <c r="O566" s="52"/>
    </row>
    <row r="567" spans="13:15" x14ac:dyDescent="0.25">
      <c r="M567" s="38"/>
      <c r="N567" s="52"/>
      <c r="O567" s="52"/>
    </row>
    <row r="568" spans="13:15" x14ac:dyDescent="0.25">
      <c r="M568" s="38"/>
      <c r="N568" s="52"/>
      <c r="O568" s="52"/>
    </row>
    <row r="569" spans="13:15" x14ac:dyDescent="0.25">
      <c r="M569" s="38"/>
      <c r="N569" s="52"/>
      <c r="O569" s="52"/>
    </row>
    <row r="570" spans="13:15" x14ac:dyDescent="0.25">
      <c r="M570" s="38"/>
      <c r="N570" s="52"/>
      <c r="O570" s="52"/>
    </row>
    <row r="571" spans="13:15" x14ac:dyDescent="0.25">
      <c r="M571" s="38"/>
      <c r="N571" s="52"/>
      <c r="O571" s="52"/>
    </row>
    <row r="572" spans="13:15" x14ac:dyDescent="0.25">
      <c r="M572" s="38"/>
      <c r="N572" s="52"/>
      <c r="O572" s="52"/>
    </row>
    <row r="573" spans="13:15" x14ac:dyDescent="0.25">
      <c r="M573" s="38"/>
      <c r="N573" s="52"/>
      <c r="O573" s="52"/>
    </row>
    <row r="574" spans="13:15" x14ac:dyDescent="0.25">
      <c r="M574" s="38"/>
      <c r="N574" s="52"/>
      <c r="O574" s="52"/>
    </row>
    <row r="575" spans="13:15" x14ac:dyDescent="0.25">
      <c r="M575" s="38"/>
      <c r="N575" s="52"/>
      <c r="O575" s="52"/>
    </row>
    <row r="576" spans="13:15" x14ac:dyDescent="0.25">
      <c r="M576" s="38"/>
      <c r="N576" s="52"/>
      <c r="O576" s="52"/>
    </row>
    <row r="577" spans="13:15" x14ac:dyDescent="0.25">
      <c r="M577" s="38"/>
      <c r="N577" s="52"/>
      <c r="O577" s="52"/>
    </row>
    <row r="578" spans="13:15" x14ac:dyDescent="0.25">
      <c r="M578" s="38"/>
      <c r="N578" s="52"/>
      <c r="O578" s="52"/>
    </row>
    <row r="579" spans="13:15" x14ac:dyDescent="0.25">
      <c r="M579" s="38"/>
      <c r="N579" s="52"/>
      <c r="O579" s="52"/>
    </row>
    <row r="580" spans="13:15" x14ac:dyDescent="0.25">
      <c r="M580" s="38"/>
      <c r="N580" s="52"/>
      <c r="O580" s="52"/>
    </row>
    <row r="581" spans="13:15" x14ac:dyDescent="0.25">
      <c r="M581" s="38"/>
      <c r="N581" s="52"/>
      <c r="O581" s="52"/>
    </row>
    <row r="582" spans="13:15" x14ac:dyDescent="0.25">
      <c r="M582" s="38"/>
      <c r="N582" s="52"/>
      <c r="O582" s="52"/>
    </row>
    <row r="583" spans="13:15" x14ac:dyDescent="0.25">
      <c r="M583" s="38"/>
      <c r="N583" s="52"/>
      <c r="O583" s="52"/>
    </row>
    <row r="584" spans="13:15" x14ac:dyDescent="0.25">
      <c r="M584" s="38"/>
      <c r="N584" s="52"/>
      <c r="O584" s="52"/>
    </row>
    <row r="585" spans="13:15" x14ac:dyDescent="0.25">
      <c r="M585" s="38"/>
      <c r="N585" s="52"/>
      <c r="O585" s="52"/>
    </row>
    <row r="586" spans="13:15" x14ac:dyDescent="0.25">
      <c r="M586" s="38"/>
      <c r="N586" s="52"/>
      <c r="O586" s="52"/>
    </row>
    <row r="587" spans="13:15" x14ac:dyDescent="0.25">
      <c r="M587" s="38"/>
      <c r="N587" s="52"/>
      <c r="O587" s="52"/>
    </row>
    <row r="588" spans="13:15" x14ac:dyDescent="0.25">
      <c r="M588" s="38"/>
      <c r="N588" s="52"/>
      <c r="O588" s="52"/>
    </row>
    <row r="589" spans="13:15" x14ac:dyDescent="0.25">
      <c r="M589" s="38"/>
      <c r="N589" s="52"/>
      <c r="O589" s="52"/>
    </row>
    <row r="590" spans="13:15" x14ac:dyDescent="0.25">
      <c r="M590" s="38"/>
      <c r="N590" s="52"/>
      <c r="O590" s="52"/>
    </row>
    <row r="591" spans="13:15" x14ac:dyDescent="0.25">
      <c r="M591" s="38"/>
      <c r="N591" s="52"/>
      <c r="O591" s="52"/>
    </row>
    <row r="592" spans="13:15" x14ac:dyDescent="0.25">
      <c r="M592" s="38"/>
      <c r="N592" s="52"/>
      <c r="O592" s="52"/>
    </row>
    <row r="593" spans="13:15" x14ac:dyDescent="0.25">
      <c r="M593" s="38"/>
      <c r="N593" s="52"/>
      <c r="O593" s="52"/>
    </row>
    <row r="594" spans="13:15" x14ac:dyDescent="0.25">
      <c r="M594" s="38"/>
      <c r="N594" s="52"/>
      <c r="O594" s="52"/>
    </row>
    <row r="595" spans="13:15" x14ac:dyDescent="0.25">
      <c r="M595" s="38"/>
      <c r="N595" s="52"/>
      <c r="O595" s="52"/>
    </row>
    <row r="596" spans="13:15" x14ac:dyDescent="0.25">
      <c r="M596" s="38"/>
      <c r="N596" s="52"/>
      <c r="O596" s="52"/>
    </row>
    <row r="597" spans="13:15" x14ac:dyDescent="0.25">
      <c r="M597" s="38"/>
      <c r="N597" s="52"/>
      <c r="O597" s="52"/>
    </row>
    <row r="598" spans="13:15" x14ac:dyDescent="0.25">
      <c r="M598" s="38"/>
      <c r="N598" s="52"/>
      <c r="O598" s="52"/>
    </row>
    <row r="599" spans="13:15" x14ac:dyDescent="0.25">
      <c r="M599" s="38"/>
      <c r="N599" s="52"/>
      <c r="O599" s="52"/>
    </row>
    <row r="600" spans="13:15" x14ac:dyDescent="0.25">
      <c r="M600" s="38"/>
      <c r="N600" s="52"/>
      <c r="O600" s="52"/>
    </row>
    <row r="601" spans="13:15" x14ac:dyDescent="0.25">
      <c r="M601" s="38"/>
      <c r="N601" s="52"/>
      <c r="O601" s="52"/>
    </row>
    <row r="602" spans="13:15" x14ac:dyDescent="0.25">
      <c r="M602" s="38"/>
      <c r="N602" s="52"/>
      <c r="O602" s="52"/>
    </row>
    <row r="603" spans="13:15" x14ac:dyDescent="0.25">
      <c r="M603" s="38"/>
      <c r="N603" s="52"/>
      <c r="O603" s="52"/>
    </row>
    <row r="604" spans="13:15" x14ac:dyDescent="0.25">
      <c r="M604" s="38"/>
      <c r="N604" s="52"/>
      <c r="O604" s="52"/>
    </row>
    <row r="605" spans="13:15" x14ac:dyDescent="0.25">
      <c r="M605" s="38"/>
      <c r="N605" s="52"/>
      <c r="O605" s="52"/>
    </row>
    <row r="606" spans="13:15" x14ac:dyDescent="0.25">
      <c r="M606" s="38"/>
      <c r="N606" s="52"/>
      <c r="O606" s="52"/>
    </row>
    <row r="607" spans="13:15" x14ac:dyDescent="0.25">
      <c r="M607" s="38"/>
      <c r="N607" s="52"/>
      <c r="O607" s="52"/>
    </row>
    <row r="608" spans="13:15" x14ac:dyDescent="0.25">
      <c r="M608" s="38"/>
      <c r="N608" s="52"/>
      <c r="O608" s="52"/>
    </row>
    <row r="609" spans="13:15" x14ac:dyDescent="0.25">
      <c r="M609" s="38"/>
      <c r="N609" s="52"/>
      <c r="O609" s="52"/>
    </row>
    <row r="610" spans="13:15" x14ac:dyDescent="0.25">
      <c r="M610" s="38"/>
      <c r="N610" s="52"/>
      <c r="O610" s="52"/>
    </row>
    <row r="611" spans="13:15" x14ac:dyDescent="0.25">
      <c r="M611" s="38"/>
      <c r="N611" s="52"/>
      <c r="O611" s="52"/>
    </row>
    <row r="612" spans="13:15" x14ac:dyDescent="0.25">
      <c r="M612" s="38"/>
      <c r="N612" s="52"/>
      <c r="O612" s="52"/>
    </row>
    <row r="613" spans="13:15" x14ac:dyDescent="0.25">
      <c r="M613" s="38"/>
      <c r="N613" s="52"/>
      <c r="O613" s="52"/>
    </row>
    <row r="614" spans="13:15" x14ac:dyDescent="0.25">
      <c r="M614" s="38"/>
      <c r="N614" s="52"/>
      <c r="O614" s="52"/>
    </row>
    <row r="615" spans="13:15" x14ac:dyDescent="0.25">
      <c r="M615" s="38"/>
      <c r="N615" s="52"/>
      <c r="O615" s="52"/>
    </row>
    <row r="616" spans="13:15" x14ac:dyDescent="0.25">
      <c r="M616" s="38"/>
      <c r="N616" s="52"/>
      <c r="O616" s="52"/>
    </row>
    <row r="617" spans="13:15" x14ac:dyDescent="0.25">
      <c r="M617" s="38"/>
      <c r="N617" s="52"/>
      <c r="O617" s="52"/>
    </row>
    <row r="618" spans="13:15" x14ac:dyDescent="0.25">
      <c r="M618" s="38"/>
      <c r="N618" s="52"/>
      <c r="O618" s="52"/>
    </row>
    <row r="619" spans="13:15" x14ac:dyDescent="0.25">
      <c r="M619" s="38"/>
      <c r="N619" s="52"/>
      <c r="O619" s="52"/>
    </row>
    <row r="620" spans="13:15" x14ac:dyDescent="0.25">
      <c r="M620" s="38"/>
      <c r="N620" s="52"/>
      <c r="O620" s="52"/>
    </row>
    <row r="621" spans="13:15" x14ac:dyDescent="0.25">
      <c r="M621" s="38"/>
      <c r="N621" s="52"/>
      <c r="O621" s="52"/>
    </row>
    <row r="622" spans="13:15" x14ac:dyDescent="0.25">
      <c r="M622" s="38"/>
      <c r="N622" s="52"/>
      <c r="O622" s="52"/>
    </row>
    <row r="623" spans="13:15" x14ac:dyDescent="0.25">
      <c r="M623" s="38"/>
      <c r="N623" s="52"/>
      <c r="O623" s="52"/>
    </row>
    <row r="624" spans="13:15" x14ac:dyDescent="0.25">
      <c r="M624" s="38"/>
      <c r="N624" s="52"/>
      <c r="O624" s="52"/>
    </row>
    <row r="625" spans="13:15" x14ac:dyDescent="0.25">
      <c r="M625" s="38"/>
      <c r="N625" s="52"/>
      <c r="O625" s="52"/>
    </row>
    <row r="626" spans="13:15" x14ac:dyDescent="0.25">
      <c r="M626" s="38"/>
      <c r="N626" s="52"/>
      <c r="O626" s="52"/>
    </row>
    <row r="627" spans="13:15" x14ac:dyDescent="0.25">
      <c r="M627" s="38"/>
      <c r="N627" s="52"/>
      <c r="O627" s="52"/>
    </row>
    <row r="628" spans="13:15" x14ac:dyDescent="0.25">
      <c r="M628" s="38"/>
      <c r="N628" s="52"/>
      <c r="O628" s="52"/>
    </row>
    <row r="629" spans="13:15" x14ac:dyDescent="0.25">
      <c r="M629" s="38"/>
      <c r="N629" s="52"/>
      <c r="O629" s="52"/>
    </row>
    <row r="630" spans="13:15" x14ac:dyDescent="0.25">
      <c r="M630" s="38"/>
      <c r="N630" s="52"/>
      <c r="O630" s="52"/>
    </row>
    <row r="631" spans="13:15" x14ac:dyDescent="0.25">
      <c r="M631" s="38"/>
      <c r="N631" s="52"/>
      <c r="O631" s="52"/>
    </row>
    <row r="632" spans="13:15" x14ac:dyDescent="0.25">
      <c r="M632" s="38"/>
      <c r="N632" s="52"/>
      <c r="O632" s="52"/>
    </row>
    <row r="633" spans="13:15" x14ac:dyDescent="0.25">
      <c r="M633" s="38"/>
      <c r="N633" s="52"/>
      <c r="O633" s="52"/>
    </row>
    <row r="634" spans="13:15" x14ac:dyDescent="0.25">
      <c r="M634" s="38"/>
      <c r="N634" s="52"/>
      <c r="O634" s="52"/>
    </row>
    <row r="635" spans="13:15" x14ac:dyDescent="0.25">
      <c r="M635" s="38"/>
      <c r="N635" s="52"/>
      <c r="O635" s="52"/>
    </row>
    <row r="636" spans="13:15" x14ac:dyDescent="0.25">
      <c r="M636" s="38"/>
      <c r="N636" s="52"/>
      <c r="O636" s="52"/>
    </row>
    <row r="637" spans="13:15" x14ac:dyDescent="0.25">
      <c r="M637" s="38"/>
      <c r="N637" s="52"/>
      <c r="O637" s="52"/>
    </row>
    <row r="638" spans="13:15" x14ac:dyDescent="0.25">
      <c r="M638" s="38"/>
      <c r="N638" s="52"/>
      <c r="O638" s="52"/>
    </row>
    <row r="639" spans="13:15" x14ac:dyDescent="0.25">
      <c r="M639" s="38"/>
      <c r="N639" s="52"/>
      <c r="O639" s="52"/>
    </row>
    <row r="640" spans="13:15" x14ac:dyDescent="0.25">
      <c r="M640" s="38"/>
      <c r="N640" s="52"/>
      <c r="O640" s="52"/>
    </row>
    <row r="641" spans="13:15" x14ac:dyDescent="0.25">
      <c r="M641" s="38"/>
      <c r="N641" s="52"/>
      <c r="O641" s="52"/>
    </row>
    <row r="642" spans="13:15" x14ac:dyDescent="0.25">
      <c r="M642" s="38"/>
      <c r="N642" s="52"/>
      <c r="O642" s="52"/>
    </row>
    <row r="643" spans="13:15" x14ac:dyDescent="0.25">
      <c r="M643" s="38"/>
      <c r="N643" s="52"/>
      <c r="O643" s="52"/>
    </row>
    <row r="644" spans="13:15" x14ac:dyDescent="0.25">
      <c r="M644" s="38"/>
      <c r="N644" s="52"/>
      <c r="O644" s="52"/>
    </row>
    <row r="645" spans="13:15" x14ac:dyDescent="0.25">
      <c r="M645" s="38"/>
      <c r="N645" s="52"/>
      <c r="O645" s="52"/>
    </row>
    <row r="646" spans="13:15" x14ac:dyDescent="0.25">
      <c r="M646" s="38"/>
      <c r="N646" s="52"/>
      <c r="O646" s="52"/>
    </row>
    <row r="647" spans="13:15" x14ac:dyDescent="0.25">
      <c r="M647" s="38"/>
      <c r="N647" s="52"/>
      <c r="O647" s="52"/>
    </row>
    <row r="648" spans="13:15" x14ac:dyDescent="0.25">
      <c r="M648" s="38"/>
      <c r="N648" s="52"/>
      <c r="O648" s="52"/>
    </row>
    <row r="649" spans="13:15" x14ac:dyDescent="0.25">
      <c r="M649" s="38"/>
      <c r="N649" s="52"/>
      <c r="O649" s="52"/>
    </row>
    <row r="650" spans="13:15" x14ac:dyDescent="0.25">
      <c r="M650" s="38"/>
      <c r="N650" s="52"/>
      <c r="O650" s="52"/>
    </row>
    <row r="651" spans="13:15" x14ac:dyDescent="0.25">
      <c r="M651" s="38"/>
      <c r="N651" s="52"/>
      <c r="O651" s="52"/>
    </row>
    <row r="652" spans="13:15" x14ac:dyDescent="0.25">
      <c r="M652" s="38"/>
      <c r="N652" s="52"/>
      <c r="O652" s="52"/>
    </row>
    <row r="653" spans="13:15" x14ac:dyDescent="0.25">
      <c r="M653" s="38"/>
      <c r="N653" s="52"/>
      <c r="O653" s="52"/>
    </row>
    <row r="654" spans="13:15" x14ac:dyDescent="0.25">
      <c r="M654" s="38"/>
      <c r="N654" s="52"/>
      <c r="O654" s="52"/>
    </row>
    <row r="655" spans="13:15" x14ac:dyDescent="0.25">
      <c r="M655" s="38"/>
      <c r="N655" s="52"/>
      <c r="O655" s="52"/>
    </row>
    <row r="656" spans="13:15" x14ac:dyDescent="0.25">
      <c r="M656" s="38"/>
      <c r="N656" s="52"/>
      <c r="O656" s="52"/>
    </row>
    <row r="657" spans="13:15" x14ac:dyDescent="0.25">
      <c r="M657" s="38"/>
      <c r="N657" s="52"/>
      <c r="O657" s="52"/>
    </row>
    <row r="658" spans="13:15" x14ac:dyDescent="0.25">
      <c r="M658" s="38"/>
      <c r="N658" s="52"/>
      <c r="O658" s="52"/>
    </row>
    <row r="659" spans="13:15" x14ac:dyDescent="0.25">
      <c r="M659" s="38"/>
      <c r="N659" s="52"/>
      <c r="O659" s="52"/>
    </row>
    <row r="660" spans="13:15" x14ac:dyDescent="0.25">
      <c r="M660" s="38"/>
      <c r="N660" s="52"/>
      <c r="O660" s="52"/>
    </row>
    <row r="661" spans="13:15" x14ac:dyDescent="0.25">
      <c r="M661" s="38"/>
      <c r="N661" s="52"/>
      <c r="O661" s="52"/>
    </row>
    <row r="662" spans="13:15" x14ac:dyDescent="0.25">
      <c r="M662" s="38"/>
      <c r="N662" s="52"/>
      <c r="O662" s="52"/>
    </row>
    <row r="663" spans="13:15" x14ac:dyDescent="0.25">
      <c r="M663" s="38"/>
      <c r="N663" s="52"/>
      <c r="O663" s="52"/>
    </row>
    <row r="664" spans="13:15" x14ac:dyDescent="0.25">
      <c r="M664" s="38"/>
      <c r="N664" s="52"/>
      <c r="O664" s="52"/>
    </row>
    <row r="665" spans="13:15" x14ac:dyDescent="0.25">
      <c r="M665" s="38"/>
      <c r="N665" s="52"/>
      <c r="O665" s="52"/>
    </row>
    <row r="666" spans="13:15" x14ac:dyDescent="0.25">
      <c r="M666" s="38"/>
      <c r="N666" s="52"/>
      <c r="O666" s="52"/>
    </row>
    <row r="667" spans="13:15" x14ac:dyDescent="0.25">
      <c r="M667" s="38"/>
      <c r="N667" s="52"/>
      <c r="O667" s="52"/>
    </row>
    <row r="668" spans="13:15" x14ac:dyDescent="0.25">
      <c r="M668" s="38"/>
      <c r="N668" s="52"/>
      <c r="O668" s="52"/>
    </row>
    <row r="669" spans="13:15" x14ac:dyDescent="0.25">
      <c r="M669" s="38"/>
      <c r="N669" s="52"/>
      <c r="O669" s="52"/>
    </row>
    <row r="670" spans="13:15" x14ac:dyDescent="0.25">
      <c r="M670" s="38"/>
      <c r="N670" s="52"/>
      <c r="O670" s="52"/>
    </row>
    <row r="671" spans="13:15" x14ac:dyDescent="0.25">
      <c r="M671" s="38"/>
      <c r="N671" s="52"/>
      <c r="O671" s="52"/>
    </row>
    <row r="672" spans="13:15" x14ac:dyDescent="0.25">
      <c r="M672" s="38"/>
      <c r="N672" s="52"/>
      <c r="O672" s="52"/>
    </row>
    <row r="673" spans="13:15" x14ac:dyDescent="0.25">
      <c r="M673" s="38"/>
      <c r="N673" s="52"/>
      <c r="O673" s="52"/>
    </row>
    <row r="674" spans="13:15" x14ac:dyDescent="0.25">
      <c r="M674" s="38"/>
      <c r="N674" s="52"/>
      <c r="O674" s="52"/>
    </row>
    <row r="675" spans="13:15" x14ac:dyDescent="0.25">
      <c r="M675" s="38"/>
      <c r="N675" s="52"/>
      <c r="O675" s="52"/>
    </row>
    <row r="676" spans="13:15" x14ac:dyDescent="0.25">
      <c r="M676" s="38"/>
      <c r="N676" s="52"/>
      <c r="O676" s="52"/>
    </row>
    <row r="677" spans="13:15" x14ac:dyDescent="0.25">
      <c r="M677" s="38"/>
      <c r="N677" s="52"/>
      <c r="O677" s="52"/>
    </row>
    <row r="678" spans="13:15" x14ac:dyDescent="0.25">
      <c r="M678" s="38"/>
      <c r="N678" s="52"/>
      <c r="O678" s="52"/>
    </row>
    <row r="679" spans="13:15" x14ac:dyDescent="0.25">
      <c r="M679" s="38"/>
      <c r="N679" s="52"/>
      <c r="O679" s="52"/>
    </row>
    <row r="680" spans="13:15" x14ac:dyDescent="0.25">
      <c r="M680" s="38"/>
      <c r="N680" s="52"/>
      <c r="O680" s="52"/>
    </row>
    <row r="681" spans="13:15" x14ac:dyDescent="0.25">
      <c r="M681" s="38"/>
      <c r="N681" s="52"/>
      <c r="O681" s="52"/>
    </row>
    <row r="682" spans="13:15" x14ac:dyDescent="0.25">
      <c r="M682" s="38"/>
      <c r="N682" s="52"/>
      <c r="O682" s="52"/>
    </row>
    <row r="683" spans="13:15" x14ac:dyDescent="0.25">
      <c r="M683" s="38"/>
      <c r="N683" s="52"/>
      <c r="O683" s="52"/>
    </row>
    <row r="684" spans="13:15" x14ac:dyDescent="0.25">
      <c r="M684" s="38"/>
      <c r="N684" s="52"/>
      <c r="O684" s="52"/>
    </row>
    <row r="685" spans="13:15" x14ac:dyDescent="0.25">
      <c r="M685" s="38"/>
      <c r="N685" s="52"/>
      <c r="O685" s="52"/>
    </row>
    <row r="686" spans="13:15" x14ac:dyDescent="0.25">
      <c r="M686" s="38"/>
      <c r="N686" s="52"/>
      <c r="O686" s="52"/>
    </row>
    <row r="687" spans="13:15" x14ac:dyDescent="0.25">
      <c r="M687" s="38"/>
      <c r="N687" s="52"/>
      <c r="O687" s="52"/>
    </row>
    <row r="688" spans="13:15" x14ac:dyDescent="0.25">
      <c r="M688" s="38"/>
      <c r="N688" s="52"/>
      <c r="O688" s="52"/>
    </row>
    <row r="689" spans="13:15" x14ac:dyDescent="0.25">
      <c r="M689" s="38"/>
      <c r="N689" s="52"/>
      <c r="O689" s="52"/>
    </row>
    <row r="690" spans="13:15" x14ac:dyDescent="0.25">
      <c r="M690" s="38"/>
      <c r="N690" s="52"/>
      <c r="O690" s="52"/>
    </row>
    <row r="691" spans="13:15" x14ac:dyDescent="0.25">
      <c r="M691" s="38"/>
      <c r="N691" s="52"/>
      <c r="O691" s="52"/>
    </row>
    <row r="692" spans="13:15" x14ac:dyDescent="0.25">
      <c r="M692" s="38"/>
      <c r="N692" s="52"/>
      <c r="O692" s="52"/>
    </row>
    <row r="693" spans="13:15" x14ac:dyDescent="0.25">
      <c r="M693" s="38"/>
      <c r="N693" s="52"/>
      <c r="O693" s="52"/>
    </row>
    <row r="694" spans="13:15" x14ac:dyDescent="0.25">
      <c r="M694" s="38"/>
      <c r="N694" s="52"/>
      <c r="O694" s="52"/>
    </row>
    <row r="695" spans="13:15" x14ac:dyDescent="0.25">
      <c r="M695" s="38"/>
      <c r="N695" s="52"/>
      <c r="O695" s="52"/>
    </row>
    <row r="696" spans="13:15" x14ac:dyDescent="0.25">
      <c r="M696" s="38"/>
      <c r="N696" s="52"/>
      <c r="O696" s="52"/>
    </row>
    <row r="697" spans="13:15" x14ac:dyDescent="0.25">
      <c r="M697" s="38"/>
      <c r="N697" s="52"/>
      <c r="O697" s="52"/>
    </row>
    <row r="698" spans="13:15" x14ac:dyDescent="0.25">
      <c r="M698" s="38"/>
      <c r="N698" s="52"/>
      <c r="O698" s="52"/>
    </row>
    <row r="699" spans="13:15" x14ac:dyDescent="0.25">
      <c r="M699" s="38"/>
      <c r="N699" s="52"/>
      <c r="O699" s="52"/>
    </row>
    <row r="700" spans="13:15" x14ac:dyDescent="0.25">
      <c r="M700" s="38"/>
      <c r="N700" s="52"/>
      <c r="O700" s="52"/>
    </row>
    <row r="701" spans="13:15" x14ac:dyDescent="0.25">
      <c r="M701" s="38"/>
      <c r="N701" s="52"/>
      <c r="O701" s="52"/>
    </row>
    <row r="702" spans="13:15" x14ac:dyDescent="0.25">
      <c r="M702" s="38"/>
      <c r="N702" s="52"/>
      <c r="O702" s="52"/>
    </row>
    <row r="703" spans="13:15" x14ac:dyDescent="0.25">
      <c r="M703" s="38"/>
      <c r="N703" s="52"/>
      <c r="O703" s="52"/>
    </row>
    <row r="704" spans="13:15" x14ac:dyDescent="0.25">
      <c r="M704" s="38"/>
      <c r="N704" s="52"/>
      <c r="O704" s="52"/>
    </row>
    <row r="705" spans="13:15" x14ac:dyDescent="0.25">
      <c r="M705" s="38"/>
      <c r="N705" s="52"/>
      <c r="O705" s="52"/>
    </row>
    <row r="706" spans="13:15" x14ac:dyDescent="0.25">
      <c r="M706" s="38"/>
      <c r="N706" s="52"/>
      <c r="O706" s="52"/>
    </row>
    <row r="707" spans="13:15" x14ac:dyDescent="0.25">
      <c r="M707" s="38"/>
      <c r="N707" s="52"/>
      <c r="O707" s="52"/>
    </row>
    <row r="708" spans="13:15" x14ac:dyDescent="0.25">
      <c r="M708" s="38"/>
      <c r="N708" s="52"/>
      <c r="O708" s="52"/>
    </row>
    <row r="709" spans="13:15" x14ac:dyDescent="0.25">
      <c r="M709" s="38"/>
      <c r="N709" s="52"/>
      <c r="O709" s="52"/>
    </row>
    <row r="710" spans="13:15" x14ac:dyDescent="0.25">
      <c r="M710" s="38"/>
      <c r="N710" s="52"/>
      <c r="O710" s="52"/>
    </row>
    <row r="711" spans="13:15" x14ac:dyDescent="0.25">
      <c r="M711" s="38"/>
      <c r="N711" s="52"/>
      <c r="O711" s="52"/>
    </row>
    <row r="712" spans="13:15" x14ac:dyDescent="0.25">
      <c r="M712" s="38"/>
      <c r="N712" s="52"/>
      <c r="O712" s="52"/>
    </row>
    <row r="713" spans="13:15" x14ac:dyDescent="0.25">
      <c r="M713" s="38"/>
      <c r="N713" s="52"/>
      <c r="O713" s="52"/>
    </row>
    <row r="714" spans="13:15" x14ac:dyDescent="0.25">
      <c r="M714" s="38"/>
      <c r="N714" s="52"/>
      <c r="O714" s="52"/>
    </row>
    <row r="715" spans="13:15" x14ac:dyDescent="0.25">
      <c r="M715" s="38"/>
      <c r="N715" s="52"/>
      <c r="O715" s="52"/>
    </row>
    <row r="716" spans="13:15" x14ac:dyDescent="0.25">
      <c r="M716" s="38"/>
      <c r="N716" s="52"/>
      <c r="O716" s="52"/>
    </row>
    <row r="717" spans="13:15" x14ac:dyDescent="0.25">
      <c r="M717" s="38"/>
      <c r="N717" s="52"/>
      <c r="O717" s="52"/>
    </row>
    <row r="718" spans="13:15" x14ac:dyDescent="0.25">
      <c r="M718" s="38"/>
      <c r="N718" s="52"/>
      <c r="O718" s="52"/>
    </row>
    <row r="719" spans="13:15" x14ac:dyDescent="0.25">
      <c r="M719" s="38"/>
      <c r="N719" s="52"/>
      <c r="O719" s="52"/>
    </row>
    <row r="720" spans="13:15" x14ac:dyDescent="0.25">
      <c r="M720" s="38"/>
      <c r="N720" s="52"/>
      <c r="O720" s="52"/>
    </row>
    <row r="721" spans="13:15" x14ac:dyDescent="0.25">
      <c r="M721" s="38"/>
      <c r="N721" s="52"/>
      <c r="O721" s="52"/>
    </row>
    <row r="722" spans="13:15" x14ac:dyDescent="0.25">
      <c r="M722" s="38"/>
      <c r="N722" s="52"/>
      <c r="O722" s="52"/>
    </row>
    <row r="723" spans="13:15" x14ac:dyDescent="0.25">
      <c r="M723" s="38"/>
      <c r="N723" s="52"/>
      <c r="O723" s="52"/>
    </row>
    <row r="724" spans="13:15" x14ac:dyDescent="0.25">
      <c r="M724" s="38"/>
      <c r="N724" s="52"/>
      <c r="O724" s="52"/>
    </row>
    <row r="725" spans="13:15" x14ac:dyDescent="0.25">
      <c r="M725" s="38"/>
      <c r="N725" s="52"/>
      <c r="O725" s="52"/>
    </row>
    <row r="726" spans="13:15" x14ac:dyDescent="0.25">
      <c r="M726" s="38"/>
      <c r="N726" s="52"/>
      <c r="O726" s="52"/>
    </row>
    <row r="727" spans="13:15" x14ac:dyDescent="0.25">
      <c r="M727" s="38"/>
      <c r="N727" s="52"/>
      <c r="O727" s="52"/>
    </row>
    <row r="728" spans="13:15" x14ac:dyDescent="0.25">
      <c r="M728" s="38"/>
      <c r="N728" s="52"/>
      <c r="O728" s="52"/>
    </row>
    <row r="729" spans="13:15" x14ac:dyDescent="0.25">
      <c r="M729" s="38"/>
      <c r="N729" s="52"/>
      <c r="O729" s="52"/>
    </row>
    <row r="730" spans="13:15" x14ac:dyDescent="0.25">
      <c r="M730" s="38"/>
      <c r="N730" s="52"/>
      <c r="O730" s="52"/>
    </row>
    <row r="731" spans="13:15" x14ac:dyDescent="0.25">
      <c r="M731" s="38"/>
      <c r="N731" s="52"/>
      <c r="O731" s="52"/>
    </row>
    <row r="732" spans="13:15" x14ac:dyDescent="0.25">
      <c r="M732" s="38"/>
      <c r="N732" s="52"/>
      <c r="O732" s="52"/>
    </row>
    <row r="733" spans="13:15" x14ac:dyDescent="0.25">
      <c r="M733" s="38"/>
      <c r="N733" s="52"/>
      <c r="O733" s="52"/>
    </row>
    <row r="734" spans="13:15" x14ac:dyDescent="0.25">
      <c r="M734" s="38"/>
      <c r="N734" s="52"/>
      <c r="O734" s="52"/>
    </row>
    <row r="735" spans="13:15" x14ac:dyDescent="0.25">
      <c r="M735" s="38"/>
      <c r="N735" s="52"/>
      <c r="O735" s="52"/>
    </row>
    <row r="736" spans="13:15" x14ac:dyDescent="0.25">
      <c r="M736" s="38"/>
      <c r="N736" s="52"/>
      <c r="O736" s="52"/>
    </row>
    <row r="737" spans="13:15" x14ac:dyDescent="0.25">
      <c r="M737" s="38"/>
      <c r="N737" s="52"/>
      <c r="O737" s="52"/>
    </row>
    <row r="738" spans="13:15" x14ac:dyDescent="0.25">
      <c r="M738" s="38"/>
      <c r="N738" s="52"/>
      <c r="O738" s="52"/>
    </row>
    <row r="739" spans="13:15" x14ac:dyDescent="0.25">
      <c r="M739" s="38"/>
      <c r="N739" s="52"/>
      <c r="O739" s="52"/>
    </row>
    <row r="740" spans="13:15" x14ac:dyDescent="0.25">
      <c r="M740" s="38"/>
      <c r="N740" s="52"/>
      <c r="O740" s="52"/>
    </row>
    <row r="741" spans="13:15" x14ac:dyDescent="0.25">
      <c r="M741" s="38"/>
      <c r="N741" s="52"/>
      <c r="O741" s="52"/>
    </row>
    <row r="742" spans="13:15" x14ac:dyDescent="0.25">
      <c r="M742" s="38"/>
      <c r="N742" s="52"/>
      <c r="O742" s="52"/>
    </row>
    <row r="743" spans="13:15" x14ac:dyDescent="0.25">
      <c r="M743" s="38"/>
      <c r="N743" s="52"/>
      <c r="O743" s="52"/>
    </row>
    <row r="744" spans="13:15" x14ac:dyDescent="0.25">
      <c r="M744" s="38"/>
      <c r="N744" s="52"/>
      <c r="O744" s="52"/>
    </row>
    <row r="745" spans="13:15" x14ac:dyDescent="0.25">
      <c r="M745" s="38"/>
      <c r="N745" s="52"/>
      <c r="O745" s="52"/>
    </row>
    <row r="746" spans="13:15" x14ac:dyDescent="0.25">
      <c r="M746" s="38"/>
      <c r="N746" s="52"/>
      <c r="O746" s="52"/>
    </row>
    <row r="747" spans="13:15" x14ac:dyDescent="0.25">
      <c r="M747" s="38"/>
      <c r="N747" s="52"/>
      <c r="O747" s="52"/>
    </row>
    <row r="748" spans="13:15" x14ac:dyDescent="0.25">
      <c r="M748" s="38"/>
      <c r="N748" s="52"/>
      <c r="O748" s="52"/>
    </row>
    <row r="749" spans="13:15" x14ac:dyDescent="0.25">
      <c r="M749" s="38"/>
      <c r="N749" s="52"/>
      <c r="O749" s="52"/>
    </row>
    <row r="750" spans="13:15" x14ac:dyDescent="0.25">
      <c r="M750" s="38"/>
      <c r="N750" s="52"/>
      <c r="O750" s="52"/>
    </row>
    <row r="751" spans="13:15" x14ac:dyDescent="0.25">
      <c r="M751" s="38"/>
      <c r="N751" s="52"/>
      <c r="O751" s="52"/>
    </row>
    <row r="752" spans="13:15" x14ac:dyDescent="0.25">
      <c r="M752" s="38"/>
      <c r="N752" s="52"/>
      <c r="O752" s="52"/>
    </row>
    <row r="753" spans="13:15" x14ac:dyDescent="0.25">
      <c r="M753" s="38"/>
      <c r="N753" s="52"/>
      <c r="O753" s="52"/>
    </row>
    <row r="754" spans="13:15" x14ac:dyDescent="0.25">
      <c r="M754" s="38"/>
      <c r="N754" s="52"/>
      <c r="O754" s="52"/>
    </row>
    <row r="755" spans="13:15" x14ac:dyDescent="0.25">
      <c r="M755" s="38"/>
      <c r="N755" s="52"/>
      <c r="O755" s="52"/>
    </row>
    <row r="756" spans="13:15" x14ac:dyDescent="0.25">
      <c r="M756" s="38"/>
      <c r="N756" s="52"/>
      <c r="O756" s="52"/>
    </row>
    <row r="757" spans="13:15" x14ac:dyDescent="0.25">
      <c r="M757" s="38"/>
      <c r="N757" s="52"/>
      <c r="O757" s="52"/>
    </row>
    <row r="758" spans="13:15" x14ac:dyDescent="0.25">
      <c r="M758" s="38"/>
      <c r="N758" s="52"/>
      <c r="O758" s="52"/>
    </row>
    <row r="759" spans="13:15" x14ac:dyDescent="0.25">
      <c r="M759" s="38"/>
      <c r="N759" s="52"/>
      <c r="O759" s="52"/>
    </row>
    <row r="760" spans="13:15" x14ac:dyDescent="0.25">
      <c r="M760" s="38"/>
      <c r="N760" s="52"/>
      <c r="O760" s="52"/>
    </row>
    <row r="761" spans="13:15" x14ac:dyDescent="0.25">
      <c r="M761" s="38"/>
      <c r="N761" s="52"/>
      <c r="O761" s="52"/>
    </row>
    <row r="762" spans="13:15" x14ac:dyDescent="0.25">
      <c r="M762" s="38"/>
      <c r="N762" s="52"/>
      <c r="O762" s="52"/>
    </row>
    <row r="763" spans="13:15" x14ac:dyDescent="0.25">
      <c r="M763" s="38"/>
      <c r="N763" s="52"/>
      <c r="O763" s="52"/>
    </row>
    <row r="764" spans="13:15" x14ac:dyDescent="0.25">
      <c r="M764" s="38"/>
      <c r="N764" s="52"/>
      <c r="O764" s="52"/>
    </row>
    <row r="765" spans="13:15" x14ac:dyDescent="0.25">
      <c r="M765" s="38"/>
      <c r="N765" s="52"/>
      <c r="O765" s="52"/>
    </row>
    <row r="766" spans="13:15" x14ac:dyDescent="0.25">
      <c r="M766" s="38"/>
      <c r="N766" s="52"/>
      <c r="O766" s="52"/>
    </row>
    <row r="767" spans="13:15" x14ac:dyDescent="0.25">
      <c r="M767" s="38"/>
      <c r="N767" s="52"/>
      <c r="O767" s="52"/>
    </row>
    <row r="768" spans="13:15" x14ac:dyDescent="0.25">
      <c r="M768" s="38"/>
      <c r="N768" s="52"/>
      <c r="O768" s="52"/>
    </row>
    <row r="769" spans="13:15" x14ac:dyDescent="0.25">
      <c r="M769" s="38"/>
      <c r="N769" s="52"/>
      <c r="O769" s="52"/>
    </row>
    <row r="770" spans="13:15" x14ac:dyDescent="0.25">
      <c r="M770" s="38"/>
      <c r="N770" s="52"/>
      <c r="O770" s="52"/>
    </row>
    <row r="771" spans="13:15" x14ac:dyDescent="0.25">
      <c r="M771" s="38"/>
      <c r="N771" s="52"/>
      <c r="O771" s="52"/>
    </row>
    <row r="772" spans="13:15" x14ac:dyDescent="0.25">
      <c r="M772" s="38"/>
      <c r="N772" s="52"/>
      <c r="O772" s="52"/>
    </row>
    <row r="773" spans="13:15" x14ac:dyDescent="0.25">
      <c r="M773" s="38"/>
      <c r="N773" s="52"/>
      <c r="O773" s="52"/>
    </row>
    <row r="774" spans="13:15" x14ac:dyDescent="0.25">
      <c r="M774" s="38"/>
      <c r="N774" s="52"/>
      <c r="O774" s="52"/>
    </row>
    <row r="775" spans="13:15" x14ac:dyDescent="0.25">
      <c r="M775" s="38"/>
      <c r="N775" s="52"/>
      <c r="O775" s="52"/>
    </row>
    <row r="776" spans="13:15" x14ac:dyDescent="0.25">
      <c r="M776" s="38"/>
      <c r="N776" s="52"/>
      <c r="O776" s="52"/>
    </row>
    <row r="777" spans="13:15" x14ac:dyDescent="0.25">
      <c r="M777" s="38"/>
      <c r="N777" s="52"/>
      <c r="O777" s="52"/>
    </row>
    <row r="778" spans="13:15" x14ac:dyDescent="0.25">
      <c r="M778" s="38"/>
      <c r="N778" s="52"/>
      <c r="O778" s="52"/>
    </row>
    <row r="779" spans="13:15" x14ac:dyDescent="0.25">
      <c r="M779" s="38"/>
      <c r="N779" s="52"/>
      <c r="O779" s="52"/>
    </row>
    <row r="780" spans="13:15" x14ac:dyDescent="0.25">
      <c r="M780" s="38"/>
      <c r="N780" s="52"/>
      <c r="O780" s="52"/>
    </row>
    <row r="781" spans="13:15" x14ac:dyDescent="0.25">
      <c r="M781" s="38"/>
      <c r="N781" s="52"/>
      <c r="O781" s="52"/>
    </row>
    <row r="782" spans="13:15" x14ac:dyDescent="0.25">
      <c r="M782" s="38"/>
      <c r="N782" s="52"/>
      <c r="O782" s="52"/>
    </row>
    <row r="783" spans="13:15" x14ac:dyDescent="0.25">
      <c r="M783" s="38"/>
      <c r="N783" s="52"/>
      <c r="O783" s="52"/>
    </row>
    <row r="784" spans="13:15" x14ac:dyDescent="0.25">
      <c r="M784" s="38"/>
      <c r="N784" s="52"/>
      <c r="O784" s="52"/>
    </row>
    <row r="785" spans="13:15" x14ac:dyDescent="0.25">
      <c r="M785" s="38"/>
      <c r="N785" s="52"/>
      <c r="O785" s="52"/>
    </row>
    <row r="786" spans="13:15" x14ac:dyDescent="0.25">
      <c r="M786" s="38"/>
      <c r="N786" s="52"/>
      <c r="O786" s="52"/>
    </row>
    <row r="787" spans="13:15" x14ac:dyDescent="0.25">
      <c r="M787" s="38"/>
      <c r="N787" s="52"/>
      <c r="O787" s="52"/>
    </row>
    <row r="788" spans="13:15" x14ac:dyDescent="0.25">
      <c r="M788" s="38"/>
      <c r="N788" s="52"/>
      <c r="O788" s="52"/>
    </row>
    <row r="789" spans="13:15" x14ac:dyDescent="0.25">
      <c r="M789" s="38"/>
      <c r="N789" s="52"/>
      <c r="O789" s="52"/>
    </row>
    <row r="790" spans="13:15" x14ac:dyDescent="0.25">
      <c r="M790" s="38"/>
      <c r="N790" s="52"/>
      <c r="O790" s="52"/>
    </row>
    <row r="791" spans="13:15" x14ac:dyDescent="0.25">
      <c r="M791" s="38"/>
      <c r="N791" s="52"/>
      <c r="O791" s="52"/>
    </row>
    <row r="792" spans="13:15" x14ac:dyDescent="0.25">
      <c r="M792" s="38"/>
      <c r="N792" s="52"/>
      <c r="O792" s="52"/>
    </row>
    <row r="793" spans="13:15" x14ac:dyDescent="0.25">
      <c r="M793" s="38"/>
      <c r="N793" s="52"/>
      <c r="O793" s="52"/>
    </row>
    <row r="794" spans="13:15" x14ac:dyDescent="0.25">
      <c r="M794" s="38"/>
      <c r="N794" s="52"/>
      <c r="O794" s="52"/>
    </row>
    <row r="795" spans="13:15" x14ac:dyDescent="0.25">
      <c r="M795" s="38"/>
      <c r="N795" s="52"/>
      <c r="O795" s="52"/>
    </row>
    <row r="796" spans="13:15" x14ac:dyDescent="0.25">
      <c r="M796" s="38"/>
      <c r="N796" s="52"/>
      <c r="O796" s="52"/>
    </row>
    <row r="797" spans="13:15" x14ac:dyDescent="0.25">
      <c r="M797" s="38"/>
      <c r="N797" s="52"/>
      <c r="O797" s="52"/>
    </row>
    <row r="798" spans="13:15" x14ac:dyDescent="0.25">
      <c r="M798" s="38"/>
      <c r="N798" s="52"/>
      <c r="O798" s="52"/>
    </row>
    <row r="799" spans="13:15" x14ac:dyDescent="0.25">
      <c r="M799" s="38"/>
      <c r="N799" s="52"/>
      <c r="O799" s="52"/>
    </row>
    <row r="800" spans="13:15" x14ac:dyDescent="0.25">
      <c r="M800" s="38"/>
      <c r="N800" s="52"/>
      <c r="O800" s="52"/>
    </row>
    <row r="801" spans="13:15" x14ac:dyDescent="0.25">
      <c r="M801" s="38"/>
      <c r="N801" s="52"/>
      <c r="O801" s="52"/>
    </row>
    <row r="802" spans="13:15" x14ac:dyDescent="0.25">
      <c r="M802" s="38"/>
      <c r="N802" s="52"/>
      <c r="O802" s="52"/>
    </row>
    <row r="803" spans="13:15" x14ac:dyDescent="0.25">
      <c r="M803" s="38"/>
      <c r="N803" s="52"/>
      <c r="O803" s="52"/>
    </row>
    <row r="804" spans="13:15" x14ac:dyDescent="0.25">
      <c r="M804" s="38"/>
      <c r="N804" s="52"/>
      <c r="O804" s="52"/>
    </row>
    <row r="805" spans="13:15" x14ac:dyDescent="0.25">
      <c r="M805" s="38"/>
      <c r="N805" s="52"/>
      <c r="O805" s="52"/>
    </row>
    <row r="806" spans="13:15" x14ac:dyDescent="0.25">
      <c r="M806" s="38"/>
      <c r="N806" s="52"/>
      <c r="O806" s="52"/>
    </row>
    <row r="807" spans="13:15" x14ac:dyDescent="0.25">
      <c r="M807" s="38"/>
      <c r="N807" s="52"/>
      <c r="O807" s="52"/>
    </row>
    <row r="808" spans="13:15" x14ac:dyDescent="0.25">
      <c r="M808" s="38"/>
      <c r="N808" s="52"/>
      <c r="O808" s="52"/>
    </row>
    <row r="809" spans="13:15" x14ac:dyDescent="0.25">
      <c r="M809" s="38"/>
      <c r="N809" s="52"/>
      <c r="O809" s="52"/>
    </row>
    <row r="810" spans="13:15" x14ac:dyDescent="0.25">
      <c r="M810" s="38"/>
      <c r="N810" s="52"/>
      <c r="O810" s="52"/>
    </row>
    <row r="811" spans="13:15" x14ac:dyDescent="0.25">
      <c r="M811" s="38"/>
      <c r="N811" s="52"/>
      <c r="O811" s="52"/>
    </row>
    <row r="812" spans="13:15" x14ac:dyDescent="0.25">
      <c r="M812" s="38"/>
      <c r="N812" s="52"/>
      <c r="O812" s="52"/>
    </row>
    <row r="813" spans="13:15" x14ac:dyDescent="0.25">
      <c r="M813" s="38"/>
      <c r="N813" s="52"/>
      <c r="O813" s="52"/>
    </row>
    <row r="814" spans="13:15" x14ac:dyDescent="0.25">
      <c r="M814" s="38"/>
      <c r="N814" s="52"/>
      <c r="O814" s="52"/>
    </row>
    <row r="815" spans="13:15" x14ac:dyDescent="0.25">
      <c r="M815" s="38"/>
      <c r="N815" s="52"/>
      <c r="O815" s="52"/>
    </row>
    <row r="816" spans="13:15" x14ac:dyDescent="0.25">
      <c r="M816" s="38"/>
      <c r="N816" s="52"/>
      <c r="O816" s="52"/>
    </row>
    <row r="817" spans="13:15" x14ac:dyDescent="0.25">
      <c r="M817" s="38"/>
      <c r="N817" s="52"/>
      <c r="O817" s="52"/>
    </row>
    <row r="818" spans="13:15" x14ac:dyDescent="0.25">
      <c r="M818" s="38"/>
      <c r="N818" s="52"/>
      <c r="O818" s="52"/>
    </row>
    <row r="819" spans="13:15" x14ac:dyDescent="0.25">
      <c r="M819" s="38"/>
      <c r="N819" s="52"/>
      <c r="O819" s="52"/>
    </row>
    <row r="820" spans="13:15" x14ac:dyDescent="0.25">
      <c r="M820" s="38"/>
      <c r="N820" s="52"/>
      <c r="O820" s="52"/>
    </row>
    <row r="821" spans="13:15" x14ac:dyDescent="0.25">
      <c r="M821" s="38"/>
      <c r="N821" s="52"/>
      <c r="O821" s="52"/>
    </row>
    <row r="822" spans="13:15" x14ac:dyDescent="0.25">
      <c r="M822" s="38"/>
      <c r="N822" s="52"/>
      <c r="O822" s="52"/>
    </row>
    <row r="823" spans="13:15" x14ac:dyDescent="0.25">
      <c r="M823" s="38"/>
      <c r="N823" s="52"/>
      <c r="O823" s="52"/>
    </row>
    <row r="824" spans="13:15" x14ac:dyDescent="0.25">
      <c r="M824" s="38"/>
      <c r="N824" s="52"/>
      <c r="O824" s="52"/>
    </row>
    <row r="825" spans="13:15" x14ac:dyDescent="0.25">
      <c r="M825" s="38"/>
      <c r="N825" s="52"/>
      <c r="O825" s="52"/>
    </row>
    <row r="826" spans="13:15" x14ac:dyDescent="0.25">
      <c r="M826" s="38"/>
      <c r="N826" s="52"/>
      <c r="O826" s="52"/>
    </row>
    <row r="827" spans="13:15" x14ac:dyDescent="0.25">
      <c r="M827" s="38"/>
      <c r="N827" s="52"/>
      <c r="O827" s="52"/>
    </row>
    <row r="828" spans="13:15" x14ac:dyDescent="0.25">
      <c r="M828" s="38"/>
      <c r="N828" s="52"/>
      <c r="O828" s="52"/>
    </row>
    <row r="829" spans="13:15" x14ac:dyDescent="0.25">
      <c r="M829" s="38"/>
      <c r="N829" s="52"/>
      <c r="O829" s="52"/>
    </row>
    <row r="830" spans="13:15" x14ac:dyDescent="0.25">
      <c r="M830" s="38"/>
      <c r="N830" s="52"/>
      <c r="O830" s="52"/>
    </row>
    <row r="831" spans="13:15" x14ac:dyDescent="0.25">
      <c r="M831" s="38"/>
      <c r="N831" s="52"/>
      <c r="O831" s="52"/>
    </row>
    <row r="832" spans="13:15" x14ac:dyDescent="0.25">
      <c r="M832" s="38"/>
      <c r="N832" s="52"/>
      <c r="O832" s="52"/>
    </row>
    <row r="833" spans="13:15" x14ac:dyDescent="0.25">
      <c r="M833" s="38"/>
      <c r="N833" s="52"/>
      <c r="O833" s="52"/>
    </row>
    <row r="834" spans="13:15" x14ac:dyDescent="0.25">
      <c r="M834" s="38"/>
      <c r="N834" s="52"/>
      <c r="O834" s="52"/>
    </row>
    <row r="835" spans="13:15" x14ac:dyDescent="0.25">
      <c r="M835" s="38"/>
      <c r="N835" s="52"/>
      <c r="O835" s="52"/>
    </row>
    <row r="836" spans="13:15" x14ac:dyDescent="0.25">
      <c r="M836" s="38"/>
      <c r="N836" s="52"/>
      <c r="O836" s="52"/>
    </row>
    <row r="837" spans="13:15" x14ac:dyDescent="0.25">
      <c r="M837" s="38"/>
      <c r="N837" s="52"/>
      <c r="O837" s="52"/>
    </row>
    <row r="838" spans="13:15" x14ac:dyDescent="0.25">
      <c r="M838" s="38"/>
      <c r="N838" s="52"/>
      <c r="O838" s="52"/>
    </row>
    <row r="839" spans="13:15" x14ac:dyDescent="0.25">
      <c r="M839" s="38"/>
      <c r="N839" s="52"/>
      <c r="O839" s="52"/>
    </row>
    <row r="840" spans="13:15" x14ac:dyDescent="0.25">
      <c r="M840" s="38"/>
      <c r="N840" s="52"/>
      <c r="O840" s="52"/>
    </row>
    <row r="841" spans="13:15" x14ac:dyDescent="0.25">
      <c r="M841" s="38"/>
      <c r="N841" s="52"/>
      <c r="O841" s="52"/>
    </row>
    <row r="842" spans="13:15" x14ac:dyDescent="0.25">
      <c r="M842" s="38"/>
      <c r="N842" s="52"/>
      <c r="O842" s="52"/>
    </row>
    <row r="843" spans="13:15" x14ac:dyDescent="0.25">
      <c r="M843" s="38"/>
      <c r="N843" s="52"/>
      <c r="O843" s="52"/>
    </row>
    <row r="844" spans="13:15" x14ac:dyDescent="0.25">
      <c r="M844" s="38"/>
      <c r="N844" s="52"/>
      <c r="O844" s="52"/>
    </row>
    <row r="845" spans="13:15" x14ac:dyDescent="0.25">
      <c r="M845" s="38"/>
      <c r="N845" s="52"/>
      <c r="O845" s="52"/>
    </row>
    <row r="846" spans="13:15" x14ac:dyDescent="0.25">
      <c r="M846" s="38"/>
      <c r="N846" s="52"/>
      <c r="O846" s="52"/>
    </row>
    <row r="847" spans="13:15" x14ac:dyDescent="0.25">
      <c r="M847" s="38"/>
      <c r="N847" s="52"/>
      <c r="O847" s="52"/>
    </row>
    <row r="848" spans="13:15" x14ac:dyDescent="0.25">
      <c r="M848" s="38"/>
      <c r="N848" s="52"/>
      <c r="O848" s="52"/>
    </row>
    <row r="849" spans="13:15" x14ac:dyDescent="0.25">
      <c r="M849" s="38"/>
      <c r="N849" s="52"/>
      <c r="O849" s="52"/>
    </row>
    <row r="850" spans="13:15" x14ac:dyDescent="0.25">
      <c r="M850" s="38"/>
      <c r="N850" s="52"/>
      <c r="O850" s="52"/>
    </row>
    <row r="851" spans="13:15" x14ac:dyDescent="0.25">
      <c r="M851" s="38"/>
      <c r="N851" s="52"/>
      <c r="O851" s="52"/>
    </row>
    <row r="852" spans="13:15" x14ac:dyDescent="0.25">
      <c r="M852" s="38"/>
      <c r="N852" s="52"/>
      <c r="O852" s="52"/>
    </row>
    <row r="853" spans="13:15" x14ac:dyDescent="0.25">
      <c r="M853" s="38"/>
      <c r="N853" s="52"/>
      <c r="O853" s="52"/>
    </row>
    <row r="854" spans="13:15" x14ac:dyDescent="0.25">
      <c r="M854" s="38"/>
      <c r="N854" s="52"/>
      <c r="O854" s="52"/>
    </row>
    <row r="855" spans="13:15" x14ac:dyDescent="0.25">
      <c r="M855" s="38"/>
      <c r="N855" s="52"/>
      <c r="O855" s="52"/>
    </row>
    <row r="856" spans="13:15" x14ac:dyDescent="0.25">
      <c r="M856" s="38"/>
      <c r="N856" s="52"/>
      <c r="O856" s="52"/>
    </row>
    <row r="857" spans="13:15" x14ac:dyDescent="0.25">
      <c r="M857" s="38"/>
      <c r="N857" s="52"/>
      <c r="O857" s="52"/>
    </row>
    <row r="858" spans="13:15" x14ac:dyDescent="0.25">
      <c r="M858" s="38"/>
      <c r="N858" s="52"/>
      <c r="O858" s="52"/>
    </row>
    <row r="859" spans="13:15" x14ac:dyDescent="0.25">
      <c r="M859" s="38"/>
      <c r="N859" s="52"/>
      <c r="O859" s="52"/>
    </row>
    <row r="860" spans="13:15" x14ac:dyDescent="0.25">
      <c r="M860" s="38"/>
      <c r="N860" s="52"/>
      <c r="O860" s="52"/>
    </row>
    <row r="861" spans="13:15" x14ac:dyDescent="0.25">
      <c r="M861" s="38"/>
      <c r="N861" s="52"/>
      <c r="O861" s="52"/>
    </row>
    <row r="862" spans="13:15" x14ac:dyDescent="0.25">
      <c r="M862" s="38"/>
      <c r="N862" s="52"/>
      <c r="O862" s="52"/>
    </row>
    <row r="863" spans="13:15" x14ac:dyDescent="0.25">
      <c r="M863" s="38"/>
      <c r="N863" s="52"/>
      <c r="O863" s="52"/>
    </row>
    <row r="864" spans="13:15" x14ac:dyDescent="0.25">
      <c r="M864" s="38"/>
      <c r="N864" s="52"/>
      <c r="O864" s="52"/>
    </row>
    <row r="865" spans="13:15" x14ac:dyDescent="0.25">
      <c r="M865" s="38"/>
      <c r="N865" s="52"/>
      <c r="O865" s="52"/>
    </row>
    <row r="866" spans="13:15" x14ac:dyDescent="0.25">
      <c r="M866" s="38"/>
      <c r="N866" s="52"/>
      <c r="O866" s="52"/>
    </row>
    <row r="867" spans="13:15" x14ac:dyDescent="0.25">
      <c r="M867" s="38"/>
      <c r="N867" s="52"/>
      <c r="O867" s="52"/>
    </row>
    <row r="868" spans="13:15" x14ac:dyDescent="0.25">
      <c r="M868" s="38"/>
      <c r="N868" s="52"/>
      <c r="O868" s="52"/>
    </row>
    <row r="869" spans="13:15" x14ac:dyDescent="0.25">
      <c r="M869" s="38"/>
      <c r="N869" s="52"/>
      <c r="O869" s="52"/>
    </row>
    <row r="870" spans="13:15" x14ac:dyDescent="0.25">
      <c r="M870" s="38"/>
      <c r="N870" s="52"/>
      <c r="O870" s="52"/>
    </row>
    <row r="871" spans="13:15" x14ac:dyDescent="0.25">
      <c r="M871" s="38"/>
      <c r="N871" s="52"/>
      <c r="O871" s="52"/>
    </row>
    <row r="872" spans="13:15" x14ac:dyDescent="0.25">
      <c r="M872" s="38"/>
      <c r="N872" s="52"/>
      <c r="O872" s="52"/>
    </row>
    <row r="873" spans="13:15" x14ac:dyDescent="0.25">
      <c r="M873" s="38"/>
      <c r="N873" s="52"/>
      <c r="O873" s="52"/>
    </row>
    <row r="874" spans="13:15" x14ac:dyDescent="0.25">
      <c r="M874" s="38"/>
      <c r="N874" s="52"/>
      <c r="O874" s="52"/>
    </row>
    <row r="875" spans="13:15" x14ac:dyDescent="0.25">
      <c r="M875" s="38"/>
      <c r="N875" s="52"/>
      <c r="O875" s="52"/>
    </row>
    <row r="876" spans="13:15" x14ac:dyDescent="0.25">
      <c r="M876" s="38"/>
      <c r="N876" s="52"/>
      <c r="O876" s="52"/>
    </row>
    <row r="877" spans="13:15" x14ac:dyDescent="0.25">
      <c r="M877" s="38"/>
      <c r="N877" s="52"/>
      <c r="O877" s="52"/>
    </row>
    <row r="878" spans="13:15" x14ac:dyDescent="0.25">
      <c r="M878" s="38"/>
      <c r="N878" s="52"/>
      <c r="O878" s="52"/>
    </row>
    <row r="879" spans="13:15" x14ac:dyDescent="0.25">
      <c r="M879" s="38"/>
      <c r="N879" s="52"/>
      <c r="O879" s="52"/>
    </row>
    <row r="880" spans="13:15" x14ac:dyDescent="0.25">
      <c r="M880" s="38"/>
      <c r="N880" s="52"/>
      <c r="O880" s="52"/>
    </row>
    <row r="881" spans="13:15" x14ac:dyDescent="0.25">
      <c r="M881" s="38"/>
      <c r="N881" s="52"/>
      <c r="O881" s="52"/>
    </row>
    <row r="882" spans="13:15" x14ac:dyDescent="0.25">
      <c r="M882" s="38"/>
      <c r="N882" s="52"/>
      <c r="O882" s="52"/>
    </row>
    <row r="883" spans="13:15" x14ac:dyDescent="0.25">
      <c r="M883" s="38"/>
      <c r="N883" s="52"/>
      <c r="O883" s="52"/>
    </row>
    <row r="884" spans="13:15" x14ac:dyDescent="0.25">
      <c r="M884" s="38"/>
      <c r="N884" s="52"/>
      <c r="O884" s="52"/>
    </row>
    <row r="885" spans="13:15" x14ac:dyDescent="0.25">
      <c r="M885" s="38"/>
      <c r="N885" s="52"/>
      <c r="O885" s="52"/>
    </row>
    <row r="886" spans="13:15" x14ac:dyDescent="0.25">
      <c r="M886" s="38"/>
      <c r="N886" s="52"/>
      <c r="O886" s="52"/>
    </row>
    <row r="887" spans="13:15" x14ac:dyDescent="0.25">
      <c r="M887" s="38"/>
      <c r="N887" s="52"/>
      <c r="O887" s="52"/>
    </row>
    <row r="888" spans="13:15" x14ac:dyDescent="0.25">
      <c r="M888" s="38"/>
      <c r="N888" s="52"/>
      <c r="O888" s="52"/>
    </row>
    <row r="889" spans="13:15" x14ac:dyDescent="0.25">
      <c r="M889" s="38"/>
      <c r="N889" s="52"/>
      <c r="O889" s="52"/>
    </row>
    <row r="890" spans="13:15" x14ac:dyDescent="0.25">
      <c r="M890" s="38"/>
      <c r="N890" s="52"/>
      <c r="O890" s="52"/>
    </row>
    <row r="891" spans="13:15" x14ac:dyDescent="0.25">
      <c r="M891" s="38"/>
      <c r="N891" s="52"/>
      <c r="O891" s="52"/>
    </row>
    <row r="892" spans="13:15" x14ac:dyDescent="0.25">
      <c r="M892" s="38"/>
      <c r="N892" s="52"/>
      <c r="O892" s="52"/>
    </row>
    <row r="893" spans="13:15" x14ac:dyDescent="0.25">
      <c r="M893" s="38"/>
      <c r="N893" s="52"/>
      <c r="O893" s="52"/>
    </row>
    <row r="894" spans="13:15" x14ac:dyDescent="0.25">
      <c r="M894" s="38"/>
      <c r="N894" s="52"/>
      <c r="O894" s="52"/>
    </row>
    <row r="895" spans="13:15" x14ac:dyDescent="0.25">
      <c r="M895" s="38"/>
      <c r="N895" s="52"/>
      <c r="O895" s="52"/>
    </row>
    <row r="896" spans="13:15" x14ac:dyDescent="0.25">
      <c r="M896" s="38"/>
      <c r="N896" s="52"/>
      <c r="O896" s="52"/>
    </row>
    <row r="897" spans="13:15" x14ac:dyDescent="0.25">
      <c r="M897" s="38"/>
      <c r="N897" s="52"/>
      <c r="O897" s="52"/>
    </row>
    <row r="898" spans="13:15" x14ac:dyDescent="0.25">
      <c r="M898" s="38"/>
      <c r="N898" s="52"/>
      <c r="O898" s="52"/>
    </row>
    <row r="899" spans="13:15" x14ac:dyDescent="0.25">
      <c r="M899" s="38"/>
      <c r="N899" s="52"/>
      <c r="O899" s="52"/>
    </row>
    <row r="900" spans="13:15" x14ac:dyDescent="0.25">
      <c r="M900" s="38"/>
      <c r="N900" s="52"/>
      <c r="O900" s="52"/>
    </row>
    <row r="901" spans="13:15" x14ac:dyDescent="0.25">
      <c r="M901" s="38"/>
      <c r="N901" s="52"/>
      <c r="O901" s="52"/>
    </row>
    <row r="902" spans="13:15" x14ac:dyDescent="0.25">
      <c r="M902" s="38"/>
      <c r="N902" s="52"/>
      <c r="O902" s="52"/>
    </row>
    <row r="903" spans="13:15" x14ac:dyDescent="0.25">
      <c r="M903" s="38"/>
      <c r="N903" s="52"/>
      <c r="O903" s="52"/>
    </row>
    <row r="904" spans="13:15" x14ac:dyDescent="0.25">
      <c r="M904" s="38"/>
      <c r="N904" s="52"/>
      <c r="O904" s="52"/>
    </row>
    <row r="905" spans="13:15" x14ac:dyDescent="0.25">
      <c r="M905" s="38"/>
      <c r="N905" s="52"/>
      <c r="O905" s="52"/>
    </row>
    <row r="906" spans="13:15" x14ac:dyDescent="0.25">
      <c r="M906" s="38"/>
      <c r="N906" s="52"/>
      <c r="O906" s="52"/>
    </row>
    <row r="907" spans="13:15" x14ac:dyDescent="0.25">
      <c r="M907" s="38"/>
      <c r="N907" s="52"/>
      <c r="O907" s="52"/>
    </row>
    <row r="908" spans="13:15" x14ac:dyDescent="0.25">
      <c r="M908" s="38"/>
      <c r="N908" s="52"/>
      <c r="O908" s="52"/>
    </row>
    <row r="909" spans="13:15" x14ac:dyDescent="0.25">
      <c r="M909" s="38"/>
      <c r="N909" s="52"/>
      <c r="O909" s="52"/>
    </row>
    <row r="910" spans="13:15" x14ac:dyDescent="0.25">
      <c r="M910" s="38"/>
      <c r="N910" s="52"/>
      <c r="O910" s="52"/>
    </row>
    <row r="911" spans="13:15" x14ac:dyDescent="0.25">
      <c r="M911" s="38"/>
      <c r="N911" s="52"/>
      <c r="O911" s="52"/>
    </row>
    <row r="912" spans="13:15" x14ac:dyDescent="0.25">
      <c r="M912" s="38"/>
      <c r="N912" s="52"/>
      <c r="O912" s="52"/>
    </row>
    <row r="913" spans="13:15" x14ac:dyDescent="0.25">
      <c r="M913" s="38"/>
      <c r="N913" s="52"/>
      <c r="O913" s="52"/>
    </row>
    <row r="914" spans="13:15" x14ac:dyDescent="0.25">
      <c r="M914" s="38"/>
      <c r="N914" s="52"/>
      <c r="O914" s="52"/>
    </row>
    <row r="915" spans="13:15" x14ac:dyDescent="0.25">
      <c r="M915" s="38"/>
      <c r="N915" s="52"/>
      <c r="O915" s="52"/>
    </row>
    <row r="916" spans="13:15" x14ac:dyDescent="0.25">
      <c r="M916" s="38"/>
      <c r="N916" s="52"/>
      <c r="O916" s="52"/>
    </row>
    <row r="917" spans="13:15" x14ac:dyDescent="0.25">
      <c r="M917" s="38"/>
      <c r="N917" s="52"/>
      <c r="O917" s="52"/>
    </row>
    <row r="918" spans="13:15" x14ac:dyDescent="0.25">
      <c r="M918" s="38"/>
      <c r="N918" s="52"/>
      <c r="O918" s="52"/>
    </row>
    <row r="919" spans="13:15" x14ac:dyDescent="0.25">
      <c r="M919" s="38"/>
      <c r="N919" s="52"/>
      <c r="O919" s="52"/>
    </row>
    <row r="920" spans="13:15" x14ac:dyDescent="0.25">
      <c r="M920" s="38"/>
      <c r="N920" s="52"/>
      <c r="O920" s="52"/>
    </row>
    <row r="921" spans="13:15" x14ac:dyDescent="0.25">
      <c r="M921" s="38"/>
      <c r="N921" s="52"/>
      <c r="O921" s="52"/>
    </row>
    <row r="922" spans="13:15" x14ac:dyDescent="0.25">
      <c r="M922" s="38"/>
      <c r="N922" s="52"/>
      <c r="O922" s="52"/>
    </row>
    <row r="923" spans="13:15" x14ac:dyDescent="0.25">
      <c r="M923" s="38"/>
      <c r="N923" s="52"/>
      <c r="O923" s="52"/>
    </row>
    <row r="924" spans="13:15" x14ac:dyDescent="0.25">
      <c r="M924" s="38"/>
      <c r="N924" s="52"/>
      <c r="O924" s="52"/>
    </row>
    <row r="925" spans="13:15" x14ac:dyDescent="0.25">
      <c r="M925" s="38"/>
      <c r="N925" s="52"/>
      <c r="O925" s="52"/>
    </row>
    <row r="926" spans="13:15" x14ac:dyDescent="0.25">
      <c r="M926" s="38"/>
      <c r="N926" s="52"/>
      <c r="O926" s="52"/>
    </row>
    <row r="927" spans="13:15" x14ac:dyDescent="0.25">
      <c r="M927" s="38"/>
      <c r="N927" s="52"/>
      <c r="O927" s="52"/>
    </row>
    <row r="928" spans="13:15" x14ac:dyDescent="0.25">
      <c r="M928" s="38"/>
      <c r="N928" s="52"/>
      <c r="O928" s="52"/>
    </row>
    <row r="929" spans="13:15" x14ac:dyDescent="0.25">
      <c r="M929" s="38"/>
      <c r="N929" s="52"/>
      <c r="O929" s="52"/>
    </row>
    <row r="930" spans="13:15" x14ac:dyDescent="0.25">
      <c r="M930" s="38"/>
      <c r="N930" s="52"/>
      <c r="O930" s="52"/>
    </row>
    <row r="931" spans="13:15" x14ac:dyDescent="0.25">
      <c r="M931" s="38"/>
      <c r="N931" s="52"/>
      <c r="O931" s="52"/>
    </row>
    <row r="932" spans="13:15" x14ac:dyDescent="0.25">
      <c r="M932" s="38"/>
      <c r="N932" s="52"/>
      <c r="O932" s="52"/>
    </row>
    <row r="933" spans="13:15" x14ac:dyDescent="0.25">
      <c r="M933" s="38"/>
      <c r="N933" s="52"/>
      <c r="O933" s="52"/>
    </row>
    <row r="934" spans="13:15" x14ac:dyDescent="0.25">
      <c r="M934" s="38"/>
      <c r="N934" s="52"/>
      <c r="O934" s="52"/>
    </row>
    <row r="935" spans="13:15" x14ac:dyDescent="0.25">
      <c r="M935" s="38"/>
      <c r="N935" s="52"/>
      <c r="O935" s="52"/>
    </row>
    <row r="936" spans="13:15" x14ac:dyDescent="0.25">
      <c r="M936" s="38"/>
      <c r="N936" s="52"/>
      <c r="O936" s="52"/>
    </row>
    <row r="937" spans="13:15" x14ac:dyDescent="0.25">
      <c r="M937" s="38"/>
      <c r="N937" s="52"/>
      <c r="O937" s="52"/>
    </row>
    <row r="938" spans="13:15" x14ac:dyDescent="0.25">
      <c r="M938" s="38"/>
      <c r="N938" s="52"/>
      <c r="O938" s="52"/>
    </row>
    <row r="939" spans="13:15" x14ac:dyDescent="0.25">
      <c r="M939" s="38"/>
      <c r="N939" s="52"/>
      <c r="O939" s="52"/>
    </row>
    <row r="940" spans="13:15" x14ac:dyDescent="0.25">
      <c r="M940" s="38"/>
      <c r="N940" s="52"/>
      <c r="O940" s="52"/>
    </row>
    <row r="941" spans="13:15" x14ac:dyDescent="0.25">
      <c r="M941" s="38"/>
      <c r="N941" s="52"/>
      <c r="O941" s="52"/>
    </row>
    <row r="942" spans="13:15" x14ac:dyDescent="0.25">
      <c r="M942" s="38"/>
      <c r="N942" s="52"/>
      <c r="O942" s="52"/>
    </row>
    <row r="943" spans="13:15" x14ac:dyDescent="0.25">
      <c r="M943" s="38"/>
      <c r="N943" s="52"/>
      <c r="O943" s="52"/>
    </row>
    <row r="944" spans="13:15" x14ac:dyDescent="0.25">
      <c r="M944" s="38"/>
      <c r="N944" s="52"/>
      <c r="O944" s="52"/>
    </row>
    <row r="945" spans="13:15" x14ac:dyDescent="0.25">
      <c r="M945" s="38"/>
      <c r="N945" s="52"/>
      <c r="O945" s="52"/>
    </row>
    <row r="946" spans="13:15" x14ac:dyDescent="0.25">
      <c r="M946" s="38"/>
      <c r="N946" s="52"/>
      <c r="O946" s="52"/>
    </row>
    <row r="947" spans="13:15" x14ac:dyDescent="0.25">
      <c r="M947" s="38"/>
      <c r="N947" s="52"/>
      <c r="O947" s="52"/>
    </row>
    <row r="948" spans="13:15" x14ac:dyDescent="0.25">
      <c r="M948" s="38"/>
      <c r="N948" s="52"/>
      <c r="O948" s="52"/>
    </row>
    <row r="949" spans="13:15" x14ac:dyDescent="0.25">
      <c r="M949" s="38"/>
      <c r="N949" s="52"/>
      <c r="O949" s="52"/>
    </row>
    <row r="950" spans="13:15" x14ac:dyDescent="0.25">
      <c r="M950" s="38"/>
      <c r="N950" s="52"/>
      <c r="O950" s="52"/>
    </row>
    <row r="951" spans="13:15" x14ac:dyDescent="0.25">
      <c r="M951" s="38"/>
      <c r="N951" s="52"/>
      <c r="O951" s="52"/>
    </row>
    <row r="952" spans="13:15" x14ac:dyDescent="0.25">
      <c r="M952" s="38"/>
      <c r="N952" s="52"/>
      <c r="O952" s="52"/>
    </row>
    <row r="953" spans="13:15" x14ac:dyDescent="0.25">
      <c r="M953" s="38"/>
      <c r="N953" s="52"/>
      <c r="O953" s="52"/>
    </row>
    <row r="954" spans="13:15" x14ac:dyDescent="0.25">
      <c r="M954" s="38"/>
      <c r="N954" s="52"/>
      <c r="O954" s="52"/>
    </row>
    <row r="955" spans="13:15" x14ac:dyDescent="0.25">
      <c r="M955" s="38"/>
      <c r="N955" s="52"/>
      <c r="O955" s="52"/>
    </row>
    <row r="956" spans="13:15" x14ac:dyDescent="0.25">
      <c r="M956" s="38"/>
      <c r="N956" s="52"/>
      <c r="O956" s="52"/>
    </row>
    <row r="957" spans="13:15" x14ac:dyDescent="0.25">
      <c r="M957" s="38"/>
      <c r="N957" s="52"/>
      <c r="O957" s="52"/>
    </row>
    <row r="958" spans="13:15" x14ac:dyDescent="0.25">
      <c r="M958" s="38"/>
      <c r="N958" s="52"/>
      <c r="O958" s="52"/>
    </row>
    <row r="959" spans="13:15" x14ac:dyDescent="0.25">
      <c r="M959" s="38"/>
      <c r="N959" s="52"/>
      <c r="O959" s="52"/>
    </row>
    <row r="960" spans="13:15" x14ac:dyDescent="0.25">
      <c r="M960" s="38"/>
      <c r="N960" s="52"/>
      <c r="O960" s="52"/>
    </row>
    <row r="961" spans="13:15" x14ac:dyDescent="0.25">
      <c r="M961" s="38"/>
      <c r="N961" s="52"/>
      <c r="O961" s="52"/>
    </row>
    <row r="962" spans="13:15" x14ac:dyDescent="0.25">
      <c r="M962" s="38"/>
      <c r="N962" s="52"/>
      <c r="O962" s="52"/>
    </row>
    <row r="963" spans="13:15" x14ac:dyDescent="0.25">
      <c r="M963" s="38"/>
      <c r="N963" s="52"/>
      <c r="O963" s="52"/>
    </row>
    <row r="964" spans="13:15" x14ac:dyDescent="0.25">
      <c r="M964" s="38"/>
      <c r="N964" s="52"/>
      <c r="O964" s="52"/>
    </row>
    <row r="965" spans="13:15" x14ac:dyDescent="0.25">
      <c r="M965" s="38"/>
      <c r="N965" s="52"/>
      <c r="O965" s="52"/>
    </row>
    <row r="966" spans="13:15" x14ac:dyDescent="0.25">
      <c r="M966" s="38"/>
      <c r="N966" s="52"/>
      <c r="O966" s="52"/>
    </row>
    <row r="967" spans="13:15" x14ac:dyDescent="0.25">
      <c r="M967" s="38"/>
      <c r="N967" s="52"/>
      <c r="O967" s="52"/>
    </row>
    <row r="968" spans="13:15" x14ac:dyDescent="0.25">
      <c r="M968" s="38"/>
      <c r="N968" s="52"/>
      <c r="O968" s="52"/>
    </row>
    <row r="969" spans="13:15" x14ac:dyDescent="0.25">
      <c r="M969" s="38"/>
      <c r="N969" s="52"/>
      <c r="O969" s="52"/>
    </row>
    <row r="970" spans="13:15" x14ac:dyDescent="0.25">
      <c r="M970" s="38"/>
      <c r="N970" s="52"/>
      <c r="O970" s="52"/>
    </row>
    <row r="971" spans="13:15" x14ac:dyDescent="0.25">
      <c r="M971" s="38"/>
      <c r="N971" s="52"/>
      <c r="O971" s="52"/>
    </row>
    <row r="972" spans="13:15" x14ac:dyDescent="0.25">
      <c r="M972" s="38"/>
      <c r="N972" s="52"/>
      <c r="O972" s="52"/>
    </row>
    <row r="973" spans="13:15" x14ac:dyDescent="0.25">
      <c r="M973" s="38"/>
      <c r="N973" s="52"/>
      <c r="O973" s="52"/>
    </row>
    <row r="974" spans="13:15" x14ac:dyDescent="0.25">
      <c r="M974" s="38"/>
      <c r="N974" s="52"/>
      <c r="O974" s="52"/>
    </row>
    <row r="975" spans="13:15" x14ac:dyDescent="0.25">
      <c r="M975" s="38"/>
      <c r="N975" s="52"/>
      <c r="O975" s="52"/>
    </row>
    <row r="976" spans="13:15" x14ac:dyDescent="0.25">
      <c r="M976" s="38"/>
      <c r="N976" s="52"/>
      <c r="O976" s="52"/>
    </row>
    <row r="977" spans="13:15" x14ac:dyDescent="0.25">
      <c r="M977" s="38"/>
      <c r="N977" s="52"/>
      <c r="O977" s="52"/>
    </row>
    <row r="978" spans="13:15" x14ac:dyDescent="0.25">
      <c r="M978" s="38"/>
      <c r="N978" s="52"/>
      <c r="O978" s="52"/>
    </row>
    <row r="979" spans="13:15" x14ac:dyDescent="0.25">
      <c r="M979" s="38"/>
      <c r="N979" s="52"/>
      <c r="O979" s="52"/>
    </row>
    <row r="980" spans="13:15" x14ac:dyDescent="0.25">
      <c r="M980" s="38"/>
      <c r="N980" s="52"/>
      <c r="O980" s="52"/>
    </row>
    <row r="981" spans="13:15" x14ac:dyDescent="0.25">
      <c r="M981" s="38"/>
      <c r="N981" s="52"/>
      <c r="O981" s="52"/>
    </row>
    <row r="982" spans="13:15" x14ac:dyDescent="0.25">
      <c r="M982" s="38"/>
      <c r="N982" s="52"/>
      <c r="O982" s="52"/>
    </row>
    <row r="983" spans="13:15" x14ac:dyDescent="0.25">
      <c r="M983" s="38"/>
      <c r="N983" s="52"/>
      <c r="O983" s="52"/>
    </row>
    <row r="984" spans="13:15" x14ac:dyDescent="0.25">
      <c r="M984" s="38"/>
      <c r="N984" s="52"/>
      <c r="O984" s="52"/>
    </row>
    <row r="985" spans="13:15" x14ac:dyDescent="0.25">
      <c r="M985" s="38"/>
      <c r="N985" s="52"/>
      <c r="O985" s="52"/>
    </row>
    <row r="986" spans="13:15" x14ac:dyDescent="0.25">
      <c r="M986" s="38"/>
      <c r="N986" s="52"/>
      <c r="O986" s="52"/>
    </row>
    <row r="987" spans="13:15" x14ac:dyDescent="0.25">
      <c r="M987" s="38"/>
      <c r="N987" s="52"/>
      <c r="O987" s="52"/>
    </row>
    <row r="988" spans="13:15" x14ac:dyDescent="0.25">
      <c r="M988" s="38"/>
      <c r="N988" s="52"/>
      <c r="O988" s="52"/>
    </row>
    <row r="989" spans="13:15" x14ac:dyDescent="0.25">
      <c r="M989" s="38"/>
      <c r="N989" s="52"/>
      <c r="O989" s="52"/>
    </row>
    <row r="990" spans="13:15" x14ac:dyDescent="0.25">
      <c r="M990" s="38"/>
      <c r="N990" s="52"/>
      <c r="O990" s="52"/>
    </row>
    <row r="991" spans="13:15" x14ac:dyDescent="0.25">
      <c r="M991" s="38"/>
      <c r="N991" s="52"/>
      <c r="O991" s="52"/>
    </row>
    <row r="992" spans="13:15" x14ac:dyDescent="0.25">
      <c r="M992" s="38"/>
      <c r="N992" s="52"/>
      <c r="O992" s="52"/>
    </row>
    <row r="993" spans="13:15" x14ac:dyDescent="0.25">
      <c r="M993" s="38"/>
      <c r="N993" s="52"/>
      <c r="O993" s="52"/>
    </row>
    <row r="994" spans="13:15" x14ac:dyDescent="0.25">
      <c r="M994" s="38"/>
      <c r="N994" s="52"/>
      <c r="O994" s="52"/>
    </row>
    <row r="995" spans="13:15" x14ac:dyDescent="0.25">
      <c r="M995" s="38"/>
      <c r="N995" s="52"/>
      <c r="O995" s="52"/>
    </row>
    <row r="996" spans="13:15" x14ac:dyDescent="0.25">
      <c r="M996" s="38"/>
      <c r="N996" s="52"/>
      <c r="O996" s="52"/>
    </row>
    <row r="997" spans="13:15" x14ac:dyDescent="0.25">
      <c r="M997" s="38"/>
      <c r="N997" s="52"/>
      <c r="O997" s="52"/>
    </row>
    <row r="998" spans="13:15" x14ac:dyDescent="0.25">
      <c r="M998" s="38"/>
      <c r="N998" s="52"/>
      <c r="O998" s="52"/>
    </row>
    <row r="999" spans="13:15" x14ac:dyDescent="0.25">
      <c r="M999" s="38"/>
      <c r="N999" s="52"/>
      <c r="O999" s="52"/>
    </row>
    <row r="1000" spans="13:15" x14ac:dyDescent="0.25">
      <c r="M1000" s="38"/>
      <c r="N1000" s="52"/>
      <c r="O1000" s="52"/>
    </row>
    <row r="1001" spans="13:15" x14ac:dyDescent="0.25">
      <c r="M1001" s="38"/>
      <c r="N1001" s="52"/>
      <c r="O1001" s="52"/>
    </row>
    <row r="1002" spans="13:15" x14ac:dyDescent="0.25">
      <c r="M1002" s="38"/>
      <c r="N1002" s="52"/>
      <c r="O1002" s="52"/>
    </row>
    <row r="1003" spans="13:15" x14ac:dyDescent="0.25">
      <c r="M1003" s="38"/>
      <c r="N1003" s="52"/>
      <c r="O1003" s="52"/>
    </row>
    <row r="1004" spans="13:15" x14ac:dyDescent="0.25">
      <c r="M1004" s="38"/>
      <c r="N1004" s="52"/>
      <c r="O1004" s="52"/>
    </row>
    <row r="1005" spans="13:15" x14ac:dyDescent="0.25">
      <c r="M1005" s="38"/>
      <c r="N1005" s="52"/>
      <c r="O1005" s="52"/>
    </row>
    <row r="1006" spans="13:15" x14ac:dyDescent="0.25">
      <c r="M1006" s="38"/>
      <c r="N1006" s="52"/>
      <c r="O1006" s="52"/>
    </row>
    <row r="1007" spans="13:15" x14ac:dyDescent="0.25">
      <c r="M1007" s="38"/>
      <c r="N1007" s="52"/>
      <c r="O1007" s="52"/>
    </row>
    <row r="1008" spans="13:15" x14ac:dyDescent="0.25">
      <c r="M1008" s="38"/>
      <c r="N1008" s="52"/>
      <c r="O1008" s="52"/>
    </row>
    <row r="1009" spans="13:15" x14ac:dyDescent="0.25">
      <c r="M1009" s="38"/>
      <c r="N1009" s="52"/>
      <c r="O1009" s="52"/>
    </row>
    <row r="1010" spans="13:15" x14ac:dyDescent="0.25">
      <c r="M1010" s="38"/>
      <c r="N1010" s="52"/>
      <c r="O1010" s="52"/>
    </row>
    <row r="1011" spans="13:15" x14ac:dyDescent="0.25">
      <c r="M1011" s="38"/>
      <c r="N1011" s="52"/>
      <c r="O1011" s="52"/>
    </row>
    <row r="1012" spans="13:15" x14ac:dyDescent="0.25">
      <c r="M1012" s="38"/>
      <c r="N1012" s="52"/>
      <c r="O1012" s="52"/>
    </row>
    <row r="1013" spans="13:15" x14ac:dyDescent="0.25">
      <c r="M1013" s="38"/>
      <c r="N1013" s="52"/>
      <c r="O1013" s="52"/>
    </row>
    <row r="1014" spans="13:15" x14ac:dyDescent="0.25">
      <c r="M1014" s="38"/>
      <c r="N1014" s="52"/>
      <c r="O1014" s="52"/>
    </row>
    <row r="1015" spans="13:15" x14ac:dyDescent="0.25">
      <c r="M1015" s="38"/>
      <c r="N1015" s="52"/>
      <c r="O1015" s="52"/>
    </row>
    <row r="1016" spans="13:15" x14ac:dyDescent="0.25">
      <c r="M1016" s="38"/>
      <c r="N1016" s="52"/>
      <c r="O1016" s="52"/>
    </row>
    <row r="1017" spans="13:15" x14ac:dyDescent="0.25">
      <c r="M1017" s="38"/>
      <c r="N1017" s="52"/>
      <c r="O1017" s="52"/>
    </row>
    <row r="1018" spans="13:15" x14ac:dyDescent="0.25">
      <c r="M1018" s="38"/>
      <c r="N1018" s="52"/>
      <c r="O1018" s="52"/>
    </row>
    <row r="1019" spans="13:15" x14ac:dyDescent="0.25">
      <c r="M1019" s="38"/>
      <c r="N1019" s="52"/>
      <c r="O1019" s="52"/>
    </row>
    <row r="1020" spans="13:15" x14ac:dyDescent="0.25">
      <c r="M1020" s="38"/>
      <c r="N1020" s="52"/>
      <c r="O1020" s="52"/>
    </row>
    <row r="1021" spans="13:15" x14ac:dyDescent="0.25">
      <c r="M1021" s="38"/>
      <c r="N1021" s="52"/>
      <c r="O1021" s="52"/>
    </row>
    <row r="1022" spans="13:15" x14ac:dyDescent="0.25">
      <c r="M1022" s="38"/>
      <c r="N1022" s="52"/>
      <c r="O1022" s="52"/>
    </row>
    <row r="1023" spans="13:15" x14ac:dyDescent="0.25">
      <c r="M1023" s="38"/>
      <c r="N1023" s="52"/>
      <c r="O1023" s="52"/>
    </row>
    <row r="1024" spans="13:15" x14ac:dyDescent="0.25">
      <c r="M1024" s="38"/>
      <c r="N1024" s="52"/>
      <c r="O1024" s="52"/>
    </row>
    <row r="1025" spans="13:15" x14ac:dyDescent="0.25">
      <c r="M1025" s="38"/>
      <c r="N1025" s="52"/>
      <c r="O1025" s="52"/>
    </row>
    <row r="1026" spans="13:15" x14ac:dyDescent="0.25">
      <c r="M1026" s="38"/>
      <c r="N1026" s="52"/>
      <c r="O1026" s="52"/>
    </row>
    <row r="1027" spans="13:15" x14ac:dyDescent="0.25">
      <c r="M1027" s="38"/>
      <c r="N1027" s="52"/>
      <c r="O1027" s="52"/>
    </row>
    <row r="1028" spans="13:15" x14ac:dyDescent="0.25">
      <c r="M1028" s="38"/>
      <c r="N1028" s="52"/>
      <c r="O1028" s="52"/>
    </row>
    <row r="1029" spans="13:15" x14ac:dyDescent="0.25">
      <c r="M1029" s="38"/>
      <c r="N1029" s="52"/>
      <c r="O1029" s="52"/>
    </row>
    <row r="1030" spans="13:15" x14ac:dyDescent="0.25">
      <c r="M1030" s="38"/>
      <c r="N1030" s="52"/>
      <c r="O1030" s="52"/>
    </row>
    <row r="1031" spans="13:15" x14ac:dyDescent="0.25">
      <c r="M1031" s="38"/>
      <c r="N1031" s="52"/>
      <c r="O1031" s="52"/>
    </row>
    <row r="1032" spans="13:15" x14ac:dyDescent="0.25">
      <c r="M1032" s="38"/>
      <c r="N1032" s="52"/>
      <c r="O1032" s="52"/>
    </row>
    <row r="1033" spans="13:15" x14ac:dyDescent="0.25">
      <c r="M1033" s="38"/>
      <c r="N1033" s="52"/>
      <c r="O1033" s="52"/>
    </row>
    <row r="1034" spans="13:15" x14ac:dyDescent="0.25">
      <c r="M1034" s="38"/>
      <c r="N1034" s="52"/>
      <c r="O1034" s="52"/>
    </row>
    <row r="1035" spans="13:15" x14ac:dyDescent="0.25">
      <c r="M1035" s="38"/>
      <c r="N1035" s="52"/>
      <c r="O1035" s="52"/>
    </row>
    <row r="1036" spans="13:15" x14ac:dyDescent="0.25">
      <c r="M1036" s="38"/>
      <c r="N1036" s="52"/>
      <c r="O1036" s="52"/>
    </row>
    <row r="1037" spans="13:15" x14ac:dyDescent="0.25">
      <c r="M1037" s="38"/>
      <c r="N1037" s="52"/>
      <c r="O1037" s="52"/>
    </row>
    <row r="1038" spans="13:15" x14ac:dyDescent="0.25">
      <c r="M1038" s="38"/>
      <c r="N1038" s="52"/>
      <c r="O1038" s="52"/>
    </row>
    <row r="1039" spans="13:15" x14ac:dyDescent="0.25">
      <c r="M1039" s="38"/>
      <c r="N1039" s="52"/>
      <c r="O1039" s="52"/>
    </row>
    <row r="1040" spans="13:15" x14ac:dyDescent="0.25">
      <c r="M1040" s="38"/>
      <c r="N1040" s="52"/>
      <c r="O1040" s="52"/>
    </row>
    <row r="1041" spans="13:15" x14ac:dyDescent="0.25">
      <c r="M1041" s="38"/>
      <c r="N1041" s="52"/>
      <c r="O1041" s="52"/>
    </row>
    <row r="1042" spans="13:15" x14ac:dyDescent="0.25">
      <c r="M1042" s="38"/>
      <c r="N1042" s="52"/>
      <c r="O1042" s="52"/>
    </row>
    <row r="1043" spans="13:15" x14ac:dyDescent="0.25">
      <c r="M1043" s="38"/>
      <c r="N1043" s="52"/>
      <c r="O1043" s="52"/>
    </row>
    <row r="1044" spans="13:15" x14ac:dyDescent="0.25">
      <c r="M1044" s="38"/>
      <c r="N1044" s="52"/>
      <c r="O1044" s="52"/>
    </row>
    <row r="1045" spans="13:15" x14ac:dyDescent="0.25">
      <c r="M1045" s="38"/>
      <c r="N1045" s="52"/>
      <c r="O1045" s="52"/>
    </row>
    <row r="1046" spans="13:15" x14ac:dyDescent="0.25">
      <c r="M1046" s="38"/>
      <c r="N1046" s="52"/>
      <c r="O1046" s="52"/>
    </row>
    <row r="1047" spans="13:15" x14ac:dyDescent="0.25">
      <c r="M1047" s="38"/>
      <c r="N1047" s="52"/>
      <c r="O1047" s="52"/>
    </row>
    <row r="1048" spans="13:15" x14ac:dyDescent="0.25">
      <c r="M1048" s="38"/>
      <c r="N1048" s="52"/>
      <c r="O1048" s="52"/>
    </row>
    <row r="1049" spans="13:15" x14ac:dyDescent="0.25">
      <c r="M1049" s="38"/>
      <c r="N1049" s="52"/>
      <c r="O1049" s="52"/>
    </row>
    <row r="1050" spans="13:15" x14ac:dyDescent="0.25">
      <c r="M1050" s="38"/>
      <c r="N1050" s="52"/>
      <c r="O1050" s="52"/>
    </row>
    <row r="1051" spans="13:15" x14ac:dyDescent="0.25">
      <c r="M1051" s="38"/>
      <c r="N1051" s="52"/>
      <c r="O1051" s="52"/>
    </row>
    <row r="1052" spans="13:15" x14ac:dyDescent="0.25">
      <c r="M1052" s="38"/>
      <c r="N1052" s="52"/>
      <c r="O1052" s="52"/>
    </row>
    <row r="1053" spans="13:15" x14ac:dyDescent="0.25">
      <c r="M1053" s="38"/>
      <c r="N1053" s="52"/>
      <c r="O1053" s="52"/>
    </row>
    <row r="1054" spans="13:15" x14ac:dyDescent="0.25">
      <c r="M1054" s="38"/>
      <c r="N1054" s="52"/>
      <c r="O1054" s="52"/>
    </row>
    <row r="1055" spans="13:15" x14ac:dyDescent="0.25">
      <c r="M1055" s="38"/>
      <c r="N1055" s="52"/>
      <c r="O1055" s="52"/>
    </row>
    <row r="1056" spans="13:15" x14ac:dyDescent="0.25">
      <c r="M1056" s="38"/>
      <c r="N1056" s="52"/>
      <c r="O1056" s="52"/>
    </row>
    <row r="1057" spans="13:15" x14ac:dyDescent="0.25">
      <c r="M1057" s="38"/>
      <c r="N1057" s="52"/>
      <c r="O1057" s="52"/>
    </row>
    <row r="1058" spans="13:15" x14ac:dyDescent="0.25">
      <c r="M1058" s="38"/>
      <c r="N1058" s="52"/>
      <c r="O1058" s="52"/>
    </row>
    <row r="1059" spans="13:15" x14ac:dyDescent="0.25">
      <c r="M1059" s="38"/>
      <c r="N1059" s="52"/>
      <c r="O1059" s="52"/>
    </row>
    <row r="1060" spans="13:15" x14ac:dyDescent="0.25">
      <c r="M1060" s="38"/>
      <c r="N1060" s="52"/>
      <c r="O1060" s="52"/>
    </row>
    <row r="1061" spans="13:15" x14ac:dyDescent="0.25">
      <c r="M1061" s="38"/>
      <c r="N1061" s="52"/>
      <c r="O1061" s="52"/>
    </row>
    <row r="1062" spans="13:15" x14ac:dyDescent="0.25">
      <c r="M1062" s="38"/>
      <c r="N1062" s="52"/>
      <c r="O1062" s="52"/>
    </row>
    <row r="1063" spans="13:15" x14ac:dyDescent="0.25">
      <c r="M1063" s="38"/>
      <c r="N1063" s="52"/>
      <c r="O1063" s="52"/>
    </row>
    <row r="1064" spans="13:15" x14ac:dyDescent="0.25">
      <c r="M1064" s="38"/>
      <c r="N1064" s="52"/>
      <c r="O1064" s="52"/>
    </row>
    <row r="1065" spans="13:15" x14ac:dyDescent="0.25">
      <c r="M1065" s="38"/>
      <c r="N1065" s="52"/>
      <c r="O1065" s="52"/>
    </row>
    <row r="1066" spans="13:15" x14ac:dyDescent="0.25">
      <c r="M1066" s="38"/>
      <c r="N1066" s="52"/>
      <c r="O1066" s="52"/>
    </row>
    <row r="1067" spans="13:15" x14ac:dyDescent="0.25">
      <c r="M1067" s="38"/>
      <c r="N1067" s="52"/>
      <c r="O1067" s="52"/>
    </row>
    <row r="1068" spans="13:15" x14ac:dyDescent="0.25">
      <c r="M1068" s="38"/>
      <c r="N1068" s="52"/>
      <c r="O1068" s="52"/>
    </row>
  </sheetData>
  <sortState xmlns:xlrd2="http://schemas.microsoft.com/office/spreadsheetml/2017/richdata2" ref="A12:AC200">
    <sortCondition ref="B12:B36"/>
  </sortState>
  <mergeCells count="1">
    <mergeCell ref="AA1:AB1"/>
  </mergeCells>
  <phoneticPr fontId="3" type="noConversion"/>
  <conditionalFormatting sqref="G122 C122 AD122:AD157 A9:AB119">
    <cfRule type="expression" dxfId="679" priority="1">
      <formula>$J9="On Hold"</formula>
    </cfRule>
    <cfRule type="expression" dxfId="678" priority="11">
      <formula>$J9=OR("","NA")</formula>
    </cfRule>
    <cfRule type="expression" dxfId="677" priority="12">
      <formula>$J9="TBA"</formula>
    </cfRule>
    <cfRule type="expression" dxfId="676" priority="13">
      <formula>$J9="Other"</formula>
    </cfRule>
    <cfRule type="expression" dxfId="675" priority="14">
      <formula>$J9="Building"</formula>
    </cfRule>
    <cfRule type="expression" dxfId="674" priority="15">
      <formula>$J9="Planning"</formula>
    </cfRule>
  </conditionalFormatting>
  <conditionalFormatting sqref="M122:M135 M9:M119">
    <cfRule type="expression" dxfId="673" priority="5">
      <formula>$AD9&gt;27</formula>
    </cfRule>
  </conditionalFormatting>
  <conditionalFormatting sqref="M122:M135">
    <cfRule type="expression" dxfId="672" priority="2">
      <formula>$AD122&lt;27</formula>
    </cfRule>
  </conditionalFormatting>
  <dataValidations count="2">
    <dataValidation type="list" allowBlank="1" showInputMessage="1" showErrorMessage="1" sqref="J122:J1048576 J70 J107:J119" xr:uid="{00000000-0002-0000-0000-000000000000}">
      <formula1>$J$3:$J$8</formula1>
    </dataValidation>
    <dataValidation type="list" allowBlank="1" showInputMessage="1" showErrorMessage="1" sqref="P70 P107:P119" xr:uid="{00000000-0002-0000-0000-000001000000}">
      <formula1>$P$3:$P$4</formula1>
    </dataValidation>
  </dataValidations>
  <pageMargins left="0.70866141732283472" right="0.70866141732283472" top="0.74803149606299213" bottom="0.74803149606299213" header="0.31496062992125984" footer="0.31496062992125984"/>
  <pageSetup paperSize="8" scale="45"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NewJob">
                <anchor moveWithCells="1" sizeWithCells="1">
                  <from>
                    <xdr:col>1</xdr:col>
                    <xdr:colOff>133350</xdr:colOff>
                    <xdr:row>0</xdr:row>
                    <xdr:rowOff>47625</xdr:rowOff>
                  </from>
                  <to>
                    <xdr:col>2</xdr:col>
                    <xdr:colOff>962025</xdr:colOff>
                    <xdr:row>0</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_xludf.Search">
                <anchor moveWithCells="1" sizeWithCells="1">
                  <from>
                    <xdr:col>5</xdr:col>
                    <xdr:colOff>85725</xdr:colOff>
                    <xdr:row>0</xdr:row>
                    <xdr:rowOff>47625</xdr:rowOff>
                  </from>
                  <to>
                    <xdr:col>6</xdr:col>
                    <xdr:colOff>333375</xdr:colOff>
                    <xdr:row>0</xdr:row>
                    <xdr:rowOff>361950</xdr:rowOff>
                  </to>
                </anchor>
              </controlPr>
            </control>
          </mc:Choice>
        </mc:AlternateContent>
        <mc:AlternateContent xmlns:mc="http://schemas.openxmlformats.org/markup-compatibility/2006">
          <mc:Choice Requires="x14">
            <control shapeId="1036" r:id="rId6" name="Button 12">
              <controlPr defaultSize="0" print="0" autoFill="0" autoPict="0" macro="[0]!NewHistory">
                <anchor moveWithCells="1" sizeWithCells="1">
                  <from>
                    <xdr:col>6</xdr:col>
                    <xdr:colOff>409575</xdr:colOff>
                    <xdr:row>0</xdr:row>
                    <xdr:rowOff>47625</xdr:rowOff>
                  </from>
                  <to>
                    <xdr:col>7</xdr:col>
                    <xdr:colOff>590550</xdr:colOff>
                    <xdr:row>0</xdr:row>
                    <xdr:rowOff>361950</xdr:rowOff>
                  </to>
                </anchor>
              </controlPr>
            </control>
          </mc:Choice>
        </mc:AlternateContent>
        <mc:AlternateContent xmlns:mc="http://schemas.openxmlformats.org/markup-compatibility/2006">
          <mc:Choice Requires="x14">
            <control shapeId="1037" r:id="rId7" name="Button 13">
              <controlPr defaultSize="0" print="0" autoFill="0" autoPict="0" macro="[0]!SendEmail_Example1">
                <anchor moveWithCells="1" sizeWithCells="1">
                  <from>
                    <xdr:col>9</xdr:col>
                    <xdr:colOff>85725</xdr:colOff>
                    <xdr:row>0</xdr:row>
                    <xdr:rowOff>57150</xdr:rowOff>
                  </from>
                  <to>
                    <xdr:col>9</xdr:col>
                    <xdr:colOff>1266825</xdr:colOff>
                    <xdr:row>0</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68DC046-26FB-498E-80F9-B5DFE04389A6}">
          <x14:formula1>
            <xm:f>Archived!$K$2:$K$6</xm:f>
          </x14:formula1>
          <xm:sqref>L122:L412 L70 L107:L119</xm:sqref>
        </x14:dataValidation>
        <x14:dataValidation type="list" allowBlank="1" showInputMessage="1" showErrorMessage="1" xr:uid="{DB01A57B-3CDA-402A-BECE-0B9F2F8DFA73}">
          <x14:formula1>
            <xm:f>'Active Permit Account Overview'!$R$1:$R$2</xm:f>
          </x14:formula1>
          <xm:sqref>K70 K105:K119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H1327"/>
  <sheetViews>
    <sheetView zoomScale="85" zoomScaleNormal="85" workbookViewId="0">
      <pane xSplit="3" ySplit="2" topLeftCell="D332" activePane="bottomRight" state="frozen"/>
      <selection pane="topRight" activeCell="D1" sqref="D1"/>
      <selection pane="bottomLeft" activeCell="A45" sqref="A45"/>
      <selection pane="bottomRight" activeCell="AB335" sqref="AB335"/>
    </sheetView>
  </sheetViews>
  <sheetFormatPr defaultColWidth="9.140625" defaultRowHeight="15" x14ac:dyDescent="0.25"/>
  <cols>
    <col min="1" max="1" width="1.85546875" customWidth="1"/>
    <col min="2" max="2" width="6.85546875" style="41" customWidth="1"/>
    <col min="3" max="3" width="23.85546875" customWidth="1"/>
    <col min="4" max="4" width="13" customWidth="1"/>
    <col min="5" max="5" width="13.85546875" style="13" customWidth="1"/>
    <col min="6" max="6" width="16.5703125" customWidth="1"/>
    <col min="7" max="7" width="18.85546875" hidden="1" customWidth="1"/>
    <col min="8" max="8" width="17" customWidth="1"/>
    <col min="9" max="9" width="20.5703125" style="13" customWidth="1"/>
    <col min="10" max="10" width="11.7109375" customWidth="1"/>
    <col min="11" max="11" width="17.140625" hidden="1" customWidth="1"/>
    <col min="12" max="12" width="24" hidden="1" customWidth="1"/>
    <col min="13" max="13" width="15.28515625" hidden="1" customWidth="1"/>
    <col min="14" max="14" width="15.5703125" style="13" hidden="1" customWidth="1"/>
    <col min="15" max="15" width="13" hidden="1" customWidth="1"/>
    <col min="16" max="16" width="11.7109375" style="38" hidden="1" customWidth="1"/>
    <col min="17" max="17" width="12.28515625" style="38" hidden="1" customWidth="1"/>
    <col min="18" max="18" width="0.28515625" style="38" hidden="1" customWidth="1"/>
    <col min="19" max="19" width="16.28515625" style="38" customWidth="1"/>
    <col min="20" max="20" width="0.5703125" hidden="1" customWidth="1"/>
    <col min="21" max="21" width="12.5703125" style="38" customWidth="1"/>
    <col min="22" max="22" width="11.42578125" style="54" customWidth="1"/>
    <col min="23" max="23" width="10.85546875" bestFit="1" customWidth="1"/>
    <col min="25" max="25" width="10.85546875" bestFit="1" customWidth="1"/>
    <col min="26" max="26" width="15.85546875" style="54" customWidth="1"/>
    <col min="27" max="27" width="11" customWidth="1"/>
    <col min="28" max="28" width="13.42578125" customWidth="1"/>
    <col min="30" max="30" width="9.85546875" style="175" bestFit="1" customWidth="1"/>
  </cols>
  <sheetData>
    <row r="1" spans="1:30" ht="15.75" thickBot="1" x14ac:dyDescent="0.3">
      <c r="C1" s="47">
        <f ca="1">NOW()</f>
        <v>45901.692767708337</v>
      </c>
    </row>
    <row r="2" spans="1:30" s="43" customFormat="1" ht="48.75" customHeight="1" thickBot="1" x14ac:dyDescent="0.3">
      <c r="A2" s="42"/>
      <c r="B2" s="3" t="s">
        <v>2</v>
      </c>
      <c r="C2" s="3" t="s">
        <v>3</v>
      </c>
      <c r="D2" s="49" t="s">
        <v>4</v>
      </c>
      <c r="E2" s="4" t="s">
        <v>5</v>
      </c>
      <c r="F2" s="3" t="s">
        <v>7</v>
      </c>
      <c r="G2" s="3" t="s">
        <v>8</v>
      </c>
      <c r="H2" s="3" t="s">
        <v>9</v>
      </c>
      <c r="I2" s="3" t="s">
        <v>716</v>
      </c>
      <c r="J2" s="4" t="s">
        <v>717</v>
      </c>
      <c r="K2" s="3" t="s">
        <v>12</v>
      </c>
      <c r="L2" s="3" t="s">
        <v>718</v>
      </c>
      <c r="M2" s="3" t="s">
        <v>719</v>
      </c>
      <c r="N2" s="3" t="s">
        <v>720</v>
      </c>
      <c r="O2" s="4" t="s">
        <v>16</v>
      </c>
      <c r="P2" s="44" t="s">
        <v>17</v>
      </c>
      <c r="Q2" s="44" t="s">
        <v>18</v>
      </c>
      <c r="R2" s="44" t="s">
        <v>19</v>
      </c>
      <c r="S2" s="44" t="s">
        <v>721</v>
      </c>
      <c r="T2" s="4" t="s">
        <v>722</v>
      </c>
      <c r="U2" s="44" t="s">
        <v>22</v>
      </c>
      <c r="V2" s="71" t="s">
        <v>723</v>
      </c>
      <c r="W2" s="44" t="s">
        <v>724</v>
      </c>
      <c r="X2" s="44" t="s">
        <v>725</v>
      </c>
      <c r="Y2" s="44" t="s">
        <v>726</v>
      </c>
      <c r="Z2" s="71" t="s">
        <v>727</v>
      </c>
      <c r="AA2" s="70" t="s">
        <v>28</v>
      </c>
      <c r="AD2" s="176"/>
    </row>
    <row r="3" spans="1:30" x14ac:dyDescent="0.25">
      <c r="A3" s="62" t="s">
        <v>45</v>
      </c>
      <c r="B3" s="63">
        <v>9033</v>
      </c>
      <c r="C3" s="62" t="s">
        <v>728</v>
      </c>
      <c r="D3" s="62" t="s">
        <v>729</v>
      </c>
      <c r="E3" s="64">
        <v>44756</v>
      </c>
      <c r="F3" s="62" t="s">
        <v>730</v>
      </c>
      <c r="G3" s="62" t="s">
        <v>731</v>
      </c>
      <c r="H3" s="62" t="s">
        <v>29</v>
      </c>
      <c r="I3" s="65" t="s">
        <v>30</v>
      </c>
      <c r="J3" s="66">
        <v>44762</v>
      </c>
      <c r="K3" s="62"/>
      <c r="L3" s="66"/>
      <c r="M3" s="66"/>
      <c r="N3" s="64"/>
      <c r="O3" s="62"/>
      <c r="P3" s="66"/>
      <c r="Q3" s="66"/>
      <c r="R3" s="66"/>
      <c r="S3" s="66" t="s">
        <v>732</v>
      </c>
      <c r="T3" s="62"/>
      <c r="U3" s="67">
        <v>1650</v>
      </c>
      <c r="V3" s="68">
        <v>660</v>
      </c>
      <c r="W3" s="69">
        <v>44757</v>
      </c>
      <c r="X3" s="68">
        <v>990</v>
      </c>
      <c r="Y3" s="69">
        <v>44761</v>
      </c>
      <c r="Z3" s="68">
        <f>1042.27+22.43</f>
        <v>1064.7</v>
      </c>
      <c r="AA3" s="68">
        <f>V3+X3-Z3</f>
        <v>585.29999999999995</v>
      </c>
      <c r="AD3"/>
    </row>
    <row r="4" spans="1:30" x14ac:dyDescent="0.25">
      <c r="A4" s="62" t="s">
        <v>45</v>
      </c>
      <c r="B4" s="63">
        <v>9039</v>
      </c>
      <c r="C4" s="62" t="s">
        <v>733</v>
      </c>
      <c r="D4" s="62" t="s">
        <v>734</v>
      </c>
      <c r="E4" s="64">
        <v>44763</v>
      </c>
      <c r="F4" s="62" t="s">
        <v>735</v>
      </c>
      <c r="G4" s="62" t="s">
        <v>736</v>
      </c>
      <c r="H4" s="62" t="s">
        <v>37</v>
      </c>
      <c r="I4" s="65" t="s">
        <v>30</v>
      </c>
      <c r="J4" s="66">
        <v>44777</v>
      </c>
      <c r="K4" s="62"/>
      <c r="L4" s="66"/>
      <c r="M4" s="66"/>
      <c r="N4" s="64"/>
      <c r="O4" s="62"/>
      <c r="P4" s="66"/>
      <c r="Q4" s="66"/>
      <c r="R4" s="66"/>
      <c r="S4" s="66" t="s">
        <v>737</v>
      </c>
      <c r="T4" s="62"/>
      <c r="U4" s="67">
        <v>1650</v>
      </c>
      <c r="V4" s="68">
        <v>550</v>
      </c>
      <c r="W4" s="69">
        <v>44771</v>
      </c>
      <c r="X4" s="68">
        <v>1100</v>
      </c>
      <c r="Y4" s="66">
        <v>44777</v>
      </c>
      <c r="Z4" s="68">
        <f>22.43+1062.65</f>
        <v>1085.0800000000002</v>
      </c>
      <c r="AA4" s="68">
        <f>U4-Z4</f>
        <v>564.91999999999985</v>
      </c>
      <c r="AC4" s="106">
        <v>1</v>
      </c>
      <c r="AD4"/>
    </row>
    <row r="5" spans="1:30" x14ac:dyDescent="0.25">
      <c r="A5" s="62" t="s">
        <v>45</v>
      </c>
      <c r="B5" s="63">
        <v>8996</v>
      </c>
      <c r="C5" s="62" t="s">
        <v>738</v>
      </c>
      <c r="D5" s="62" t="s">
        <v>739</v>
      </c>
      <c r="E5" s="64">
        <v>44669</v>
      </c>
      <c r="F5" s="62" t="s">
        <v>591</v>
      </c>
      <c r="G5" s="62" t="s">
        <v>740</v>
      </c>
      <c r="H5" s="62" t="s">
        <v>29</v>
      </c>
      <c r="I5" s="65" t="s">
        <v>30</v>
      </c>
      <c r="J5" s="66">
        <v>44778</v>
      </c>
      <c r="K5" s="62"/>
      <c r="L5" s="66"/>
      <c r="M5" s="66"/>
      <c r="N5" s="64"/>
      <c r="O5" s="62"/>
      <c r="P5" s="66"/>
      <c r="Q5" s="66"/>
      <c r="R5" s="66"/>
      <c r="S5" s="66" t="s">
        <v>741</v>
      </c>
      <c r="T5" s="62"/>
      <c r="U5" s="67">
        <v>1450</v>
      </c>
      <c r="V5" s="68">
        <v>440</v>
      </c>
      <c r="W5" s="69">
        <v>44761</v>
      </c>
      <c r="X5" s="68">
        <v>1010</v>
      </c>
      <c r="Y5" s="66">
        <v>44778</v>
      </c>
      <c r="Z5" s="68">
        <f>22.43+10.36+1038.07</f>
        <v>1070.8599999999999</v>
      </c>
      <c r="AA5" s="68">
        <f>U5-Z5</f>
        <v>379.1400000000001</v>
      </c>
      <c r="AC5" s="106">
        <v>1</v>
      </c>
      <c r="AD5"/>
    </row>
    <row r="6" spans="1:30" x14ac:dyDescent="0.25">
      <c r="A6" s="62" t="s">
        <v>45</v>
      </c>
      <c r="B6" s="63">
        <v>9040</v>
      </c>
      <c r="C6" s="62" t="s">
        <v>742</v>
      </c>
      <c r="D6" s="62" t="s">
        <v>743</v>
      </c>
      <c r="E6" s="64">
        <v>44764</v>
      </c>
      <c r="F6" s="62" t="s">
        <v>198</v>
      </c>
      <c r="G6" s="62" t="s">
        <v>744</v>
      </c>
      <c r="H6" s="62" t="s">
        <v>374</v>
      </c>
      <c r="I6" s="65" t="s">
        <v>30</v>
      </c>
      <c r="J6" s="66">
        <v>44798</v>
      </c>
      <c r="K6" s="62"/>
      <c r="L6" s="66"/>
      <c r="M6" s="66"/>
      <c r="N6" s="64"/>
      <c r="O6" s="62"/>
      <c r="P6" s="66"/>
      <c r="Q6" s="66"/>
      <c r="R6" s="66"/>
      <c r="S6" s="66" t="s">
        <v>741</v>
      </c>
      <c r="T6" s="62"/>
      <c r="U6" s="67">
        <f>1450+81</f>
        <v>1531</v>
      </c>
      <c r="V6" s="68">
        <f>440+81</f>
        <v>521</v>
      </c>
      <c r="W6" s="69">
        <v>44778</v>
      </c>
      <c r="X6" s="68">
        <v>1010</v>
      </c>
      <c r="Y6" s="66">
        <v>44798</v>
      </c>
      <c r="Z6" s="68">
        <f>37.97+1038.25+90</f>
        <v>1166.22</v>
      </c>
      <c r="AA6" s="68">
        <f>V6+X6-Z6</f>
        <v>364.78</v>
      </c>
      <c r="AC6" s="106">
        <f>IF(J6="YES",0,1)</f>
        <v>1</v>
      </c>
      <c r="AD6"/>
    </row>
    <row r="7" spans="1:30" x14ac:dyDescent="0.25">
      <c r="A7" s="62" t="s">
        <v>45</v>
      </c>
      <c r="B7" s="63">
        <v>9027</v>
      </c>
      <c r="C7" s="62" t="s">
        <v>745</v>
      </c>
      <c r="D7" s="62" t="s">
        <v>746</v>
      </c>
      <c r="E7" s="64">
        <v>44730</v>
      </c>
      <c r="F7" s="62" t="s">
        <v>747</v>
      </c>
      <c r="G7" s="62" t="s">
        <v>748</v>
      </c>
      <c r="H7" s="62" t="s">
        <v>29</v>
      </c>
      <c r="I7" s="65" t="s">
        <v>30</v>
      </c>
      <c r="J7" s="66">
        <v>44778</v>
      </c>
      <c r="K7" s="62"/>
      <c r="L7" s="66"/>
      <c r="M7" s="66"/>
      <c r="N7" s="64"/>
      <c r="O7" s="62"/>
      <c r="P7" s="66"/>
      <c r="Q7" s="66"/>
      <c r="R7" s="66"/>
      <c r="S7" s="66" t="s">
        <v>749</v>
      </c>
      <c r="T7" s="62"/>
      <c r="U7" s="67">
        <v>1650</v>
      </c>
      <c r="V7" s="68">
        <v>550</v>
      </c>
      <c r="W7" s="69">
        <v>44769</v>
      </c>
      <c r="X7" s="68">
        <v>1100</v>
      </c>
      <c r="Y7" s="66">
        <v>44778</v>
      </c>
      <c r="Z7" s="68">
        <f>22.43+1108.62</f>
        <v>1131.05</v>
      </c>
      <c r="AA7" s="68">
        <f>V7+X7-Z7</f>
        <v>518.95000000000005</v>
      </c>
      <c r="AC7" s="106">
        <v>1</v>
      </c>
      <c r="AD7"/>
    </row>
    <row r="8" spans="1:30" x14ac:dyDescent="0.25">
      <c r="A8" s="62" t="s">
        <v>45</v>
      </c>
      <c r="B8" s="63">
        <v>9037</v>
      </c>
      <c r="C8" s="62" t="s">
        <v>750</v>
      </c>
      <c r="D8" s="62" t="s">
        <v>751</v>
      </c>
      <c r="E8" s="64">
        <v>44755</v>
      </c>
      <c r="F8" s="62" t="s">
        <v>752</v>
      </c>
      <c r="G8" s="62" t="s">
        <v>753</v>
      </c>
      <c r="H8" s="62" t="s">
        <v>29</v>
      </c>
      <c r="I8" s="65" t="s">
        <v>30</v>
      </c>
      <c r="J8" s="66">
        <v>44797</v>
      </c>
      <c r="K8" s="62"/>
      <c r="L8" s="66" t="s">
        <v>754</v>
      </c>
      <c r="M8" s="66"/>
      <c r="N8" s="64"/>
      <c r="O8" s="62"/>
      <c r="P8" s="66"/>
      <c r="Q8" s="66"/>
      <c r="R8" s="66"/>
      <c r="S8" s="66" t="s">
        <v>749</v>
      </c>
      <c r="T8" s="62"/>
      <c r="U8" s="67">
        <f>1650</f>
        <v>1650</v>
      </c>
      <c r="V8" s="68">
        <v>1650</v>
      </c>
      <c r="W8" s="69">
        <v>44768</v>
      </c>
      <c r="X8" s="68"/>
      <c r="Y8" s="62"/>
      <c r="Z8" s="68">
        <f>22.43+1107.7</f>
        <v>1130.1300000000001</v>
      </c>
      <c r="AA8" s="68">
        <f>V8-Z8</f>
        <v>519.86999999999989</v>
      </c>
      <c r="AC8" s="106">
        <v>1</v>
      </c>
      <c r="AD8"/>
    </row>
    <row r="9" spans="1:30" x14ac:dyDescent="0.25">
      <c r="A9" s="62" t="s">
        <v>45</v>
      </c>
      <c r="B9" s="63">
        <v>9045</v>
      </c>
      <c r="C9" s="62" t="s">
        <v>755</v>
      </c>
      <c r="D9" s="62" t="s">
        <v>756</v>
      </c>
      <c r="E9" s="64">
        <v>44774</v>
      </c>
      <c r="F9" s="62" t="s">
        <v>752</v>
      </c>
      <c r="G9" s="62" t="s">
        <v>757</v>
      </c>
      <c r="H9" s="62" t="s">
        <v>40</v>
      </c>
      <c r="I9" s="65" t="s">
        <v>30</v>
      </c>
      <c r="J9" s="66">
        <v>44830</v>
      </c>
      <c r="K9" s="62"/>
      <c r="L9" s="66"/>
      <c r="M9" s="66"/>
      <c r="N9" s="64"/>
      <c r="O9" s="62"/>
      <c r="P9" s="66"/>
      <c r="Q9" s="66"/>
      <c r="R9" s="66"/>
      <c r="S9" s="66" t="s">
        <v>758</v>
      </c>
      <c r="T9" s="62"/>
      <c r="U9" s="67">
        <v>1450</v>
      </c>
      <c r="V9" s="68">
        <v>1450</v>
      </c>
      <c r="W9" s="69">
        <v>44813</v>
      </c>
      <c r="X9" s="68"/>
      <c r="Y9" s="62"/>
      <c r="Z9" s="68">
        <f>22.43+1038.39</f>
        <v>1060.8200000000002</v>
      </c>
      <c r="AA9" s="68">
        <f>U9-Z9</f>
        <v>389.17999999999984</v>
      </c>
      <c r="AC9" s="106">
        <v>1</v>
      </c>
      <c r="AD9"/>
    </row>
    <row r="10" spans="1:30" x14ac:dyDescent="0.25">
      <c r="A10" s="62" t="s">
        <v>45</v>
      </c>
      <c r="B10" s="63">
        <v>9051</v>
      </c>
      <c r="C10" s="62" t="s">
        <v>759</v>
      </c>
      <c r="D10" s="62" t="s">
        <v>760</v>
      </c>
      <c r="E10" s="64">
        <v>44804</v>
      </c>
      <c r="F10" s="62" t="s">
        <v>72</v>
      </c>
      <c r="G10" s="62" t="s">
        <v>761</v>
      </c>
      <c r="H10" s="62" t="s">
        <v>29</v>
      </c>
      <c r="I10" s="65" t="s">
        <v>30</v>
      </c>
      <c r="J10" s="66">
        <v>44832</v>
      </c>
      <c r="K10" s="62"/>
      <c r="L10" s="66"/>
      <c r="M10" s="66"/>
      <c r="N10" s="64"/>
      <c r="O10" s="62"/>
      <c r="P10" s="66"/>
      <c r="Q10" s="66"/>
      <c r="R10" s="66"/>
      <c r="S10" s="66" t="s">
        <v>762</v>
      </c>
      <c r="T10" s="62"/>
      <c r="U10" s="78">
        <v>1850</v>
      </c>
      <c r="V10" s="79">
        <v>660</v>
      </c>
      <c r="W10" s="77">
        <v>44813</v>
      </c>
      <c r="X10" s="79">
        <v>1190</v>
      </c>
      <c r="Y10" s="77">
        <v>44832</v>
      </c>
      <c r="Z10" s="79">
        <f>1179.57+22.43</f>
        <v>1202</v>
      </c>
      <c r="AA10" s="79">
        <f>V10+X10-Z10</f>
        <v>648</v>
      </c>
      <c r="AC10" s="106">
        <v>1</v>
      </c>
      <c r="AD10"/>
    </row>
    <row r="11" spans="1:30" x14ac:dyDescent="0.25">
      <c r="A11" s="62" t="s">
        <v>45</v>
      </c>
      <c r="B11" s="63">
        <v>9056</v>
      </c>
      <c r="C11" s="62" t="s">
        <v>763</v>
      </c>
      <c r="D11" s="62" t="s">
        <v>764</v>
      </c>
      <c r="E11" s="64">
        <v>44817</v>
      </c>
      <c r="F11" s="62" t="s">
        <v>765</v>
      </c>
      <c r="G11" s="62" t="s">
        <v>766</v>
      </c>
      <c r="H11" s="62" t="s">
        <v>767</v>
      </c>
      <c r="I11" s="65" t="s">
        <v>30</v>
      </c>
      <c r="J11" s="66">
        <v>44832</v>
      </c>
      <c r="K11" s="62"/>
      <c r="L11" s="66"/>
      <c r="M11" s="66"/>
      <c r="N11" s="64"/>
      <c r="O11" s="62"/>
      <c r="P11" s="66"/>
      <c r="Q11" s="66"/>
      <c r="R11" s="66"/>
      <c r="S11" s="66" t="s">
        <v>768</v>
      </c>
      <c r="T11" s="62" t="s">
        <v>769</v>
      </c>
      <c r="U11" s="78">
        <v>1650</v>
      </c>
      <c r="V11" s="79">
        <v>1650</v>
      </c>
      <c r="W11" s="77">
        <v>44827</v>
      </c>
      <c r="X11" s="79"/>
      <c r="Y11" s="77"/>
      <c r="Z11" s="79">
        <f>22.43+1042.66</f>
        <v>1065.0900000000001</v>
      </c>
      <c r="AA11" s="79">
        <f>V11-Z11</f>
        <v>584.90999999999985</v>
      </c>
      <c r="AC11" s="106">
        <v>1</v>
      </c>
      <c r="AD11"/>
    </row>
    <row r="12" spans="1:30" x14ac:dyDescent="0.25">
      <c r="A12" s="62" t="s">
        <v>45</v>
      </c>
      <c r="B12" s="63">
        <v>9048</v>
      </c>
      <c r="C12" s="62" t="s">
        <v>770</v>
      </c>
      <c r="D12" s="62" t="s">
        <v>771</v>
      </c>
      <c r="E12" s="64">
        <v>44804</v>
      </c>
      <c r="F12" s="62" t="s">
        <v>72</v>
      </c>
      <c r="G12" s="62" t="s">
        <v>772</v>
      </c>
      <c r="H12" s="62" t="s">
        <v>29</v>
      </c>
      <c r="I12" s="65" t="s">
        <v>30</v>
      </c>
      <c r="J12" s="66">
        <v>44820</v>
      </c>
      <c r="K12" s="62"/>
      <c r="L12" s="66"/>
      <c r="M12" s="66"/>
      <c r="N12" s="64"/>
      <c r="O12" s="62"/>
      <c r="P12" s="66"/>
      <c r="Q12" s="66"/>
      <c r="R12" s="66"/>
      <c r="S12" s="66" t="s">
        <v>773</v>
      </c>
      <c r="T12" s="62"/>
      <c r="U12" s="78">
        <f>1650+423</f>
        <v>2073</v>
      </c>
      <c r="V12" s="79">
        <v>1650</v>
      </c>
      <c r="W12" s="77">
        <v>44818</v>
      </c>
      <c r="X12" s="79"/>
      <c r="Y12" s="77"/>
      <c r="Z12" s="79">
        <f>22.43+5.18+15.54+1105.11</f>
        <v>1148.26</v>
      </c>
      <c r="AA12" s="79">
        <f>V12-Z12</f>
        <v>501.74</v>
      </c>
      <c r="AC12" s="106">
        <f>IF(J12="YES",0,1)</f>
        <v>1</v>
      </c>
      <c r="AD12"/>
    </row>
    <row r="13" spans="1:30" x14ac:dyDescent="0.25">
      <c r="A13" s="62" t="s">
        <v>45</v>
      </c>
      <c r="B13" s="63">
        <v>9049</v>
      </c>
      <c r="C13" s="62" t="s">
        <v>774</v>
      </c>
      <c r="D13" s="62" t="s">
        <v>775</v>
      </c>
      <c r="E13" s="64">
        <v>44798</v>
      </c>
      <c r="F13" s="62" t="s">
        <v>78</v>
      </c>
      <c r="G13" s="62" t="s">
        <v>776</v>
      </c>
      <c r="H13" s="62" t="s">
        <v>777</v>
      </c>
      <c r="I13" s="65" t="s">
        <v>30</v>
      </c>
      <c r="J13" s="66">
        <v>44812</v>
      </c>
      <c r="K13" s="62"/>
      <c r="L13" s="66"/>
      <c r="M13" s="66"/>
      <c r="N13" s="64"/>
      <c r="O13" s="62"/>
      <c r="P13" s="66"/>
      <c r="Q13" s="66"/>
      <c r="R13" s="66"/>
      <c r="S13" s="66" t="s">
        <v>773</v>
      </c>
      <c r="T13" s="62"/>
      <c r="U13" s="78">
        <v>1650</v>
      </c>
      <c r="V13" s="79">
        <v>550</v>
      </c>
      <c r="W13" s="77">
        <v>44798</v>
      </c>
      <c r="X13" s="79">
        <v>1100</v>
      </c>
      <c r="Y13" s="77">
        <v>44812</v>
      </c>
      <c r="Z13" s="79">
        <f>22.43+5.18+1103.38</f>
        <v>1130.99</v>
      </c>
      <c r="AA13" s="79">
        <f>V13+X13-Z13</f>
        <v>519.01</v>
      </c>
      <c r="AC13" s="106">
        <v>1</v>
      </c>
      <c r="AD13"/>
    </row>
    <row r="14" spans="1:30" x14ac:dyDescent="0.25">
      <c r="A14" s="62" t="s">
        <v>45</v>
      </c>
      <c r="B14" s="63">
        <v>9054</v>
      </c>
      <c r="C14" s="62" t="s">
        <v>778</v>
      </c>
      <c r="D14" s="62" t="s">
        <v>779</v>
      </c>
      <c r="E14" s="64">
        <v>44812</v>
      </c>
      <c r="F14" s="62" t="s">
        <v>780</v>
      </c>
      <c r="G14" s="62" t="s">
        <v>781</v>
      </c>
      <c r="H14" s="62" t="s">
        <v>29</v>
      </c>
      <c r="I14" s="65" t="s">
        <v>782</v>
      </c>
      <c r="J14" s="66">
        <v>44813</v>
      </c>
      <c r="K14" s="62" t="s">
        <v>67</v>
      </c>
      <c r="L14" s="66">
        <v>44844</v>
      </c>
      <c r="M14" s="66"/>
      <c r="N14" s="64"/>
      <c r="O14" s="62" t="s">
        <v>32</v>
      </c>
      <c r="P14" s="66">
        <v>44816</v>
      </c>
      <c r="Q14" s="66">
        <v>44876</v>
      </c>
      <c r="R14" s="66">
        <v>44872</v>
      </c>
      <c r="S14" s="66" t="s">
        <v>783</v>
      </c>
      <c r="T14" s="62"/>
      <c r="U14" s="78">
        <f>1850+1572+121+423+202</f>
        <v>4168</v>
      </c>
      <c r="V14" s="79">
        <v>1850</v>
      </c>
      <c r="W14" s="77">
        <v>44806</v>
      </c>
      <c r="X14" s="79">
        <f>432+280+190</f>
        <v>902</v>
      </c>
      <c r="Y14" s="77">
        <v>44855</v>
      </c>
      <c r="Z14" s="79">
        <f>36.77+443.4+299.8+1185.32</f>
        <v>1965.29</v>
      </c>
      <c r="AA14" s="79">
        <f>V14+X14-Z14</f>
        <v>786.71</v>
      </c>
      <c r="AC14" s="106">
        <f>IF(J14="YES",0,1)</f>
        <v>1</v>
      </c>
      <c r="AD14"/>
    </row>
    <row r="15" spans="1:30" x14ac:dyDescent="0.25">
      <c r="A15" s="62" t="s">
        <v>45</v>
      </c>
      <c r="B15" s="63">
        <v>9053</v>
      </c>
      <c r="C15" s="62" t="s">
        <v>784</v>
      </c>
      <c r="D15" s="62" t="s">
        <v>785</v>
      </c>
      <c r="E15" s="64">
        <v>44806</v>
      </c>
      <c r="F15" s="62" t="s">
        <v>72</v>
      </c>
      <c r="G15" s="62" t="s">
        <v>786</v>
      </c>
      <c r="H15" s="62" t="s">
        <v>29</v>
      </c>
      <c r="I15" s="65" t="s">
        <v>30</v>
      </c>
      <c r="J15" s="66">
        <v>44832</v>
      </c>
      <c r="K15" s="62"/>
      <c r="L15" s="66"/>
      <c r="M15" s="66"/>
      <c r="N15" s="64"/>
      <c r="O15" s="62"/>
      <c r="P15" s="66"/>
      <c r="Q15" s="66"/>
      <c r="R15" s="66"/>
      <c r="S15" s="66" t="s">
        <v>787</v>
      </c>
      <c r="T15" s="62"/>
      <c r="U15" s="78">
        <v>1450</v>
      </c>
      <c r="V15" s="79">
        <v>1450</v>
      </c>
      <c r="W15" s="77">
        <v>44820</v>
      </c>
      <c r="X15" s="79"/>
      <c r="Y15" s="77"/>
      <c r="Z15" s="79">
        <f>22.43+1099.99</f>
        <v>1122.42</v>
      </c>
      <c r="AA15" s="79">
        <f>V15-Z15</f>
        <v>327.57999999999993</v>
      </c>
      <c r="AC15" s="106">
        <v>1</v>
      </c>
      <c r="AD15"/>
    </row>
    <row r="16" spans="1:30" x14ac:dyDescent="0.25">
      <c r="A16" s="62"/>
      <c r="B16" s="63"/>
      <c r="C16" s="62" t="s">
        <v>788</v>
      </c>
      <c r="D16" s="62" t="s">
        <v>789</v>
      </c>
      <c r="E16" s="65" t="s">
        <v>790</v>
      </c>
      <c r="F16" s="62" t="s">
        <v>506</v>
      </c>
      <c r="G16" s="62" t="s">
        <v>791</v>
      </c>
      <c r="H16" s="62" t="s">
        <v>29</v>
      </c>
      <c r="I16" s="65" t="s">
        <v>30</v>
      </c>
      <c r="J16" s="66">
        <v>44888</v>
      </c>
      <c r="K16" s="62"/>
      <c r="L16" s="66"/>
      <c r="M16" s="66"/>
      <c r="N16" s="64"/>
      <c r="O16" s="62"/>
      <c r="P16" s="66"/>
      <c r="Q16" s="66"/>
      <c r="R16" s="66"/>
      <c r="S16" s="66" t="s">
        <v>792</v>
      </c>
      <c r="T16" s="62"/>
      <c r="U16" s="67">
        <v>1550</v>
      </c>
      <c r="V16" s="68">
        <v>1550</v>
      </c>
      <c r="W16" s="69">
        <v>44883</v>
      </c>
      <c r="X16" s="68"/>
      <c r="Y16" s="62"/>
      <c r="Z16" s="68">
        <f>22.43+10.36+5.18+1039.79</f>
        <v>1077.76</v>
      </c>
      <c r="AA16" s="68">
        <f>V16-Z16</f>
        <v>472.24</v>
      </c>
      <c r="AC16" s="106">
        <v>1</v>
      </c>
      <c r="AD16"/>
    </row>
    <row r="17" spans="1:30" x14ac:dyDescent="0.25">
      <c r="A17" s="62" t="s">
        <v>45</v>
      </c>
      <c r="B17" s="63">
        <v>9058</v>
      </c>
      <c r="C17" s="62" t="s">
        <v>793</v>
      </c>
      <c r="D17" s="62" t="s">
        <v>794</v>
      </c>
      <c r="E17" s="64">
        <v>44817</v>
      </c>
      <c r="F17" s="62" t="s">
        <v>72</v>
      </c>
      <c r="G17" s="62" t="s">
        <v>795</v>
      </c>
      <c r="H17" s="62" t="s">
        <v>29</v>
      </c>
      <c r="I17" s="65" t="s">
        <v>30</v>
      </c>
      <c r="J17" s="66">
        <v>44862</v>
      </c>
      <c r="K17" s="62" t="s">
        <v>31</v>
      </c>
      <c r="L17" s="66" t="s">
        <v>796</v>
      </c>
      <c r="M17" s="66"/>
      <c r="N17" s="64"/>
      <c r="O17" s="62"/>
      <c r="P17" s="66"/>
      <c r="Q17" s="66"/>
      <c r="R17" s="66"/>
      <c r="S17" s="66" t="s">
        <v>797</v>
      </c>
      <c r="T17" s="62"/>
      <c r="U17" s="78">
        <v>2714</v>
      </c>
      <c r="V17" s="79">
        <v>864</v>
      </c>
      <c r="W17" s="77">
        <v>44816</v>
      </c>
      <c r="X17" s="89">
        <v>986</v>
      </c>
      <c r="Y17" s="77">
        <v>44855</v>
      </c>
      <c r="Z17" s="79">
        <f>22.43+5.18+5.18+1176.1</f>
        <v>1208.8899999999999</v>
      </c>
      <c r="AA17" s="79">
        <f>V17+X17-Z17</f>
        <v>641.11000000000013</v>
      </c>
      <c r="AC17" s="106">
        <f>IF(J17="YES",0,1)</f>
        <v>1</v>
      </c>
      <c r="AD17"/>
    </row>
    <row r="18" spans="1:30" x14ac:dyDescent="0.25">
      <c r="A18" s="62" t="s">
        <v>45</v>
      </c>
      <c r="B18" s="63">
        <v>9080</v>
      </c>
      <c r="C18" s="62" t="s">
        <v>798</v>
      </c>
      <c r="D18" s="62" t="s">
        <v>799</v>
      </c>
      <c r="E18" s="64">
        <v>44910</v>
      </c>
      <c r="F18" s="62" t="s">
        <v>260</v>
      </c>
      <c r="G18" s="62" t="s">
        <v>800</v>
      </c>
      <c r="H18" s="62" t="s">
        <v>29</v>
      </c>
      <c r="I18" s="65" t="s">
        <v>30</v>
      </c>
      <c r="J18" s="66">
        <v>44911</v>
      </c>
      <c r="K18" s="62"/>
      <c r="L18" s="66"/>
      <c r="M18" s="66"/>
      <c r="N18" s="64"/>
      <c r="O18" s="62"/>
      <c r="P18" s="66"/>
      <c r="Q18" s="66"/>
      <c r="R18" s="66"/>
      <c r="S18" s="66" t="s">
        <v>797</v>
      </c>
      <c r="T18" s="62"/>
      <c r="U18" s="67">
        <v>1450</v>
      </c>
      <c r="V18" s="68">
        <v>1450</v>
      </c>
      <c r="W18" s="69">
        <v>44910</v>
      </c>
      <c r="X18" s="68"/>
      <c r="Y18" s="62"/>
      <c r="Z18" s="68">
        <f>22.43+5.18+1037.42</f>
        <v>1065.03</v>
      </c>
      <c r="AA18" s="68">
        <f>V18-Z18</f>
        <v>384.97</v>
      </c>
      <c r="AC18" s="106">
        <v>1</v>
      </c>
      <c r="AD18"/>
    </row>
    <row r="19" spans="1:30" x14ac:dyDescent="0.25">
      <c r="A19" s="62" t="s">
        <v>45</v>
      </c>
      <c r="B19" s="63">
        <v>9067</v>
      </c>
      <c r="C19" s="62" t="s">
        <v>801</v>
      </c>
      <c r="D19" s="62" t="s">
        <v>802</v>
      </c>
      <c r="E19" s="64">
        <v>44863</v>
      </c>
      <c r="F19" s="62" t="s">
        <v>803</v>
      </c>
      <c r="G19" s="62" t="s">
        <v>804</v>
      </c>
      <c r="H19" s="62" t="s">
        <v>37</v>
      </c>
      <c r="I19" s="65" t="s">
        <v>30</v>
      </c>
      <c r="J19" s="66">
        <v>44886</v>
      </c>
      <c r="K19" s="62"/>
      <c r="L19" s="66"/>
      <c r="M19" s="66"/>
      <c r="N19" s="64"/>
      <c r="O19" s="62"/>
      <c r="P19" s="66">
        <v>44895</v>
      </c>
      <c r="Q19" s="66"/>
      <c r="R19" s="66"/>
      <c r="S19" s="66" t="s">
        <v>805</v>
      </c>
      <c r="T19" s="62"/>
      <c r="U19" s="67">
        <v>1525</v>
      </c>
      <c r="V19" s="68">
        <v>1525</v>
      </c>
      <c r="W19" s="69">
        <v>44883</v>
      </c>
      <c r="X19" s="68">
        <v>423</v>
      </c>
      <c r="Y19" s="69">
        <v>44893</v>
      </c>
      <c r="Z19" s="68">
        <f>22.43+299.8+1042.52</f>
        <v>1364.75</v>
      </c>
      <c r="AA19" s="68">
        <f t="shared" ref="AA19:AA24" si="0">V19+X19-Z19</f>
        <v>583.25</v>
      </c>
      <c r="AC19" s="106">
        <v>1</v>
      </c>
      <c r="AD19"/>
    </row>
    <row r="20" spans="1:30" x14ac:dyDescent="0.25">
      <c r="A20" s="62" t="s">
        <v>45</v>
      </c>
      <c r="B20" s="63">
        <v>9064</v>
      </c>
      <c r="C20" s="62" t="s">
        <v>806</v>
      </c>
      <c r="D20" s="62" t="s">
        <v>807</v>
      </c>
      <c r="E20" s="64">
        <v>44844</v>
      </c>
      <c r="F20" s="62" t="s">
        <v>260</v>
      </c>
      <c r="G20" s="62" t="s">
        <v>808</v>
      </c>
      <c r="H20" s="62" t="s">
        <v>374</v>
      </c>
      <c r="I20" s="65" t="s">
        <v>30</v>
      </c>
      <c r="J20" s="66">
        <v>44841</v>
      </c>
      <c r="K20" s="62"/>
      <c r="L20" s="66"/>
      <c r="M20" s="66"/>
      <c r="N20" s="64"/>
      <c r="O20" s="62" t="s">
        <v>32</v>
      </c>
      <c r="P20" s="66">
        <v>44853</v>
      </c>
      <c r="Q20" s="66">
        <v>44867</v>
      </c>
      <c r="R20" s="66"/>
      <c r="S20" s="66" t="s">
        <v>809</v>
      </c>
      <c r="T20" s="62"/>
      <c r="U20" s="67">
        <v>2073</v>
      </c>
      <c r="V20" s="68">
        <v>440</v>
      </c>
      <c r="W20" s="69">
        <v>44772</v>
      </c>
      <c r="X20" s="68">
        <f>423+1210</f>
        <v>1633</v>
      </c>
      <c r="Y20" s="77">
        <v>44841</v>
      </c>
      <c r="Z20" s="68">
        <f>22.43+5.18+299.8+5.18+1108.56</f>
        <v>1441.15</v>
      </c>
      <c r="AA20" s="68">
        <f t="shared" si="0"/>
        <v>631.84999999999991</v>
      </c>
      <c r="AC20" s="106">
        <v>1</v>
      </c>
      <c r="AD20"/>
    </row>
    <row r="21" spans="1:30" x14ac:dyDescent="0.25">
      <c r="A21" s="62" t="s">
        <v>45</v>
      </c>
      <c r="B21" s="63">
        <v>9061</v>
      </c>
      <c r="C21" s="62" t="s">
        <v>810</v>
      </c>
      <c r="D21" s="62" t="s">
        <v>811</v>
      </c>
      <c r="E21" s="64">
        <v>44817</v>
      </c>
      <c r="F21" s="62" t="s">
        <v>518</v>
      </c>
      <c r="G21" s="62" t="s">
        <v>812</v>
      </c>
      <c r="H21" s="62" t="s">
        <v>777</v>
      </c>
      <c r="I21" s="65" t="s">
        <v>782</v>
      </c>
      <c r="J21" s="66">
        <v>44953</v>
      </c>
      <c r="K21" s="62" t="s">
        <v>31</v>
      </c>
      <c r="L21" s="66">
        <v>44851</v>
      </c>
      <c r="M21" s="66"/>
      <c r="N21" s="64"/>
      <c r="O21" s="62"/>
      <c r="P21" s="66"/>
      <c r="Q21" s="66"/>
      <c r="R21" s="66">
        <v>44895</v>
      </c>
      <c r="S21" s="66" t="s">
        <v>813</v>
      </c>
      <c r="T21" s="62"/>
      <c r="U21" s="67">
        <v>6040</v>
      </c>
      <c r="V21" s="68">
        <v>2313</v>
      </c>
      <c r="W21" s="69">
        <v>44840</v>
      </c>
      <c r="X21" s="68">
        <v>1190</v>
      </c>
      <c r="Y21" s="77">
        <v>44953</v>
      </c>
      <c r="Z21" s="68">
        <f>22.43+1185+1459.24</f>
        <v>2666.67</v>
      </c>
      <c r="AA21" s="68">
        <f t="shared" si="0"/>
        <v>836.32999999999993</v>
      </c>
      <c r="AC21" s="106">
        <f>IF(J21="YES",0,1)</f>
        <v>1</v>
      </c>
      <c r="AD21"/>
    </row>
    <row r="22" spans="1:30" x14ac:dyDescent="0.25">
      <c r="A22" s="62" t="s">
        <v>45</v>
      </c>
      <c r="B22" s="63">
        <v>8929</v>
      </c>
      <c r="C22" s="62" t="s">
        <v>814</v>
      </c>
      <c r="D22" s="62" t="s">
        <v>815</v>
      </c>
      <c r="E22" s="64">
        <v>44675</v>
      </c>
      <c r="F22" s="62" t="s">
        <v>149</v>
      </c>
      <c r="G22" s="62" t="s">
        <v>318</v>
      </c>
      <c r="H22" s="62" t="s">
        <v>816</v>
      </c>
      <c r="I22" s="65" t="s">
        <v>782</v>
      </c>
      <c r="J22" s="66">
        <v>44875</v>
      </c>
      <c r="K22" s="62" t="s">
        <v>31</v>
      </c>
      <c r="L22" s="66" t="s">
        <v>817</v>
      </c>
      <c r="M22" s="66"/>
      <c r="N22" s="64"/>
      <c r="O22" s="62"/>
      <c r="P22" s="66"/>
      <c r="Q22" s="66"/>
      <c r="R22" s="66"/>
      <c r="S22" s="66" t="s">
        <v>818</v>
      </c>
      <c r="T22" s="62"/>
      <c r="U22" s="67">
        <v>5083.8999999999996</v>
      </c>
      <c r="V22" s="68">
        <v>1546.9</v>
      </c>
      <c r="W22" s="69">
        <v>44853</v>
      </c>
      <c r="X22" s="68">
        <v>380</v>
      </c>
      <c r="Y22" s="77">
        <v>44873</v>
      </c>
      <c r="Z22" s="68">
        <f>90+22.43+1270.9</f>
        <v>1383.3300000000002</v>
      </c>
      <c r="AA22" s="68">
        <f t="shared" si="0"/>
        <v>543.56999999999994</v>
      </c>
      <c r="AC22" s="106">
        <v>1</v>
      </c>
      <c r="AD22"/>
    </row>
    <row r="23" spans="1:30" x14ac:dyDescent="0.25">
      <c r="A23" s="62" t="s">
        <v>45</v>
      </c>
      <c r="B23" s="63">
        <v>9233</v>
      </c>
      <c r="C23" s="62" t="s">
        <v>819</v>
      </c>
      <c r="D23" s="62" t="s">
        <v>820</v>
      </c>
      <c r="E23" s="64">
        <v>45093</v>
      </c>
      <c r="F23" s="65" t="s">
        <v>821</v>
      </c>
      <c r="G23" s="62" t="s">
        <v>822</v>
      </c>
      <c r="H23" s="62" t="s">
        <v>29</v>
      </c>
      <c r="I23" s="65" t="s">
        <v>30</v>
      </c>
      <c r="J23" s="62"/>
      <c r="K23" s="62" t="s">
        <v>67</v>
      </c>
      <c r="L23" s="66"/>
      <c r="M23" s="66"/>
      <c r="N23" s="64"/>
      <c r="O23" s="62"/>
      <c r="P23" s="66"/>
      <c r="Q23" s="66"/>
      <c r="R23" s="66"/>
      <c r="S23" s="66" t="s">
        <v>823</v>
      </c>
      <c r="T23" s="62" t="s">
        <v>824</v>
      </c>
      <c r="U23" s="67">
        <v>1850</v>
      </c>
      <c r="V23" s="68">
        <v>1850</v>
      </c>
      <c r="W23" s="69" t="s">
        <v>825</v>
      </c>
      <c r="X23" s="68"/>
      <c r="Y23" s="62"/>
      <c r="Z23" s="68">
        <f>22.43+1187.36</f>
        <v>1209.79</v>
      </c>
      <c r="AA23" s="68">
        <f t="shared" si="0"/>
        <v>640.21</v>
      </c>
      <c r="AC23" s="106">
        <v>1</v>
      </c>
      <c r="AD23"/>
    </row>
    <row r="24" spans="1:30" x14ac:dyDescent="0.25">
      <c r="A24" s="63" t="s">
        <v>45</v>
      </c>
      <c r="B24" s="83">
        <v>8995</v>
      </c>
      <c r="C24" s="84" t="s">
        <v>826</v>
      </c>
      <c r="D24" s="85" t="s">
        <v>827</v>
      </c>
      <c r="E24" s="64">
        <v>44659</v>
      </c>
      <c r="F24" s="83" t="s">
        <v>686</v>
      </c>
      <c r="G24" s="83" t="s">
        <v>828</v>
      </c>
      <c r="H24" s="83" t="s">
        <v>40</v>
      </c>
      <c r="I24" s="65" t="s">
        <v>30</v>
      </c>
      <c r="J24" s="66">
        <v>44841</v>
      </c>
      <c r="K24" s="63"/>
      <c r="L24" s="63"/>
      <c r="M24" s="63"/>
      <c r="N24" s="63"/>
      <c r="O24" s="86"/>
      <c r="P24" s="87"/>
      <c r="Q24" s="87"/>
      <c r="R24" s="87"/>
      <c r="S24" s="210" t="s">
        <v>823</v>
      </c>
      <c r="T24" s="86"/>
      <c r="U24" s="78">
        <v>1650</v>
      </c>
      <c r="V24" s="79">
        <v>403.82</v>
      </c>
      <c r="W24" s="77">
        <v>44790</v>
      </c>
      <c r="X24" s="88">
        <v>1246.18</v>
      </c>
      <c r="Y24" s="77">
        <v>44833</v>
      </c>
      <c r="Z24" s="79">
        <f>0+1101.58</f>
        <v>1101.58</v>
      </c>
      <c r="AA24" s="79">
        <f t="shared" si="0"/>
        <v>548.42000000000007</v>
      </c>
      <c r="AC24" s="106">
        <v>1</v>
      </c>
      <c r="AD24"/>
    </row>
    <row r="25" spans="1:30" x14ac:dyDescent="0.25">
      <c r="A25" s="62" t="s">
        <v>45</v>
      </c>
      <c r="B25" s="63">
        <v>9090</v>
      </c>
      <c r="C25" s="62" t="s">
        <v>829</v>
      </c>
      <c r="D25" s="62" t="s">
        <v>830</v>
      </c>
      <c r="E25" s="64">
        <v>44959</v>
      </c>
      <c r="F25" s="62" t="s">
        <v>831</v>
      </c>
      <c r="G25" s="62" t="s">
        <v>832</v>
      </c>
      <c r="H25" s="62" t="s">
        <v>29</v>
      </c>
      <c r="I25" s="65" t="s">
        <v>30</v>
      </c>
      <c r="J25" s="66">
        <v>44964</v>
      </c>
      <c r="K25" s="62"/>
      <c r="L25" s="66"/>
      <c r="M25" s="66"/>
      <c r="N25" s="64"/>
      <c r="O25" s="62"/>
      <c r="P25" s="66"/>
      <c r="Q25" s="66"/>
      <c r="R25" s="66"/>
      <c r="S25" s="66" t="s">
        <v>833</v>
      </c>
      <c r="T25" s="62"/>
      <c r="U25" s="67">
        <v>1525</v>
      </c>
      <c r="V25" s="68">
        <v>1525</v>
      </c>
      <c r="W25" s="69">
        <v>44960</v>
      </c>
      <c r="X25" s="68"/>
      <c r="Y25" s="62"/>
      <c r="Z25" s="68">
        <f>22.43+1042.3</f>
        <v>1064.73</v>
      </c>
      <c r="AA25" s="68">
        <f>V25-Z25</f>
        <v>460.27</v>
      </c>
      <c r="AC25" s="106">
        <v>1</v>
      </c>
      <c r="AD25"/>
    </row>
    <row r="26" spans="1:30" x14ac:dyDescent="0.25">
      <c r="A26" s="62" t="s">
        <v>45</v>
      </c>
      <c r="B26" s="63">
        <v>9059</v>
      </c>
      <c r="C26" s="62" t="s">
        <v>834</v>
      </c>
      <c r="D26" s="62" t="s">
        <v>835</v>
      </c>
      <c r="E26" s="64">
        <v>44817</v>
      </c>
      <c r="F26" s="62" t="s">
        <v>78</v>
      </c>
      <c r="G26" s="62" t="s">
        <v>836</v>
      </c>
      <c r="H26" s="62" t="s">
        <v>40</v>
      </c>
      <c r="I26" s="65" t="s">
        <v>30</v>
      </c>
      <c r="J26" s="66">
        <v>44867</v>
      </c>
      <c r="K26" s="62"/>
      <c r="L26" s="66"/>
      <c r="M26" s="66"/>
      <c r="N26" s="64"/>
      <c r="O26" s="62"/>
      <c r="P26" s="66"/>
      <c r="Q26" s="66"/>
      <c r="R26" s="66"/>
      <c r="S26" s="66" t="s">
        <v>837</v>
      </c>
      <c r="T26" s="62"/>
      <c r="U26" s="67">
        <v>1650</v>
      </c>
      <c r="V26" s="68">
        <v>1650</v>
      </c>
      <c r="W26" s="69">
        <v>44858</v>
      </c>
      <c r="X26" s="68"/>
      <c r="Y26" s="77"/>
      <c r="Z26" s="68">
        <f>22.43+5.18+1096.12</f>
        <v>1123.7299999999998</v>
      </c>
      <c r="AA26" s="68">
        <f>V26-Z26</f>
        <v>526.27000000000021</v>
      </c>
      <c r="AC26" s="106">
        <v>1</v>
      </c>
      <c r="AD26"/>
    </row>
    <row r="27" spans="1:30" x14ac:dyDescent="0.25">
      <c r="A27" s="62" t="s">
        <v>45</v>
      </c>
      <c r="B27" s="63">
        <v>9076</v>
      </c>
      <c r="C27" s="62" t="s">
        <v>838</v>
      </c>
      <c r="D27" s="62" t="s">
        <v>839</v>
      </c>
      <c r="E27" s="64">
        <v>44890</v>
      </c>
      <c r="F27" s="62" t="s">
        <v>840</v>
      </c>
      <c r="G27" s="62" t="s">
        <v>841</v>
      </c>
      <c r="H27" s="62" t="s">
        <v>29</v>
      </c>
      <c r="I27" s="65" t="s">
        <v>30</v>
      </c>
      <c r="J27" s="66">
        <v>44958</v>
      </c>
      <c r="K27" s="62"/>
      <c r="L27" s="66"/>
      <c r="M27" s="66"/>
      <c r="N27" s="64"/>
      <c r="O27" s="62" t="s">
        <v>32</v>
      </c>
      <c r="P27" s="66">
        <v>44966</v>
      </c>
      <c r="Q27" s="66">
        <v>44979</v>
      </c>
      <c r="R27" s="66"/>
      <c r="S27" s="66" t="s">
        <v>842</v>
      </c>
      <c r="T27" s="62"/>
      <c r="U27" s="67">
        <v>1525</v>
      </c>
      <c r="V27" s="68">
        <v>1525</v>
      </c>
      <c r="W27" s="69">
        <v>44932</v>
      </c>
      <c r="X27" s="68">
        <v>423</v>
      </c>
      <c r="Y27" s="69">
        <v>44961</v>
      </c>
      <c r="Z27" s="68">
        <f>22.43+5.18+299.8+1038.55</f>
        <v>1365.96</v>
      </c>
      <c r="AA27" s="68">
        <f>V27+X27-Z27</f>
        <v>582.04</v>
      </c>
      <c r="AC27" s="106">
        <f>IF(J27="YES",0,1)</f>
        <v>1</v>
      </c>
      <c r="AD27"/>
    </row>
    <row r="28" spans="1:30" x14ac:dyDescent="0.25">
      <c r="A28" s="62" t="s">
        <v>45</v>
      </c>
      <c r="B28" s="63">
        <v>9066</v>
      </c>
      <c r="C28" s="62" t="s">
        <v>843</v>
      </c>
      <c r="D28" s="62" t="s">
        <v>844</v>
      </c>
      <c r="E28" s="64">
        <v>44858</v>
      </c>
      <c r="F28" s="62" t="s">
        <v>162</v>
      </c>
      <c r="G28" s="62" t="s">
        <v>845</v>
      </c>
      <c r="H28" s="62" t="s">
        <v>374</v>
      </c>
      <c r="I28" s="65" t="s">
        <v>30</v>
      </c>
      <c r="J28" s="66">
        <v>44882</v>
      </c>
      <c r="K28" s="62"/>
      <c r="L28" s="66"/>
      <c r="M28" s="66"/>
      <c r="N28" s="64"/>
      <c r="O28" s="62"/>
      <c r="P28" s="66"/>
      <c r="Q28" s="66"/>
      <c r="R28" s="66"/>
      <c r="S28" s="66" t="s">
        <v>846</v>
      </c>
      <c r="T28" s="62"/>
      <c r="U28" s="67">
        <v>1850</v>
      </c>
      <c r="V28" s="68">
        <v>1850</v>
      </c>
      <c r="W28" s="69">
        <v>44881</v>
      </c>
      <c r="X28" s="68"/>
      <c r="Y28" s="62"/>
      <c r="Z28" s="68">
        <f>22.43+1171.23</f>
        <v>1193.6600000000001</v>
      </c>
      <c r="AA28" s="68">
        <f>U28-Z28</f>
        <v>656.33999999999992</v>
      </c>
      <c r="AC28" s="106">
        <f>IF(J28="YES",0,1)</f>
        <v>1</v>
      </c>
      <c r="AD28"/>
    </row>
    <row r="29" spans="1:30" x14ac:dyDescent="0.25">
      <c r="A29" s="62" t="s">
        <v>45</v>
      </c>
      <c r="B29" s="63">
        <v>9074</v>
      </c>
      <c r="C29" s="62" t="s">
        <v>847</v>
      </c>
      <c r="D29" s="62" t="s">
        <v>848</v>
      </c>
      <c r="E29" s="64">
        <v>44890</v>
      </c>
      <c r="F29" s="62" t="s">
        <v>72</v>
      </c>
      <c r="G29" s="62" t="s">
        <v>283</v>
      </c>
      <c r="H29" s="62" t="s">
        <v>29</v>
      </c>
      <c r="I29" s="65" t="s">
        <v>782</v>
      </c>
      <c r="J29" s="66">
        <v>44963</v>
      </c>
      <c r="K29" s="62"/>
      <c r="L29" s="66" t="s">
        <v>849</v>
      </c>
      <c r="M29" s="66"/>
      <c r="N29" s="64"/>
      <c r="O29" s="62"/>
      <c r="P29" s="66"/>
      <c r="Q29" s="66"/>
      <c r="R29" s="66"/>
      <c r="S29" s="66" t="s">
        <v>850</v>
      </c>
      <c r="T29" s="62"/>
      <c r="U29" s="67">
        <v>6251</v>
      </c>
      <c r="V29" s="68">
        <v>781</v>
      </c>
      <c r="W29" s="69">
        <v>44908</v>
      </c>
      <c r="X29" s="68">
        <v>1190</v>
      </c>
      <c r="Y29" s="69">
        <v>44962</v>
      </c>
      <c r="Z29" s="68">
        <f>22.43+15.54+90+5.18+1258.52</f>
        <v>1391.67</v>
      </c>
      <c r="AA29" s="68">
        <f>V29+X29-Z29</f>
        <v>579.32999999999993</v>
      </c>
      <c r="AC29" s="106">
        <v>1</v>
      </c>
      <c r="AD29"/>
    </row>
    <row r="30" spans="1:30" x14ac:dyDescent="0.25">
      <c r="A30" s="62" t="s">
        <v>45</v>
      </c>
      <c r="B30" s="63">
        <v>9087</v>
      </c>
      <c r="C30" s="62" t="s">
        <v>851</v>
      </c>
      <c r="D30" s="62" t="s">
        <v>852</v>
      </c>
      <c r="E30" s="64">
        <v>44947</v>
      </c>
      <c r="F30" s="62" t="s">
        <v>822</v>
      </c>
      <c r="G30" s="62" t="s">
        <v>853</v>
      </c>
      <c r="H30" s="62" t="s">
        <v>374</v>
      </c>
      <c r="I30" s="65" t="s">
        <v>30</v>
      </c>
      <c r="J30" s="66">
        <v>44967</v>
      </c>
      <c r="K30" s="62"/>
      <c r="L30" s="66"/>
      <c r="M30" s="66"/>
      <c r="N30" s="64"/>
      <c r="O30" s="62"/>
      <c r="P30" s="66"/>
      <c r="Q30" s="66"/>
      <c r="R30" s="66"/>
      <c r="S30" s="66" t="s">
        <v>850</v>
      </c>
      <c r="T30" s="90"/>
      <c r="U30" s="67">
        <v>1850</v>
      </c>
      <c r="V30" s="68">
        <v>1850</v>
      </c>
      <c r="W30" s="69">
        <v>44959</v>
      </c>
      <c r="X30" s="68"/>
      <c r="Y30" s="62"/>
      <c r="Z30" s="68">
        <f>22.43+1144.81</f>
        <v>1167.24</v>
      </c>
      <c r="AA30" s="68">
        <f>V30-Z30</f>
        <v>682.76</v>
      </c>
      <c r="AC30" s="106">
        <v>1</v>
      </c>
      <c r="AD30"/>
    </row>
    <row r="31" spans="1:30" x14ac:dyDescent="0.25">
      <c r="A31" s="62" t="s">
        <v>45</v>
      </c>
      <c r="B31" s="63">
        <v>9089</v>
      </c>
      <c r="C31" s="62" t="s">
        <v>854</v>
      </c>
      <c r="D31" s="62" t="s">
        <v>855</v>
      </c>
      <c r="E31" s="64">
        <v>44953</v>
      </c>
      <c r="F31" s="62" t="s">
        <v>856</v>
      </c>
      <c r="G31" s="62" t="s">
        <v>857</v>
      </c>
      <c r="H31" s="62" t="s">
        <v>29</v>
      </c>
      <c r="I31" s="65" t="s">
        <v>30</v>
      </c>
      <c r="J31" s="66">
        <v>44953</v>
      </c>
      <c r="K31" s="62"/>
      <c r="L31" s="66"/>
      <c r="M31" s="66"/>
      <c r="N31" s="64"/>
      <c r="O31" s="62"/>
      <c r="P31" s="66"/>
      <c r="Q31" s="66"/>
      <c r="R31" s="66"/>
      <c r="S31" s="66" t="s">
        <v>850</v>
      </c>
      <c r="T31" s="90"/>
      <c r="U31" s="67">
        <v>1650</v>
      </c>
      <c r="V31" s="68">
        <v>1650</v>
      </c>
      <c r="W31" s="69">
        <v>44953</v>
      </c>
      <c r="X31" s="68"/>
      <c r="Y31" s="62"/>
      <c r="Z31" s="68">
        <f>22.43+10.36+5.18+1102.58</f>
        <v>1140.55</v>
      </c>
      <c r="AA31" s="68">
        <f>V31-Z31</f>
        <v>509.45000000000005</v>
      </c>
      <c r="AC31" s="106">
        <v>1</v>
      </c>
      <c r="AD31"/>
    </row>
    <row r="32" spans="1:30" x14ac:dyDescent="0.25">
      <c r="A32" s="62" t="s">
        <v>45</v>
      </c>
      <c r="B32" s="63">
        <v>9092</v>
      </c>
      <c r="C32" s="62" t="s">
        <v>858</v>
      </c>
      <c r="D32" s="62" t="s">
        <v>859</v>
      </c>
      <c r="E32" s="64">
        <v>44974</v>
      </c>
      <c r="F32" s="62" t="s">
        <v>860</v>
      </c>
      <c r="G32" s="62" t="s">
        <v>861</v>
      </c>
      <c r="H32" s="62" t="s">
        <v>374</v>
      </c>
      <c r="I32" s="65" t="s">
        <v>30</v>
      </c>
      <c r="J32" s="66">
        <v>44984</v>
      </c>
      <c r="K32" s="62"/>
      <c r="L32" s="62"/>
      <c r="M32" s="62"/>
      <c r="N32" s="65"/>
      <c r="O32" s="62"/>
      <c r="P32" s="66"/>
      <c r="Q32" s="66"/>
      <c r="R32" s="66"/>
      <c r="S32" s="66" t="s">
        <v>850</v>
      </c>
      <c r="T32" s="62"/>
      <c r="U32" s="67">
        <v>1525</v>
      </c>
      <c r="V32" s="68">
        <v>1525</v>
      </c>
      <c r="W32" s="69">
        <v>44978</v>
      </c>
      <c r="X32" s="62"/>
      <c r="Y32" s="62"/>
      <c r="Z32" s="68">
        <f>22.43+5.18+1042.01</f>
        <v>1069.6199999999999</v>
      </c>
      <c r="AA32" s="68">
        <f>V32-Z32</f>
        <v>455.38000000000011</v>
      </c>
      <c r="AC32" s="106">
        <v>1</v>
      </c>
      <c r="AD32"/>
    </row>
    <row r="33" spans="1:34" x14ac:dyDescent="0.25">
      <c r="A33" s="62" t="s">
        <v>45</v>
      </c>
      <c r="B33" s="63">
        <v>9071</v>
      </c>
      <c r="C33" s="62" t="s">
        <v>862</v>
      </c>
      <c r="D33" s="62" t="s">
        <v>863</v>
      </c>
      <c r="E33" s="64">
        <v>44881</v>
      </c>
      <c r="F33" s="62" t="s">
        <v>856</v>
      </c>
      <c r="G33" s="62" t="s">
        <v>864</v>
      </c>
      <c r="H33" s="62" t="s">
        <v>29</v>
      </c>
      <c r="I33" s="65" t="s">
        <v>30</v>
      </c>
      <c r="J33" s="66">
        <v>44972</v>
      </c>
      <c r="K33" s="62"/>
      <c r="L33" s="66"/>
      <c r="M33" s="66"/>
      <c r="N33" s="64"/>
      <c r="O33" s="62" t="s">
        <v>32</v>
      </c>
      <c r="P33" s="66">
        <v>44977</v>
      </c>
      <c r="Q33" s="66">
        <v>44988</v>
      </c>
      <c r="R33" s="66"/>
      <c r="S33" s="66" t="s">
        <v>865</v>
      </c>
      <c r="T33" s="62"/>
      <c r="U33" s="67">
        <v>3014</v>
      </c>
      <c r="V33" s="68">
        <v>1525</v>
      </c>
      <c r="W33" s="69">
        <v>44970</v>
      </c>
      <c r="X33" s="68">
        <v>625</v>
      </c>
      <c r="Y33" s="69">
        <v>44972</v>
      </c>
      <c r="Z33" s="68">
        <f>22.43+5.18+5.18+149.3+299.8+1040.93</f>
        <v>1522.8200000000002</v>
      </c>
      <c r="AA33" s="68">
        <f>V33+X33-Z33</f>
        <v>627.17999999999984</v>
      </c>
      <c r="AC33" s="106">
        <f>IF(J33="YES",0,1)</f>
        <v>1</v>
      </c>
      <c r="AD33"/>
    </row>
    <row r="34" spans="1:34" x14ac:dyDescent="0.25">
      <c r="A34" s="62" t="s">
        <v>45</v>
      </c>
      <c r="B34" s="63">
        <v>9075</v>
      </c>
      <c r="C34" s="62" t="s">
        <v>838</v>
      </c>
      <c r="D34" s="62" t="s">
        <v>839</v>
      </c>
      <c r="E34" s="64">
        <v>44890</v>
      </c>
      <c r="F34" s="62" t="s">
        <v>265</v>
      </c>
      <c r="G34" s="62" t="s">
        <v>772</v>
      </c>
      <c r="H34" s="62" t="s">
        <v>29</v>
      </c>
      <c r="I34" s="65" t="s">
        <v>30</v>
      </c>
      <c r="J34" s="66">
        <v>44958</v>
      </c>
      <c r="K34" s="62"/>
      <c r="L34" s="66"/>
      <c r="M34" s="66"/>
      <c r="N34" s="64"/>
      <c r="O34" s="62"/>
      <c r="P34" s="66"/>
      <c r="Q34" s="66"/>
      <c r="R34" s="66"/>
      <c r="S34" s="66" t="s">
        <v>866</v>
      </c>
      <c r="T34" s="62"/>
      <c r="U34" s="67">
        <v>1650</v>
      </c>
      <c r="V34" s="68">
        <v>1650</v>
      </c>
      <c r="W34" s="69">
        <v>44932</v>
      </c>
      <c r="X34" s="68"/>
      <c r="Y34" s="62"/>
      <c r="Z34" s="68">
        <f>22.43+1100.02</f>
        <v>1122.45</v>
      </c>
      <c r="AA34" s="68">
        <f>V34-Z34</f>
        <v>527.54999999999995</v>
      </c>
      <c r="AC34" s="106">
        <v>1</v>
      </c>
      <c r="AD34"/>
    </row>
    <row r="35" spans="1:34" x14ac:dyDescent="0.25">
      <c r="A35" s="62"/>
      <c r="B35" s="63"/>
      <c r="C35" s="62" t="s">
        <v>867</v>
      </c>
      <c r="D35" s="62" t="s">
        <v>868</v>
      </c>
      <c r="E35" s="65" t="s">
        <v>790</v>
      </c>
      <c r="F35" s="65"/>
      <c r="G35" s="62" t="s">
        <v>78</v>
      </c>
      <c r="H35" s="62" t="s">
        <v>531</v>
      </c>
      <c r="I35" s="65" t="s">
        <v>782</v>
      </c>
      <c r="J35" s="66">
        <v>44786</v>
      </c>
      <c r="L35" s="62" t="s">
        <v>31</v>
      </c>
      <c r="M35" s="66">
        <v>44911</v>
      </c>
      <c r="N35" s="66"/>
      <c r="O35" s="64"/>
      <c r="P35" s="62"/>
      <c r="Q35" s="66"/>
      <c r="R35" s="66"/>
      <c r="S35" s="66" t="s">
        <v>869</v>
      </c>
      <c r="T35" s="66"/>
      <c r="U35" s="67">
        <v>2772</v>
      </c>
      <c r="V35" s="68">
        <v>2772</v>
      </c>
      <c r="W35" s="69">
        <v>44907</v>
      </c>
      <c r="X35" s="68"/>
      <c r="Y35" s="62"/>
      <c r="Z35" s="68">
        <f>649.8+22.43+1180.63</f>
        <v>1852.8600000000001</v>
      </c>
      <c r="AA35" s="68">
        <f>V35-Z35</f>
        <v>919.13999999999987</v>
      </c>
      <c r="AC35" s="106">
        <f>IF(J35="YES",0,1)</f>
        <v>1</v>
      </c>
      <c r="AD35"/>
    </row>
    <row r="36" spans="1:34" x14ac:dyDescent="0.25">
      <c r="A36" s="62" t="s">
        <v>45</v>
      </c>
      <c r="B36" s="63">
        <v>9206</v>
      </c>
      <c r="C36" s="62" t="s">
        <v>870</v>
      </c>
      <c r="D36" s="62" t="s">
        <v>871</v>
      </c>
      <c r="E36" s="64">
        <v>45014</v>
      </c>
      <c r="F36" s="62" t="s">
        <v>58</v>
      </c>
      <c r="G36" s="62" t="s">
        <v>872</v>
      </c>
      <c r="H36" s="62" t="s">
        <v>37</v>
      </c>
      <c r="I36" s="65" t="s">
        <v>30</v>
      </c>
      <c r="J36" s="66">
        <v>45014</v>
      </c>
      <c r="K36" s="66"/>
      <c r="L36" s="66"/>
      <c r="M36" s="64"/>
      <c r="N36" s="62"/>
      <c r="O36" s="66"/>
      <c r="P36" s="66"/>
      <c r="Q36" s="66"/>
      <c r="R36" s="66">
        <v>45020</v>
      </c>
      <c r="S36" s="66" t="s">
        <v>873</v>
      </c>
      <c r="T36" s="66">
        <v>45020</v>
      </c>
      <c r="U36" s="67">
        <v>1650</v>
      </c>
      <c r="V36" s="68">
        <v>1650</v>
      </c>
      <c r="W36" s="69">
        <v>45012</v>
      </c>
      <c r="X36" s="68"/>
      <c r="Y36" s="62"/>
      <c r="Z36" s="68">
        <f>22.43+1042.73</f>
        <v>1065.1600000000001</v>
      </c>
      <c r="AA36" s="68">
        <f>V36-Z36</f>
        <v>584.83999999999992</v>
      </c>
      <c r="AC36" s="106">
        <v>1</v>
      </c>
      <c r="AD36"/>
    </row>
    <row r="37" spans="1:34" x14ac:dyDescent="0.25">
      <c r="A37" s="62" t="s">
        <v>45</v>
      </c>
      <c r="B37" s="63">
        <v>9207</v>
      </c>
      <c r="C37" s="62" t="s">
        <v>874</v>
      </c>
      <c r="D37" s="62" t="s">
        <v>875</v>
      </c>
      <c r="E37" s="64">
        <v>45014</v>
      </c>
      <c r="F37" s="62" t="s">
        <v>50</v>
      </c>
      <c r="G37" s="62" t="s">
        <v>876</v>
      </c>
      <c r="H37" s="62" t="s">
        <v>37</v>
      </c>
      <c r="I37" s="65" t="s">
        <v>30</v>
      </c>
      <c r="J37" s="66">
        <v>45027</v>
      </c>
      <c r="K37" s="62"/>
      <c r="L37" s="66" t="s">
        <v>877</v>
      </c>
      <c r="M37" s="66"/>
      <c r="N37" s="64"/>
      <c r="O37" s="62"/>
      <c r="P37" s="66"/>
      <c r="Q37" s="66"/>
      <c r="R37" s="66"/>
      <c r="S37" s="66" t="s">
        <v>878</v>
      </c>
      <c r="T37" s="62"/>
      <c r="U37" s="67">
        <v>1525</v>
      </c>
      <c r="V37" s="68">
        <v>1525</v>
      </c>
      <c r="W37" s="69">
        <v>45021</v>
      </c>
      <c r="X37" s="68"/>
      <c r="Y37" s="62"/>
      <c r="Z37" s="68">
        <v>29.42</v>
      </c>
      <c r="AA37" s="68">
        <f>V37-Z37-1050</f>
        <v>445.57999999999993</v>
      </c>
      <c r="AC37" s="106">
        <v>1</v>
      </c>
      <c r="AD37"/>
    </row>
    <row r="38" spans="1:34" x14ac:dyDescent="0.25">
      <c r="A38" s="62" t="s">
        <v>45</v>
      </c>
      <c r="B38" s="63">
        <v>9099</v>
      </c>
      <c r="C38" s="62" t="s">
        <v>879</v>
      </c>
      <c r="D38" s="62" t="s">
        <v>880</v>
      </c>
      <c r="E38" s="64">
        <v>44995</v>
      </c>
      <c r="F38" s="101" t="s">
        <v>831</v>
      </c>
      <c r="G38" s="62" t="s">
        <v>831</v>
      </c>
      <c r="H38" s="65" t="s">
        <v>29</v>
      </c>
      <c r="I38" s="65" t="s">
        <v>30</v>
      </c>
      <c r="J38" s="66">
        <v>44999</v>
      </c>
      <c r="L38" s="62"/>
      <c r="M38" s="66" t="s">
        <v>881</v>
      </c>
      <c r="N38" s="66"/>
      <c r="O38" s="64"/>
      <c r="P38" s="62"/>
      <c r="Q38" s="66"/>
      <c r="R38" s="66"/>
      <c r="S38" s="66" t="s">
        <v>882</v>
      </c>
      <c r="T38" s="66"/>
      <c r="U38" s="67">
        <v>1650</v>
      </c>
      <c r="V38" s="68">
        <v>1650</v>
      </c>
      <c r="W38" s="69">
        <v>44999</v>
      </c>
      <c r="X38" s="68"/>
      <c r="Y38" s="69"/>
      <c r="Z38" s="68">
        <f>22.43+5.18+1097.02</f>
        <v>1124.6299999999999</v>
      </c>
      <c r="AA38" s="68">
        <f>V38-Z38</f>
        <v>525.37000000000012</v>
      </c>
      <c r="AC38" s="106">
        <f>IF(J38="YES",0,1)</f>
        <v>1</v>
      </c>
      <c r="AD38"/>
    </row>
    <row r="39" spans="1:34" x14ac:dyDescent="0.25">
      <c r="A39" s="62" t="s">
        <v>45</v>
      </c>
      <c r="B39" s="63">
        <v>9085</v>
      </c>
      <c r="C39" s="62" t="s">
        <v>883</v>
      </c>
      <c r="D39" s="62" t="s">
        <v>884</v>
      </c>
      <c r="E39" s="64">
        <v>44947</v>
      </c>
      <c r="F39" s="101"/>
      <c r="G39" s="62" t="s">
        <v>822</v>
      </c>
      <c r="H39" s="62" t="s">
        <v>40</v>
      </c>
      <c r="I39" s="65" t="s">
        <v>782</v>
      </c>
      <c r="J39" s="66">
        <v>45036</v>
      </c>
      <c r="L39" s="62" t="s">
        <v>67</v>
      </c>
      <c r="M39" s="66">
        <v>45000</v>
      </c>
      <c r="N39" s="66"/>
      <c r="O39" s="64"/>
      <c r="P39" s="62"/>
      <c r="Q39" s="66"/>
      <c r="R39" s="66"/>
      <c r="S39" s="66" t="s">
        <v>882</v>
      </c>
      <c r="T39" s="66"/>
      <c r="U39" s="67">
        <f>1525+864+121</f>
        <v>2510</v>
      </c>
      <c r="V39" s="102">
        <f>571+1075</f>
        <v>1646</v>
      </c>
      <c r="W39" s="69">
        <v>44957</v>
      </c>
      <c r="X39" s="68">
        <v>864</v>
      </c>
      <c r="Y39" s="69">
        <v>45000</v>
      </c>
      <c r="Z39" s="68">
        <f>36.77+88.8+206.4+1039.9</f>
        <v>1371.8700000000001</v>
      </c>
      <c r="AA39" s="68">
        <f>V39+X39-Z39</f>
        <v>1138.1299999999999</v>
      </c>
      <c r="AC39" s="106">
        <v>1</v>
      </c>
      <c r="AD39"/>
    </row>
    <row r="40" spans="1:34" x14ac:dyDescent="0.25">
      <c r="A40" s="62" t="s">
        <v>45</v>
      </c>
      <c r="B40" s="63">
        <v>9202</v>
      </c>
      <c r="C40" s="62" t="s">
        <v>885</v>
      </c>
      <c r="D40" s="62" t="s">
        <v>886</v>
      </c>
      <c r="E40" s="64">
        <v>45000</v>
      </c>
      <c r="F40" s="101"/>
      <c r="G40" s="62" t="s">
        <v>72</v>
      </c>
      <c r="H40" s="62" t="s">
        <v>887</v>
      </c>
      <c r="I40" s="65" t="s">
        <v>30</v>
      </c>
      <c r="J40" s="66">
        <v>45012</v>
      </c>
      <c r="L40" s="62"/>
      <c r="M40" s="66" t="s">
        <v>877</v>
      </c>
      <c r="N40" s="66"/>
      <c r="O40" s="62"/>
      <c r="P40" s="62"/>
      <c r="Q40" s="66"/>
      <c r="R40" s="66"/>
      <c r="S40" s="66" t="s">
        <v>888</v>
      </c>
      <c r="T40" s="66"/>
      <c r="U40" s="67">
        <f>1850+864+121</f>
        <v>2835</v>
      </c>
      <c r="V40" s="68">
        <f>550+864</f>
        <v>1414</v>
      </c>
      <c r="W40" s="69">
        <v>44999</v>
      </c>
      <c r="X40" s="68">
        <v>436</v>
      </c>
      <c r="Y40" s="69">
        <v>45012</v>
      </c>
      <c r="Z40" s="68">
        <f>22.43+1218.26</f>
        <v>1240.69</v>
      </c>
      <c r="AA40" s="68">
        <f>V40+X40-Z40</f>
        <v>609.30999999999995</v>
      </c>
      <c r="AC40" s="106">
        <v>1</v>
      </c>
      <c r="AD40"/>
    </row>
    <row r="41" spans="1:34" x14ac:dyDescent="0.25">
      <c r="A41" s="62"/>
      <c r="B41" s="63"/>
      <c r="C41" s="62" t="s">
        <v>889</v>
      </c>
      <c r="D41" s="62" t="s">
        <v>890</v>
      </c>
      <c r="E41" s="65" t="s">
        <v>891</v>
      </c>
      <c r="F41" s="63"/>
      <c r="G41" s="62" t="s">
        <v>892</v>
      </c>
      <c r="H41" s="62" t="s">
        <v>893</v>
      </c>
      <c r="I41" s="65" t="s">
        <v>30</v>
      </c>
      <c r="J41" s="62"/>
      <c r="L41" s="62"/>
      <c r="M41" s="66"/>
      <c r="N41" s="66"/>
      <c r="O41" s="64"/>
      <c r="P41" s="62"/>
      <c r="Q41" s="66"/>
      <c r="R41" s="66"/>
      <c r="S41" s="66" t="s">
        <v>894</v>
      </c>
      <c r="T41" s="66">
        <v>45047</v>
      </c>
      <c r="U41" s="67">
        <v>2156</v>
      </c>
      <c r="V41" s="68">
        <v>2156</v>
      </c>
      <c r="W41" s="69">
        <v>45030</v>
      </c>
      <c r="X41" s="68"/>
      <c r="Y41" s="62"/>
      <c r="Z41" s="68">
        <f>22.43+1389.69</f>
        <v>1412.1200000000001</v>
      </c>
      <c r="AA41" s="68">
        <f>V41-Z41</f>
        <v>743.87999999999988</v>
      </c>
      <c r="AC41" s="106">
        <f>IF(J41="YES",0,1)</f>
        <v>1</v>
      </c>
      <c r="AD41"/>
    </row>
    <row r="42" spans="1:34" x14ac:dyDescent="0.25">
      <c r="A42" s="62" t="s">
        <v>45</v>
      </c>
      <c r="B42" s="63">
        <v>9208</v>
      </c>
      <c r="C42" s="62" t="s">
        <v>895</v>
      </c>
      <c r="D42" s="62" t="s">
        <v>896</v>
      </c>
      <c r="E42" s="64">
        <v>45016</v>
      </c>
      <c r="F42" s="101"/>
      <c r="G42" s="62" t="s">
        <v>162</v>
      </c>
      <c r="H42" s="62" t="s">
        <v>29</v>
      </c>
      <c r="I42" s="65" t="s">
        <v>30</v>
      </c>
      <c r="J42" s="66">
        <v>45028</v>
      </c>
      <c r="L42" s="62"/>
      <c r="M42" s="66"/>
      <c r="N42" s="66"/>
      <c r="O42" s="64"/>
      <c r="P42" s="62"/>
      <c r="Q42" s="66"/>
      <c r="R42" s="66"/>
      <c r="S42" s="66" t="s">
        <v>897</v>
      </c>
      <c r="T42" s="66"/>
      <c r="U42" s="67">
        <v>1650</v>
      </c>
      <c r="V42" s="68">
        <v>1650</v>
      </c>
      <c r="W42" s="69">
        <v>45020</v>
      </c>
      <c r="X42" s="68"/>
      <c r="Y42" s="62"/>
      <c r="Z42" s="68">
        <f>22.43+1103.71</f>
        <v>1126.1400000000001</v>
      </c>
      <c r="AA42" s="68">
        <f>V42-Z42</f>
        <v>523.8599999999999</v>
      </c>
      <c r="AC42" s="106">
        <v>1</v>
      </c>
      <c r="AD42"/>
    </row>
    <row r="43" spans="1:34" x14ac:dyDescent="0.25">
      <c r="A43" s="62" t="s">
        <v>45</v>
      </c>
      <c r="B43" s="63">
        <v>9200</v>
      </c>
      <c r="C43" s="62" t="s">
        <v>898</v>
      </c>
      <c r="D43" s="62" t="s">
        <v>899</v>
      </c>
      <c r="E43" s="64">
        <v>44996</v>
      </c>
      <c r="F43" s="101"/>
      <c r="G43" s="62" t="s">
        <v>900</v>
      </c>
      <c r="H43" s="62" t="s">
        <v>40</v>
      </c>
      <c r="I43" s="65" t="s">
        <v>30</v>
      </c>
      <c r="J43" s="66">
        <v>45001</v>
      </c>
      <c r="K43" s="62"/>
      <c r="L43" s="62"/>
      <c r="M43" s="66" t="s">
        <v>877</v>
      </c>
      <c r="N43" s="66"/>
      <c r="O43" s="64"/>
      <c r="P43" s="62"/>
      <c r="Q43" s="66"/>
      <c r="R43" s="66"/>
      <c r="S43" s="66" t="s">
        <v>897</v>
      </c>
      <c r="T43" s="66"/>
      <c r="U43" s="67">
        <f>1850+(864+121)</f>
        <v>2835</v>
      </c>
      <c r="V43" s="68">
        <v>1850</v>
      </c>
      <c r="W43" s="69">
        <v>45000</v>
      </c>
      <c r="X43" s="68"/>
      <c r="Y43" s="69"/>
      <c r="Z43" s="68">
        <f>14.34+1183.25</f>
        <v>1197.5899999999999</v>
      </c>
      <c r="AA43" s="68">
        <f>V43-Z43</f>
        <v>652.41000000000008</v>
      </c>
      <c r="AC43" s="106">
        <v>1</v>
      </c>
      <c r="AD43"/>
    </row>
    <row r="44" spans="1:34" x14ac:dyDescent="0.25">
      <c r="A44" s="62" t="s">
        <v>45</v>
      </c>
      <c r="B44" s="63">
        <v>9201</v>
      </c>
      <c r="C44" s="62" t="s">
        <v>901</v>
      </c>
      <c r="D44" s="62" t="s">
        <v>902</v>
      </c>
      <c r="E44" s="64">
        <v>44999</v>
      </c>
      <c r="F44" s="101"/>
      <c r="G44" s="62" t="s">
        <v>903</v>
      </c>
      <c r="H44" s="62" t="s">
        <v>29</v>
      </c>
      <c r="I44" s="65" t="s">
        <v>30</v>
      </c>
      <c r="J44" s="66">
        <v>45012</v>
      </c>
      <c r="K44" s="62"/>
      <c r="L44" s="62"/>
      <c r="M44" s="66"/>
      <c r="N44" s="66"/>
      <c r="O44" s="64"/>
      <c r="P44" s="62"/>
      <c r="Q44" s="66"/>
      <c r="R44" s="66"/>
      <c r="S44" s="66" t="s">
        <v>897</v>
      </c>
      <c r="T44" s="66"/>
      <c r="U44" s="67">
        <f>1850+423</f>
        <v>2273</v>
      </c>
      <c r="V44" s="68">
        <v>1850</v>
      </c>
      <c r="W44" s="69">
        <v>45005</v>
      </c>
      <c r="X44" s="68"/>
      <c r="Y44" s="69"/>
      <c r="Z44" s="68">
        <f>22.43+5.18+5.18+1176.43</f>
        <v>1209.22</v>
      </c>
      <c r="AA44" s="68">
        <f>V44-Z44</f>
        <v>640.78</v>
      </c>
      <c r="AC44" s="106">
        <f>IF(J44="YES",0,1)</f>
        <v>1</v>
      </c>
      <c r="AD44"/>
    </row>
    <row r="45" spans="1:34" x14ac:dyDescent="0.25">
      <c r="A45" s="62" t="s">
        <v>45</v>
      </c>
      <c r="B45" s="63">
        <v>9224</v>
      </c>
      <c r="C45" s="62" t="s">
        <v>904</v>
      </c>
      <c r="D45" s="62" t="s">
        <v>905</v>
      </c>
      <c r="E45" s="64">
        <v>45062</v>
      </c>
      <c r="F45" s="65" t="s">
        <v>906</v>
      </c>
      <c r="G45" s="62" t="s">
        <v>72</v>
      </c>
      <c r="H45" s="62" t="s">
        <v>29</v>
      </c>
      <c r="I45" s="65" t="s">
        <v>34</v>
      </c>
      <c r="J45" s="62"/>
      <c r="K45" s="62" t="s">
        <v>31</v>
      </c>
      <c r="L45" s="66"/>
      <c r="M45" s="66"/>
      <c r="N45" s="64"/>
      <c r="O45" s="62"/>
      <c r="P45" s="66"/>
      <c r="Q45" s="66"/>
      <c r="R45" s="66"/>
      <c r="S45" s="66" t="s">
        <v>907</v>
      </c>
      <c r="T45" s="62" t="s">
        <v>908</v>
      </c>
      <c r="U45" s="67">
        <v>1650</v>
      </c>
      <c r="V45" s="68">
        <v>1650</v>
      </c>
      <c r="W45" s="69">
        <v>45062</v>
      </c>
      <c r="X45" s="68">
        <v>0</v>
      </c>
      <c r="Y45" s="62"/>
      <c r="Z45" s="68">
        <f>22.43+10.36+1068.71</f>
        <v>1101.5</v>
      </c>
      <c r="AA45" s="68">
        <f>V45+X45-Z45</f>
        <v>548.5</v>
      </c>
      <c r="AC45" s="106">
        <v>1</v>
      </c>
      <c r="AD45"/>
    </row>
    <row r="46" spans="1:34" x14ac:dyDescent="0.25">
      <c r="A46" s="62" t="s">
        <v>45</v>
      </c>
      <c r="B46" s="63">
        <v>9219</v>
      </c>
      <c r="C46" s="62" t="s">
        <v>909</v>
      </c>
      <c r="D46" s="62" t="s">
        <v>910</v>
      </c>
      <c r="E46" s="65" t="s">
        <v>911</v>
      </c>
      <c r="F46" s="63" t="s">
        <v>912</v>
      </c>
      <c r="G46" s="62" t="s">
        <v>254</v>
      </c>
      <c r="H46" s="62" t="s">
        <v>29</v>
      </c>
      <c r="I46" s="65" t="s">
        <v>30</v>
      </c>
      <c r="J46" s="62"/>
      <c r="K46" s="62" t="s">
        <v>31</v>
      </c>
      <c r="L46" s="66">
        <v>45062</v>
      </c>
      <c r="M46" s="66"/>
      <c r="N46" s="64"/>
      <c r="O46" s="62"/>
      <c r="P46" s="66"/>
      <c r="Q46" s="66"/>
      <c r="R46" s="66"/>
      <c r="S46" s="66" t="s">
        <v>907</v>
      </c>
      <c r="T46" s="103" t="s">
        <v>913</v>
      </c>
      <c r="U46" s="67">
        <v>3835</v>
      </c>
      <c r="V46" s="68">
        <v>1414</v>
      </c>
      <c r="W46" s="69">
        <v>45020</v>
      </c>
      <c r="X46" s="68">
        <v>236</v>
      </c>
      <c r="Y46" s="69">
        <v>45044</v>
      </c>
      <c r="Z46" s="68">
        <f>22.43+1112.11</f>
        <v>1134.54</v>
      </c>
      <c r="AA46" s="68">
        <f>V46+X46-Z46</f>
        <v>515.46</v>
      </c>
      <c r="AC46" s="106">
        <v>1</v>
      </c>
      <c r="AD46"/>
      <c r="AH46" s="154"/>
    </row>
    <row r="47" spans="1:34" x14ac:dyDescent="0.25">
      <c r="A47" s="62" t="s">
        <v>45</v>
      </c>
      <c r="B47" s="63">
        <v>9077</v>
      </c>
      <c r="C47" s="62" t="s">
        <v>914</v>
      </c>
      <c r="D47" s="62" t="s">
        <v>915</v>
      </c>
      <c r="E47" s="64">
        <v>44895</v>
      </c>
      <c r="F47" s="101" t="s">
        <v>916</v>
      </c>
      <c r="G47" s="62" t="s">
        <v>917</v>
      </c>
      <c r="H47" s="62" t="s">
        <v>29</v>
      </c>
      <c r="I47" s="65" t="s">
        <v>30</v>
      </c>
      <c r="J47" s="66">
        <v>44904</v>
      </c>
      <c r="K47" s="62"/>
      <c r="L47" s="62" t="s">
        <v>31</v>
      </c>
      <c r="M47" s="66"/>
      <c r="N47" s="66" t="s">
        <v>32</v>
      </c>
      <c r="O47" s="64">
        <v>45009</v>
      </c>
      <c r="P47" s="62" t="s">
        <v>32</v>
      </c>
      <c r="Q47" s="66">
        <v>44911</v>
      </c>
      <c r="R47" s="66">
        <v>44923</v>
      </c>
      <c r="S47" s="66" t="s">
        <v>918</v>
      </c>
      <c r="T47" s="66">
        <v>45063</v>
      </c>
      <c r="U47" s="67">
        <v>1650</v>
      </c>
      <c r="V47" s="68">
        <v>1650</v>
      </c>
      <c r="W47" s="69">
        <v>44900</v>
      </c>
      <c r="X47" s="68">
        <v>625</v>
      </c>
      <c r="Y47" s="69">
        <v>44910</v>
      </c>
      <c r="Z47" s="68">
        <f>22.43+149.4+299.8+1062.41</f>
        <v>1534.04</v>
      </c>
      <c r="AA47" s="68">
        <f>V47+X47-Z47</f>
        <v>740.96</v>
      </c>
      <c r="AC47" s="106">
        <v>1</v>
      </c>
      <c r="AD47"/>
    </row>
    <row r="48" spans="1:34" x14ac:dyDescent="0.25">
      <c r="A48" s="62" t="s">
        <v>45</v>
      </c>
      <c r="B48" s="63">
        <v>9222</v>
      </c>
      <c r="C48" s="62" t="s">
        <v>919</v>
      </c>
      <c r="D48" s="62" t="s">
        <v>920</v>
      </c>
      <c r="E48" s="64">
        <v>45057</v>
      </c>
      <c r="F48" s="65" t="s">
        <v>921</v>
      </c>
      <c r="G48" s="62" t="s">
        <v>686</v>
      </c>
      <c r="H48" s="62" t="s">
        <v>29</v>
      </c>
      <c r="I48" s="65" t="s">
        <v>30</v>
      </c>
      <c r="J48" s="66">
        <v>45063</v>
      </c>
      <c r="K48" s="62"/>
      <c r="L48" s="62" t="s">
        <v>31</v>
      </c>
      <c r="M48" s="66">
        <v>45062</v>
      </c>
      <c r="N48" s="66"/>
      <c r="O48" s="64"/>
      <c r="P48" s="62"/>
      <c r="Q48" s="66"/>
      <c r="R48" s="66"/>
      <c r="S48" s="66" t="s">
        <v>922</v>
      </c>
      <c r="T48" s="66">
        <v>45069</v>
      </c>
      <c r="U48" s="67">
        <v>1525</v>
      </c>
      <c r="V48" s="68">
        <v>1525</v>
      </c>
      <c r="W48" s="69">
        <v>45062</v>
      </c>
      <c r="X48" s="68"/>
      <c r="Y48" s="62"/>
      <c r="Z48" s="68">
        <f>22.43+5.18+1037.1</f>
        <v>1064.7099999999998</v>
      </c>
      <c r="AA48" s="68">
        <f>V48-Z48</f>
        <v>460.29000000000019</v>
      </c>
      <c r="AC48" s="106">
        <v>1</v>
      </c>
      <c r="AD48"/>
    </row>
    <row r="49" spans="1:30" x14ac:dyDescent="0.25">
      <c r="A49" s="62" t="s">
        <v>45</v>
      </c>
      <c r="B49" s="63">
        <v>9095</v>
      </c>
      <c r="C49" s="62" t="s">
        <v>923</v>
      </c>
      <c r="D49" s="62" t="s">
        <v>924</v>
      </c>
      <c r="E49" s="64">
        <v>44981</v>
      </c>
      <c r="F49" s="101" t="s">
        <v>925</v>
      </c>
      <c r="G49" s="62" t="s">
        <v>926</v>
      </c>
      <c r="H49" s="62" t="s">
        <v>29</v>
      </c>
      <c r="I49" s="65" t="s">
        <v>782</v>
      </c>
      <c r="J49" s="66">
        <v>44993</v>
      </c>
      <c r="K49" s="62" t="s">
        <v>31</v>
      </c>
      <c r="L49" s="66"/>
      <c r="M49" s="66"/>
      <c r="N49" s="64"/>
      <c r="O49" s="62"/>
      <c r="P49" s="66"/>
      <c r="Q49" s="66"/>
      <c r="R49" s="66"/>
      <c r="S49" s="66" t="s">
        <v>927</v>
      </c>
      <c r="T49" s="62" t="s">
        <v>928</v>
      </c>
      <c r="U49" s="67">
        <v>1775</v>
      </c>
      <c r="V49" s="68">
        <v>1775</v>
      </c>
      <c r="W49" s="69">
        <v>44993</v>
      </c>
      <c r="X49" s="68">
        <v>864</v>
      </c>
      <c r="Y49" s="105">
        <v>45279</v>
      </c>
      <c r="Z49" s="68">
        <f>36.77+1042.67+649.8</f>
        <v>1729.24</v>
      </c>
      <c r="AA49" s="68">
        <f>V49+X49-Z49</f>
        <v>909.76</v>
      </c>
      <c r="AC49" s="106">
        <f>IF(J49="YES",0,1)</f>
        <v>1</v>
      </c>
      <c r="AD49"/>
    </row>
    <row r="50" spans="1:30" x14ac:dyDescent="0.25">
      <c r="A50" s="62" t="s">
        <v>45</v>
      </c>
      <c r="B50" s="63">
        <v>9214</v>
      </c>
      <c r="C50" s="62" t="s">
        <v>929</v>
      </c>
      <c r="D50" s="62" t="s">
        <v>930</v>
      </c>
      <c r="E50" s="64">
        <v>45033</v>
      </c>
      <c r="F50" s="63" t="s">
        <v>931</v>
      </c>
      <c r="G50" s="62" t="s">
        <v>932</v>
      </c>
      <c r="H50" s="62" t="s">
        <v>933</v>
      </c>
      <c r="I50" s="65" t="s">
        <v>40</v>
      </c>
      <c r="J50" s="66">
        <v>45058</v>
      </c>
      <c r="K50" s="62"/>
      <c r="L50" s="62" t="s">
        <v>31</v>
      </c>
      <c r="M50" s="66">
        <v>45043</v>
      </c>
      <c r="N50" s="66"/>
      <c r="O50" s="64"/>
      <c r="P50" s="62"/>
      <c r="Q50" s="66"/>
      <c r="R50" s="66">
        <v>45090</v>
      </c>
      <c r="S50" s="66" t="s">
        <v>934</v>
      </c>
      <c r="T50" s="62"/>
      <c r="U50" s="67">
        <v>2635</v>
      </c>
      <c r="V50" s="68">
        <v>1650</v>
      </c>
      <c r="W50" s="104" t="s">
        <v>935</v>
      </c>
      <c r="X50" s="68">
        <v>985</v>
      </c>
      <c r="Y50" s="69">
        <v>45056</v>
      </c>
      <c r="Z50" s="68">
        <f>22.43+1108.24+443.4</f>
        <v>1574.0700000000002</v>
      </c>
      <c r="AA50" s="68">
        <f>V50+X50-Z50</f>
        <v>1060.9299999999998</v>
      </c>
      <c r="AC50" s="106">
        <f>IF(J50="YES",0,1)</f>
        <v>1</v>
      </c>
      <c r="AD50"/>
    </row>
    <row r="51" spans="1:30" x14ac:dyDescent="0.25">
      <c r="A51" s="62" t="s">
        <v>45</v>
      </c>
      <c r="B51" s="63">
        <v>9225</v>
      </c>
      <c r="C51" s="62" t="s">
        <v>936</v>
      </c>
      <c r="D51" s="62" t="s">
        <v>937</v>
      </c>
      <c r="E51" s="64">
        <v>45075</v>
      </c>
      <c r="F51" s="65" t="s">
        <v>938</v>
      </c>
      <c r="G51" s="62" t="s">
        <v>939</v>
      </c>
      <c r="H51" s="62" t="s">
        <v>940</v>
      </c>
      <c r="I51" s="65" t="s">
        <v>29</v>
      </c>
      <c r="J51" s="64">
        <v>45077</v>
      </c>
      <c r="K51" s="66">
        <v>45077</v>
      </c>
      <c r="L51" s="62"/>
      <c r="M51" s="66"/>
      <c r="N51" s="66"/>
      <c r="O51" s="64"/>
      <c r="P51" s="62"/>
      <c r="Q51" s="66"/>
      <c r="R51" s="66"/>
      <c r="S51" s="66" t="s">
        <v>941</v>
      </c>
      <c r="T51" s="66"/>
      <c r="U51" s="67">
        <v>1525</v>
      </c>
      <c r="V51" s="68">
        <v>1525</v>
      </c>
      <c r="W51" s="69">
        <v>45093</v>
      </c>
      <c r="X51" s="68"/>
      <c r="Y51" s="62"/>
      <c r="Z51" s="68">
        <f>22.43+1040.57</f>
        <v>1063</v>
      </c>
      <c r="AA51" s="68">
        <f>U51-Z51</f>
        <v>462</v>
      </c>
      <c r="AC51" s="106">
        <f>IF(J51="YES",0,1)</f>
        <v>1</v>
      </c>
      <c r="AD51"/>
    </row>
    <row r="52" spans="1:30" x14ac:dyDescent="0.25">
      <c r="A52" s="62" t="s">
        <v>45</v>
      </c>
      <c r="B52" s="63">
        <v>9204</v>
      </c>
      <c r="C52" s="62" t="s">
        <v>942</v>
      </c>
      <c r="D52" s="62" t="s">
        <v>943</v>
      </c>
      <c r="E52" s="64">
        <v>45005</v>
      </c>
      <c r="F52" s="101" t="s">
        <v>944</v>
      </c>
      <c r="G52" s="62" t="s">
        <v>945</v>
      </c>
      <c r="H52" s="62" t="s">
        <v>946</v>
      </c>
      <c r="I52" s="65" t="s">
        <v>531</v>
      </c>
      <c r="J52" s="64">
        <v>45033</v>
      </c>
      <c r="K52" s="66">
        <v>45033</v>
      </c>
      <c r="L52" s="62" t="s">
        <v>31</v>
      </c>
      <c r="M52" s="66">
        <v>45036</v>
      </c>
      <c r="N52" s="66"/>
      <c r="O52" s="64"/>
      <c r="P52" s="62"/>
      <c r="Q52" s="66"/>
      <c r="R52" s="66"/>
      <c r="S52" s="66" t="s">
        <v>947</v>
      </c>
      <c r="T52" s="66"/>
      <c r="U52" s="67">
        <v>6580</v>
      </c>
      <c r="V52" s="68">
        <v>2232</v>
      </c>
      <c r="W52" s="69">
        <v>45029</v>
      </c>
      <c r="X52" s="68">
        <f>1190+700</f>
        <v>1890</v>
      </c>
      <c r="Y52" s="69">
        <v>45050</v>
      </c>
      <c r="Z52" s="68">
        <f>22.43+1597.8+1622.76</f>
        <v>3242.99</v>
      </c>
      <c r="AA52" s="68">
        <f>U52-Z52</f>
        <v>3337.01</v>
      </c>
      <c r="AC52" s="106">
        <f>IF(J52="YES",0,1)</f>
        <v>1</v>
      </c>
      <c r="AD52"/>
    </row>
    <row r="53" spans="1:30" x14ac:dyDescent="0.25">
      <c r="A53" s="62" t="s">
        <v>45</v>
      </c>
      <c r="B53" s="63">
        <v>9070</v>
      </c>
      <c r="C53" s="62" t="s">
        <v>948</v>
      </c>
      <c r="D53" s="62" t="s">
        <v>949</v>
      </c>
      <c r="E53" s="64">
        <v>44876</v>
      </c>
      <c r="F53" s="64" t="s">
        <v>950</v>
      </c>
      <c r="G53" s="62" t="s">
        <v>840</v>
      </c>
      <c r="H53" s="62" t="s">
        <v>29</v>
      </c>
      <c r="I53" s="65" t="s">
        <v>34</v>
      </c>
      <c r="J53" s="62"/>
      <c r="K53" s="62" t="s">
        <v>31</v>
      </c>
      <c r="L53" s="66">
        <v>44907</v>
      </c>
      <c r="M53" s="66" t="s">
        <v>32</v>
      </c>
      <c r="N53" s="64"/>
      <c r="O53" s="62"/>
      <c r="P53" s="66"/>
      <c r="Q53" s="66"/>
      <c r="R53" s="66"/>
      <c r="S53" s="66" t="s">
        <v>951</v>
      </c>
      <c r="T53" s="62" t="s">
        <v>952</v>
      </c>
      <c r="U53" s="67">
        <f>1850+864+121+700+1050+1287</f>
        <v>5872</v>
      </c>
      <c r="V53" s="68">
        <v>1850</v>
      </c>
      <c r="W53" s="69">
        <v>44881</v>
      </c>
      <c r="X53" s="68">
        <f>121+864+480</f>
        <v>1465</v>
      </c>
      <c r="Y53" s="69">
        <v>45140</v>
      </c>
      <c r="Z53" s="68">
        <f>22.43+90+1261.83+649.8</f>
        <v>2024.06</v>
      </c>
      <c r="AA53" s="68">
        <f t="shared" ref="AA53:AA76" si="1">U53-Z53</f>
        <v>3847.94</v>
      </c>
      <c r="AC53" s="106">
        <v>1</v>
      </c>
      <c r="AD53"/>
    </row>
    <row r="54" spans="1:30" x14ac:dyDescent="0.25">
      <c r="A54" s="62" t="s">
        <v>45</v>
      </c>
      <c r="B54" s="63">
        <v>9238</v>
      </c>
      <c r="C54" s="62" t="s">
        <v>953</v>
      </c>
      <c r="D54" s="62" t="s">
        <v>954</v>
      </c>
      <c r="E54" s="65" t="s">
        <v>955</v>
      </c>
      <c r="F54" s="65" t="s">
        <v>956</v>
      </c>
      <c r="G54" s="62" t="s">
        <v>78</v>
      </c>
      <c r="H54" s="62" t="s">
        <v>29</v>
      </c>
      <c r="I54" s="65" t="s">
        <v>30</v>
      </c>
      <c r="J54" s="62"/>
      <c r="K54" s="62" t="s">
        <v>31</v>
      </c>
      <c r="L54" s="62"/>
      <c r="M54" s="62"/>
      <c r="N54" s="65"/>
      <c r="O54" s="62"/>
      <c r="P54" s="66"/>
      <c r="Q54" s="66"/>
      <c r="R54" s="66"/>
      <c r="S54" s="66" t="s">
        <v>957</v>
      </c>
      <c r="T54" s="62" t="s">
        <v>958</v>
      </c>
      <c r="U54" s="68">
        <v>1525</v>
      </c>
      <c r="V54" s="68">
        <v>1525</v>
      </c>
      <c r="W54" s="66">
        <v>45053</v>
      </c>
      <c r="X54" s="62"/>
      <c r="Y54" s="62"/>
      <c r="Z54" s="68">
        <f>22.43+5.18+1047.18</f>
        <v>1074.79</v>
      </c>
      <c r="AA54" s="68">
        <f t="shared" si="1"/>
        <v>450.21000000000004</v>
      </c>
      <c r="AD54"/>
    </row>
    <row r="55" spans="1:30" x14ac:dyDescent="0.25">
      <c r="A55" s="62" t="s">
        <v>45</v>
      </c>
      <c r="B55" s="63">
        <v>8689</v>
      </c>
      <c r="C55" s="62" t="s">
        <v>959</v>
      </c>
      <c r="D55" s="62" t="s">
        <v>960</v>
      </c>
      <c r="E55" s="64">
        <v>44490</v>
      </c>
      <c r="F55" s="65" t="s">
        <v>961</v>
      </c>
      <c r="G55" s="62" t="s">
        <v>962</v>
      </c>
      <c r="H55" s="62" t="s">
        <v>963</v>
      </c>
      <c r="I55" s="65" t="s">
        <v>38</v>
      </c>
      <c r="J55" s="62"/>
      <c r="K55" s="62" t="s">
        <v>31</v>
      </c>
      <c r="L55" s="66"/>
      <c r="M55" s="66"/>
      <c r="N55" s="64"/>
      <c r="O55" s="62"/>
      <c r="P55" s="66"/>
      <c r="Q55" s="66"/>
      <c r="R55" s="66"/>
      <c r="S55" s="66" t="s">
        <v>957</v>
      </c>
      <c r="T55" s="62" t="s">
        <v>964</v>
      </c>
      <c r="U55" s="67">
        <v>1850</v>
      </c>
      <c r="V55" s="68">
        <v>1850</v>
      </c>
      <c r="W55" s="69" t="s">
        <v>965</v>
      </c>
      <c r="X55" s="68">
        <v>437</v>
      </c>
      <c r="Y55" s="66">
        <v>45206</v>
      </c>
      <c r="Z55" s="68">
        <f>311.8+1181.4</f>
        <v>1493.2</v>
      </c>
      <c r="AA55" s="68">
        <f t="shared" si="1"/>
        <v>356.79999999999995</v>
      </c>
      <c r="AD55"/>
    </row>
    <row r="56" spans="1:30" x14ac:dyDescent="0.25">
      <c r="A56" s="62" t="s">
        <v>45</v>
      </c>
      <c r="B56" s="63">
        <v>9236</v>
      </c>
      <c r="C56" s="62" t="s">
        <v>750</v>
      </c>
      <c r="D56" s="62" t="s">
        <v>751</v>
      </c>
      <c r="E56" s="65" t="s">
        <v>966</v>
      </c>
      <c r="F56" s="65" t="s">
        <v>967</v>
      </c>
      <c r="G56" s="62" t="s">
        <v>686</v>
      </c>
      <c r="H56" s="62" t="s">
        <v>40</v>
      </c>
      <c r="I56" s="65" t="s">
        <v>30</v>
      </c>
      <c r="J56" s="62"/>
      <c r="K56" s="62" t="s">
        <v>31</v>
      </c>
      <c r="L56" s="62"/>
      <c r="M56" s="62"/>
      <c r="N56" s="65"/>
      <c r="O56" s="62"/>
      <c r="P56" s="66"/>
      <c r="Q56" s="66"/>
      <c r="R56" s="66"/>
      <c r="S56" s="66" t="s">
        <v>968</v>
      </c>
      <c r="T56" s="62" t="s">
        <v>969</v>
      </c>
      <c r="U56" s="68">
        <v>0</v>
      </c>
      <c r="V56" s="68">
        <v>0</v>
      </c>
      <c r="W56" s="62">
        <v>0</v>
      </c>
      <c r="X56" s="62">
        <v>0</v>
      </c>
      <c r="Y56" s="62">
        <v>0</v>
      </c>
      <c r="Z56" s="68">
        <f>36.77+1047.11</f>
        <v>1083.8799999999999</v>
      </c>
      <c r="AA56" s="68">
        <f>U56-Z56</f>
        <v>-1083.8799999999999</v>
      </c>
      <c r="AC56" s="106">
        <v>1</v>
      </c>
      <c r="AD56"/>
    </row>
    <row r="57" spans="1:30" x14ac:dyDescent="0.25">
      <c r="A57" s="62" t="s">
        <v>45</v>
      </c>
      <c r="B57" s="63">
        <v>9211</v>
      </c>
      <c r="C57" s="62" t="s">
        <v>970</v>
      </c>
      <c r="D57" s="62" t="s">
        <v>971</v>
      </c>
      <c r="E57" s="64">
        <v>45027</v>
      </c>
      <c r="F57" s="101" t="s">
        <v>972</v>
      </c>
      <c r="G57" s="62" t="s">
        <v>973</v>
      </c>
      <c r="H57" s="62" t="s">
        <v>40</v>
      </c>
      <c r="I57" s="65" t="s">
        <v>30</v>
      </c>
      <c r="J57" s="66">
        <v>45033</v>
      </c>
      <c r="K57" s="62" t="s">
        <v>31</v>
      </c>
      <c r="L57" s="66"/>
      <c r="M57" s="66"/>
      <c r="N57" s="64"/>
      <c r="O57" s="62"/>
      <c r="P57" s="66"/>
      <c r="Q57" s="66"/>
      <c r="R57" s="66"/>
      <c r="S57" s="66" t="s">
        <v>974</v>
      </c>
      <c r="T57" s="62" t="s">
        <v>975</v>
      </c>
      <c r="U57" s="67">
        <v>2933</v>
      </c>
      <c r="V57" s="68">
        <v>1386.36</v>
      </c>
      <c r="W57" s="69">
        <v>45028</v>
      </c>
      <c r="X57" s="68"/>
      <c r="Y57" s="62"/>
      <c r="Z57" s="68">
        <f>22.43+10.36+5.18</f>
        <v>37.97</v>
      </c>
      <c r="AA57" s="68">
        <f t="shared" si="1"/>
        <v>2895.03</v>
      </c>
      <c r="AC57" s="106">
        <v>1</v>
      </c>
      <c r="AD57"/>
    </row>
    <row r="58" spans="1:30" x14ac:dyDescent="0.25">
      <c r="A58" s="62" t="s">
        <v>45</v>
      </c>
      <c r="B58" s="63">
        <v>9234</v>
      </c>
      <c r="C58" s="62" t="s">
        <v>976</v>
      </c>
      <c r="D58" s="62" t="s">
        <v>977</v>
      </c>
      <c r="E58" s="65" t="s">
        <v>978</v>
      </c>
      <c r="F58" s="65" t="s">
        <v>979</v>
      </c>
      <c r="G58" s="62" t="s">
        <v>591</v>
      </c>
      <c r="H58" s="62" t="s">
        <v>29</v>
      </c>
      <c r="I58" s="65" t="s">
        <v>30</v>
      </c>
      <c r="J58" s="62"/>
      <c r="K58" s="62" t="s">
        <v>31</v>
      </c>
      <c r="L58" s="62"/>
      <c r="M58" s="62"/>
      <c r="N58" s="65"/>
      <c r="O58" s="62"/>
      <c r="P58" s="66"/>
      <c r="Q58" s="66"/>
      <c r="R58" s="66"/>
      <c r="S58" s="66" t="s">
        <v>974</v>
      </c>
      <c r="T58" s="62" t="s">
        <v>980</v>
      </c>
      <c r="U58" s="68">
        <v>2710</v>
      </c>
      <c r="V58" s="68">
        <v>1725</v>
      </c>
      <c r="W58" s="62" t="s">
        <v>981</v>
      </c>
      <c r="X58" s="62"/>
      <c r="Y58" s="62"/>
      <c r="Z58" s="68">
        <f>22.43+10.36</f>
        <v>32.79</v>
      </c>
      <c r="AA58" s="68">
        <f t="shared" si="1"/>
        <v>2677.21</v>
      </c>
      <c r="AC58" s="106">
        <v>1</v>
      </c>
      <c r="AD58"/>
    </row>
    <row r="59" spans="1:30" x14ac:dyDescent="0.25">
      <c r="A59" s="62" t="s">
        <v>45</v>
      </c>
      <c r="B59" s="63">
        <v>9217</v>
      </c>
      <c r="C59" s="62" t="s">
        <v>982</v>
      </c>
      <c r="D59" s="62" t="s">
        <v>983</v>
      </c>
      <c r="E59" s="64">
        <v>45042</v>
      </c>
      <c r="F59" s="63" t="s">
        <v>984</v>
      </c>
      <c r="G59" s="62" t="s">
        <v>945</v>
      </c>
      <c r="H59" s="62" t="s">
        <v>29</v>
      </c>
      <c r="I59" s="65" t="s">
        <v>30</v>
      </c>
      <c r="J59" s="62"/>
      <c r="K59" s="62" t="s">
        <v>31</v>
      </c>
      <c r="L59" s="66">
        <v>45048</v>
      </c>
      <c r="M59" s="66"/>
      <c r="N59" s="64"/>
      <c r="O59" s="62"/>
      <c r="P59" s="66"/>
      <c r="Q59" s="66"/>
      <c r="R59" s="66">
        <v>45058</v>
      </c>
      <c r="S59" s="66" t="s">
        <v>985</v>
      </c>
      <c r="T59" s="62" t="s">
        <v>986</v>
      </c>
      <c r="U59" s="67">
        <v>5880</v>
      </c>
      <c r="V59" s="68">
        <f>2232+1042</f>
        <v>3274</v>
      </c>
      <c r="W59" s="69">
        <v>45075</v>
      </c>
      <c r="X59" s="68">
        <v>1190</v>
      </c>
      <c r="Y59" s="69">
        <v>44990</v>
      </c>
      <c r="Z59" s="68">
        <f>1247.44+649.8+1360.8+22.43</f>
        <v>3280.47</v>
      </c>
      <c r="AA59" s="68">
        <f t="shared" si="1"/>
        <v>2599.5300000000002</v>
      </c>
      <c r="AD59"/>
    </row>
    <row r="60" spans="1:30" x14ac:dyDescent="0.25">
      <c r="A60" s="62" t="s">
        <v>45</v>
      </c>
      <c r="B60" s="63">
        <v>9228</v>
      </c>
      <c r="C60" s="62" t="s">
        <v>987</v>
      </c>
      <c r="D60" s="62" t="s">
        <v>988</v>
      </c>
      <c r="E60" s="64">
        <v>45078</v>
      </c>
      <c r="F60" s="65" t="s">
        <v>989</v>
      </c>
      <c r="G60" s="62" t="s">
        <v>973</v>
      </c>
      <c r="H60" s="62" t="s">
        <v>29</v>
      </c>
      <c r="I60" s="65" t="s">
        <v>30</v>
      </c>
      <c r="J60" s="62"/>
      <c r="K60" s="62" t="s">
        <v>31</v>
      </c>
      <c r="L60" s="66"/>
      <c r="M60" s="66"/>
      <c r="N60" s="64"/>
      <c r="O60" s="62"/>
      <c r="P60" s="66"/>
      <c r="Q60" s="66"/>
      <c r="R60" s="66"/>
      <c r="S60" s="66" t="s">
        <v>985</v>
      </c>
      <c r="T60" s="62" t="s">
        <v>990</v>
      </c>
      <c r="U60" s="67">
        <v>1650</v>
      </c>
      <c r="V60" s="68">
        <v>1650</v>
      </c>
      <c r="W60" s="62" t="s">
        <v>991</v>
      </c>
      <c r="X60" s="68"/>
      <c r="Y60" s="62"/>
      <c r="Z60" s="68">
        <f>1069.07+22.43</f>
        <v>1091.5</v>
      </c>
      <c r="AA60" s="68">
        <f t="shared" si="1"/>
        <v>558.5</v>
      </c>
      <c r="AD60"/>
    </row>
    <row r="61" spans="1:30" x14ac:dyDescent="0.25">
      <c r="A61" s="62" t="s">
        <v>45</v>
      </c>
      <c r="B61" s="63">
        <v>9094</v>
      </c>
      <c r="C61" s="62" t="s">
        <v>992</v>
      </c>
      <c r="D61" s="62" t="s">
        <v>993</v>
      </c>
      <c r="E61" s="64"/>
      <c r="F61" s="65" t="s">
        <v>994</v>
      </c>
      <c r="G61" s="62" t="s">
        <v>50</v>
      </c>
      <c r="H61" s="62" t="s">
        <v>29</v>
      </c>
      <c r="I61" s="65" t="s">
        <v>30</v>
      </c>
      <c r="J61" s="62"/>
      <c r="K61" s="62" t="s">
        <v>31</v>
      </c>
      <c r="L61" s="62"/>
      <c r="M61" s="62"/>
      <c r="N61" s="65"/>
      <c r="O61" s="62"/>
      <c r="P61" s="66"/>
      <c r="Q61" s="66"/>
      <c r="R61" s="66"/>
      <c r="S61" s="66" t="s">
        <v>995</v>
      </c>
      <c r="T61" s="62" t="s">
        <v>975</v>
      </c>
      <c r="U61" s="68">
        <v>2835</v>
      </c>
      <c r="V61" s="68">
        <v>1645</v>
      </c>
      <c r="W61" s="62" t="s">
        <v>996</v>
      </c>
      <c r="X61" s="62">
        <v>1190</v>
      </c>
      <c r="Y61" s="62" t="s">
        <v>997</v>
      </c>
      <c r="Z61" s="68">
        <f>649.8+1177.69+22.43</f>
        <v>1849.92</v>
      </c>
      <c r="AA61" s="68">
        <f t="shared" si="1"/>
        <v>985.07999999999993</v>
      </c>
      <c r="AD61"/>
    </row>
    <row r="62" spans="1:30" x14ac:dyDescent="0.25">
      <c r="A62" s="62" t="s">
        <v>96</v>
      </c>
      <c r="B62" s="63">
        <v>26</v>
      </c>
      <c r="C62" s="62" t="s">
        <v>998</v>
      </c>
      <c r="D62" s="62" t="s">
        <v>999</v>
      </c>
      <c r="E62" s="65" t="s">
        <v>1000</v>
      </c>
      <c r="F62" s="65" t="s">
        <v>1001</v>
      </c>
      <c r="G62" s="62" t="s">
        <v>714</v>
      </c>
      <c r="H62" s="62" t="s">
        <v>29</v>
      </c>
      <c r="I62" s="65" t="s">
        <v>30</v>
      </c>
      <c r="J62" s="62"/>
      <c r="K62" s="62" t="s">
        <v>1002</v>
      </c>
      <c r="L62" s="62"/>
      <c r="M62" s="62"/>
      <c r="N62" s="65"/>
      <c r="O62" s="62"/>
      <c r="P62" s="66"/>
      <c r="Q62" s="66"/>
      <c r="R62" s="66"/>
      <c r="S62" s="66" t="s">
        <v>1003</v>
      </c>
      <c r="T62" s="62" t="s">
        <v>980</v>
      </c>
      <c r="U62" s="68">
        <v>1800</v>
      </c>
      <c r="V62" s="68">
        <v>1800</v>
      </c>
      <c r="W62" s="62" t="s">
        <v>1004</v>
      </c>
      <c r="X62" s="62"/>
      <c r="Y62" s="62"/>
      <c r="Z62" s="68">
        <f>10.76+1145.07+23.6</f>
        <v>1179.4299999999998</v>
      </c>
      <c r="AA62" s="68">
        <f t="shared" si="1"/>
        <v>620.57000000000016</v>
      </c>
      <c r="AC62" s="106">
        <f>IF(J62="YES",0,1)</f>
        <v>1</v>
      </c>
      <c r="AD62"/>
    </row>
    <row r="63" spans="1:30" x14ac:dyDescent="0.25">
      <c r="A63" s="62" t="s">
        <v>96</v>
      </c>
      <c r="B63" s="63">
        <v>31</v>
      </c>
      <c r="C63" s="62" t="s">
        <v>1005</v>
      </c>
      <c r="D63" s="62" t="s">
        <v>1006</v>
      </c>
      <c r="E63" s="64">
        <v>45148</v>
      </c>
      <c r="F63" s="65" t="s">
        <v>1007</v>
      </c>
      <c r="G63" s="62" t="s">
        <v>78</v>
      </c>
      <c r="H63" s="62" t="s">
        <v>29</v>
      </c>
      <c r="I63" s="65" t="s">
        <v>30</v>
      </c>
      <c r="J63" s="62"/>
      <c r="K63" s="62" t="s">
        <v>31</v>
      </c>
      <c r="L63" s="62"/>
      <c r="M63" s="62"/>
      <c r="N63" s="65"/>
      <c r="O63" s="62"/>
      <c r="P63" s="66"/>
      <c r="Q63" s="66"/>
      <c r="R63" s="66"/>
      <c r="S63" s="66" t="s">
        <v>1003</v>
      </c>
      <c r="T63" s="62" t="s">
        <v>1008</v>
      </c>
      <c r="U63" s="68">
        <v>1800</v>
      </c>
      <c r="V63" s="68">
        <v>1800</v>
      </c>
      <c r="W63" s="62" t="s">
        <v>1009</v>
      </c>
      <c r="X63" s="62"/>
      <c r="Y63" s="62"/>
      <c r="Z63" s="68">
        <f>10.76+1045.16+23.6</f>
        <v>1079.52</v>
      </c>
      <c r="AA63" s="68">
        <f t="shared" si="1"/>
        <v>720.48</v>
      </c>
      <c r="AC63" s="106">
        <f>IF(J63="YES",0,1)</f>
        <v>1</v>
      </c>
      <c r="AD63"/>
    </row>
    <row r="64" spans="1:30" x14ac:dyDescent="0.25">
      <c r="A64" s="62" t="s">
        <v>96</v>
      </c>
      <c r="B64" s="63">
        <v>34</v>
      </c>
      <c r="C64" s="62" t="s">
        <v>1010</v>
      </c>
      <c r="D64" s="62" t="s">
        <v>1011</v>
      </c>
      <c r="E64" s="65" t="s">
        <v>1012</v>
      </c>
      <c r="F64" s="65" t="s">
        <v>1013</v>
      </c>
      <c r="G64" s="62" t="s">
        <v>591</v>
      </c>
      <c r="H64" s="62" t="s">
        <v>29</v>
      </c>
      <c r="I64" s="65" t="s">
        <v>30</v>
      </c>
      <c r="J64" s="62"/>
      <c r="K64" s="62" t="s">
        <v>31</v>
      </c>
      <c r="L64" s="62"/>
      <c r="M64" s="62"/>
      <c r="N64" s="65"/>
      <c r="O64" s="62"/>
      <c r="P64" s="66"/>
      <c r="Q64" s="66"/>
      <c r="R64" s="66"/>
      <c r="S64" s="66" t="s">
        <v>1014</v>
      </c>
      <c r="T64" s="62" t="s">
        <v>1015</v>
      </c>
      <c r="U64" s="68">
        <v>1800</v>
      </c>
      <c r="V64" s="68">
        <v>1800</v>
      </c>
      <c r="W64" s="62" t="s">
        <v>1016</v>
      </c>
      <c r="X64" s="62"/>
      <c r="Y64" s="62"/>
      <c r="Z64" s="68">
        <f>28.98+1045.91</f>
        <v>1074.8900000000001</v>
      </c>
      <c r="AA64" s="68">
        <f t="shared" si="1"/>
        <v>725.1099999999999</v>
      </c>
      <c r="AC64" s="106">
        <v>1</v>
      </c>
      <c r="AD64"/>
    </row>
    <row r="65" spans="1:30" x14ac:dyDescent="0.25">
      <c r="A65" s="62" t="s">
        <v>45</v>
      </c>
      <c r="B65" s="63">
        <v>9253</v>
      </c>
      <c r="C65" s="62" t="s">
        <v>1017</v>
      </c>
      <c r="D65" s="62" t="s">
        <v>1018</v>
      </c>
      <c r="E65" s="65" t="s">
        <v>1019</v>
      </c>
      <c r="F65" s="65" t="s">
        <v>1020</v>
      </c>
      <c r="G65" s="62" t="s">
        <v>1021</v>
      </c>
      <c r="H65" s="62" t="s">
        <v>29</v>
      </c>
      <c r="I65" s="65" t="s">
        <v>30</v>
      </c>
      <c r="J65" s="62"/>
      <c r="K65" s="62" t="s">
        <v>31</v>
      </c>
      <c r="L65" s="62"/>
      <c r="M65" s="62"/>
      <c r="N65" s="65"/>
      <c r="O65" s="62"/>
      <c r="P65" s="66"/>
      <c r="Q65" s="66"/>
      <c r="R65" s="66"/>
      <c r="S65" s="66" t="s">
        <v>1022</v>
      </c>
      <c r="T65" s="62" t="s">
        <v>1023</v>
      </c>
      <c r="U65" s="68">
        <v>1800</v>
      </c>
      <c r="V65" s="68">
        <v>1800</v>
      </c>
      <c r="W65" s="62" t="s">
        <v>1024</v>
      </c>
      <c r="X65" s="62"/>
      <c r="Y65" s="62"/>
      <c r="Z65" s="68">
        <f>1047.48+23.6</f>
        <v>1071.08</v>
      </c>
      <c r="AA65" s="68">
        <f t="shared" si="1"/>
        <v>728.92000000000007</v>
      </c>
      <c r="AC65" s="106">
        <f>IF(J65="YES",0,1)</f>
        <v>1</v>
      </c>
      <c r="AD65"/>
    </row>
    <row r="66" spans="1:30" x14ac:dyDescent="0.25">
      <c r="A66" s="62" t="s">
        <v>45</v>
      </c>
      <c r="B66" s="63">
        <v>9244</v>
      </c>
      <c r="C66" s="62" t="s">
        <v>1025</v>
      </c>
      <c r="D66" s="62" t="s">
        <v>1026</v>
      </c>
      <c r="E66" s="65" t="s">
        <v>1027</v>
      </c>
      <c r="F66" s="65" t="s">
        <v>1028</v>
      </c>
      <c r="G66" s="62" t="s">
        <v>78</v>
      </c>
      <c r="H66" s="62" t="s">
        <v>29</v>
      </c>
      <c r="I66" s="65" t="s">
        <v>30</v>
      </c>
      <c r="J66" s="62"/>
      <c r="K66" s="62" t="s">
        <v>31</v>
      </c>
      <c r="L66" s="62"/>
      <c r="M66" s="62"/>
      <c r="N66" s="65"/>
      <c r="O66" s="62"/>
      <c r="P66" s="66"/>
      <c r="Q66" s="66"/>
      <c r="R66" s="66"/>
      <c r="S66" s="66" t="s">
        <v>1029</v>
      </c>
      <c r="T66" s="62" t="s">
        <v>980</v>
      </c>
      <c r="U66" s="68">
        <v>1800</v>
      </c>
      <c r="V66" s="68">
        <v>1800</v>
      </c>
      <c r="W66" s="62" t="s">
        <v>1027</v>
      </c>
      <c r="X66" s="62"/>
      <c r="Y66" s="62"/>
      <c r="Z66" s="68">
        <f>23.6+5.38+1181.37</f>
        <v>1210.3499999999999</v>
      </c>
      <c r="AA66" s="68">
        <f t="shared" si="1"/>
        <v>589.65000000000009</v>
      </c>
      <c r="AD66"/>
    </row>
    <row r="67" spans="1:30" s="41" customFormat="1" x14ac:dyDescent="0.25">
      <c r="A67" s="62" t="s">
        <v>45</v>
      </c>
      <c r="B67" s="63">
        <v>9072</v>
      </c>
      <c r="C67" s="62" t="s">
        <v>1030</v>
      </c>
      <c r="D67" s="62" t="s">
        <v>1031</v>
      </c>
      <c r="E67" s="64"/>
      <c r="F67" s="65" t="s">
        <v>1032</v>
      </c>
      <c r="G67" s="62" t="s">
        <v>1033</v>
      </c>
      <c r="H67" s="62" t="s">
        <v>29</v>
      </c>
      <c r="I67" s="65" t="s">
        <v>30</v>
      </c>
      <c r="J67" s="62"/>
      <c r="K67" s="62" t="s">
        <v>38</v>
      </c>
      <c r="L67" s="62"/>
      <c r="M67" s="62"/>
      <c r="N67" s="65"/>
      <c r="O67" s="62"/>
      <c r="P67" s="66"/>
      <c r="Q67" s="66"/>
      <c r="R67" s="66"/>
      <c r="S67" s="66" t="s">
        <v>1034</v>
      </c>
      <c r="T67" s="62" t="s">
        <v>1035</v>
      </c>
      <c r="U67" s="68">
        <v>6263</v>
      </c>
      <c r="V67" s="68">
        <v>1535</v>
      </c>
      <c r="W67" s="62" t="s">
        <v>1036</v>
      </c>
      <c r="X67" s="62">
        <f>423+1695+1200-837</f>
        <v>2481</v>
      </c>
      <c r="Y67" s="62" t="s">
        <v>1037</v>
      </c>
      <c r="Z67" s="68">
        <f>77.96+649.8+22.43+299.84+660+727.76</f>
        <v>2437.79</v>
      </c>
      <c r="AA67" s="68">
        <f t="shared" si="1"/>
        <v>3825.21</v>
      </c>
      <c r="AD67"/>
    </row>
    <row r="68" spans="1:30" x14ac:dyDescent="0.25">
      <c r="A68" s="62" t="s">
        <v>45</v>
      </c>
      <c r="B68" s="63">
        <v>9241</v>
      </c>
      <c r="C68" s="62" t="s">
        <v>1038</v>
      </c>
      <c r="D68" s="62" t="s">
        <v>1039</v>
      </c>
      <c r="E68" s="65" t="s">
        <v>1040</v>
      </c>
      <c r="F68" s="65" t="s">
        <v>1041</v>
      </c>
      <c r="G68" s="62" t="s">
        <v>840</v>
      </c>
      <c r="H68" s="62" t="s">
        <v>29</v>
      </c>
      <c r="I68" s="65" t="s">
        <v>30</v>
      </c>
      <c r="J68" s="62"/>
      <c r="K68" s="62" t="s">
        <v>31</v>
      </c>
      <c r="L68" s="62"/>
      <c r="M68" s="62"/>
      <c r="N68" s="65"/>
      <c r="O68" s="62"/>
      <c r="P68" s="66"/>
      <c r="Q68" s="66"/>
      <c r="R68" s="66"/>
      <c r="S68" s="66" t="s">
        <v>1042</v>
      </c>
      <c r="T68" s="62" t="s">
        <v>1043</v>
      </c>
      <c r="U68" s="68">
        <v>2237</v>
      </c>
      <c r="V68" s="68">
        <v>887</v>
      </c>
      <c r="W68" s="62" t="s">
        <v>1044</v>
      </c>
      <c r="X68" s="62">
        <v>1350</v>
      </c>
      <c r="Y68" s="62" t="s">
        <v>995</v>
      </c>
      <c r="Z68" s="68">
        <f>311.8+5.38+1109.7+23.6</f>
        <v>1450.48</v>
      </c>
      <c r="AA68" s="68">
        <f t="shared" si="1"/>
        <v>786.52</v>
      </c>
      <c r="AC68" s="106">
        <f t="shared" ref="AC68:AC75" si="2">IF(J68="YES",0,1)</f>
        <v>1</v>
      </c>
      <c r="AD68"/>
    </row>
    <row r="69" spans="1:30" x14ac:dyDescent="0.25">
      <c r="A69" s="62" t="s">
        <v>45</v>
      </c>
      <c r="B69" s="63">
        <v>9256</v>
      </c>
      <c r="C69" s="62" t="s">
        <v>1045</v>
      </c>
      <c r="D69" s="62" t="s">
        <v>1046</v>
      </c>
      <c r="E69" s="65" t="s">
        <v>1047</v>
      </c>
      <c r="F69" s="65" t="s">
        <v>1048</v>
      </c>
      <c r="G69" s="62" t="s">
        <v>260</v>
      </c>
      <c r="H69" s="62" t="s">
        <v>29</v>
      </c>
      <c r="I69" s="65" t="s">
        <v>34</v>
      </c>
      <c r="J69" s="62"/>
      <c r="K69" s="62" t="s">
        <v>31</v>
      </c>
      <c r="L69" s="62"/>
      <c r="M69" s="62"/>
      <c r="N69" s="65"/>
      <c r="O69" s="62"/>
      <c r="P69" s="66"/>
      <c r="Q69" s="66"/>
      <c r="R69" s="66"/>
      <c r="S69" s="66" t="s">
        <v>1042</v>
      </c>
      <c r="T69" s="62" t="s">
        <v>1049</v>
      </c>
      <c r="U69" s="68">
        <v>2835</v>
      </c>
      <c r="V69" s="68">
        <v>1650</v>
      </c>
      <c r="W69" s="62" t="s">
        <v>1050</v>
      </c>
      <c r="X69" s="62"/>
      <c r="Y69" s="62"/>
      <c r="Z69" s="68">
        <f>23.6+1047.47+10.76</f>
        <v>1081.83</v>
      </c>
      <c r="AA69" s="68">
        <f t="shared" si="1"/>
        <v>1753.17</v>
      </c>
      <c r="AC69" s="106">
        <f t="shared" si="2"/>
        <v>1</v>
      </c>
      <c r="AD69"/>
    </row>
    <row r="70" spans="1:30" x14ac:dyDescent="0.25">
      <c r="A70" s="62" t="s">
        <v>45</v>
      </c>
      <c r="B70" s="63">
        <v>9258</v>
      </c>
      <c r="C70" s="62" t="s">
        <v>1051</v>
      </c>
      <c r="D70" s="62" t="s">
        <v>1052</v>
      </c>
      <c r="E70" s="64">
        <v>45055</v>
      </c>
      <c r="F70" s="65" t="s">
        <v>1053</v>
      </c>
      <c r="G70" s="62" t="s">
        <v>260</v>
      </c>
      <c r="H70" s="62" t="s">
        <v>29</v>
      </c>
      <c r="I70" s="65" t="s">
        <v>30</v>
      </c>
      <c r="J70" s="62"/>
      <c r="K70" s="62" t="s">
        <v>31</v>
      </c>
      <c r="L70" s="62"/>
      <c r="M70" s="62"/>
      <c r="N70" s="65"/>
      <c r="O70" s="62"/>
      <c r="P70" s="66"/>
      <c r="Q70" s="66"/>
      <c r="R70" s="66"/>
      <c r="S70" s="66" t="s">
        <v>1054</v>
      </c>
      <c r="T70" s="62" t="s">
        <v>1049</v>
      </c>
      <c r="U70" s="68">
        <v>1650</v>
      </c>
      <c r="V70" s="68">
        <v>1650</v>
      </c>
      <c r="W70" s="62" t="s">
        <v>1055</v>
      </c>
      <c r="X70" s="62"/>
      <c r="Y70" s="62"/>
      <c r="Z70" s="68">
        <f>1043.43+31.24+5.38</f>
        <v>1080.0500000000002</v>
      </c>
      <c r="AA70" s="68">
        <f t="shared" si="1"/>
        <v>569.94999999999982</v>
      </c>
      <c r="AC70" s="106">
        <f t="shared" si="2"/>
        <v>1</v>
      </c>
      <c r="AD70"/>
    </row>
    <row r="71" spans="1:30" x14ac:dyDescent="0.25">
      <c r="A71" s="62" t="s">
        <v>96</v>
      </c>
      <c r="B71" s="63">
        <v>40</v>
      </c>
      <c r="C71" s="62" t="s">
        <v>1056</v>
      </c>
      <c r="D71" s="62" t="s">
        <v>1057</v>
      </c>
      <c r="E71" s="64">
        <v>45025</v>
      </c>
      <c r="F71" s="65" t="s">
        <v>1058</v>
      </c>
      <c r="G71" s="62" t="s">
        <v>1059</v>
      </c>
      <c r="H71" s="62" t="s">
        <v>29</v>
      </c>
      <c r="I71" s="65" t="s">
        <v>30</v>
      </c>
      <c r="J71" s="62"/>
      <c r="K71" s="62" t="s">
        <v>111</v>
      </c>
      <c r="L71" s="62"/>
      <c r="M71" s="62"/>
      <c r="N71" s="65"/>
      <c r="O71" s="62"/>
      <c r="P71" s="66"/>
      <c r="Q71" s="66"/>
      <c r="R71" s="66"/>
      <c r="S71" s="66" t="s">
        <v>1054</v>
      </c>
      <c r="T71" s="62" t="s">
        <v>1060</v>
      </c>
      <c r="U71" s="68">
        <v>1950</v>
      </c>
      <c r="V71" s="68">
        <v>1950</v>
      </c>
      <c r="W71" s="62">
        <v>1046.8399999999999</v>
      </c>
      <c r="X71" s="62"/>
      <c r="Y71" s="62"/>
      <c r="Z71" s="68">
        <f>1046.84+23.6+10.76</f>
        <v>1081.1999999999998</v>
      </c>
      <c r="AA71" s="68">
        <f t="shared" si="1"/>
        <v>868.80000000000018</v>
      </c>
      <c r="AC71" s="106">
        <f t="shared" si="2"/>
        <v>1</v>
      </c>
      <c r="AD71"/>
    </row>
    <row r="72" spans="1:30" x14ac:dyDescent="0.25">
      <c r="A72" s="62" t="s">
        <v>96</v>
      </c>
      <c r="B72" s="63">
        <v>36</v>
      </c>
      <c r="C72" s="62" t="s">
        <v>1061</v>
      </c>
      <c r="D72" s="62" t="s">
        <v>1062</v>
      </c>
      <c r="E72" s="65" t="s">
        <v>1012</v>
      </c>
      <c r="F72" s="65" t="s">
        <v>1063</v>
      </c>
      <c r="G72" s="62" t="s">
        <v>215</v>
      </c>
      <c r="H72" s="62" t="s">
        <v>29</v>
      </c>
      <c r="I72" s="65" t="s">
        <v>34</v>
      </c>
      <c r="J72" s="62"/>
      <c r="K72" s="62" t="s">
        <v>38</v>
      </c>
      <c r="L72" s="62"/>
      <c r="M72" s="62"/>
      <c r="N72" s="65"/>
      <c r="O72" s="62"/>
      <c r="P72" s="66"/>
      <c r="Q72" s="66"/>
      <c r="R72" s="66"/>
      <c r="S72" s="66" t="s">
        <v>1054</v>
      </c>
      <c r="T72" s="62" t="s">
        <v>1064</v>
      </c>
      <c r="U72" s="68">
        <v>3621</v>
      </c>
      <c r="V72" s="68">
        <v>2150</v>
      </c>
      <c r="W72" s="62" t="s">
        <v>1065</v>
      </c>
      <c r="X72" s="62"/>
      <c r="Y72" s="62"/>
      <c r="Z72" s="68">
        <f>1246.2+23.6</f>
        <v>1269.8</v>
      </c>
      <c r="AA72" s="68">
        <f t="shared" si="1"/>
        <v>2351.1999999999998</v>
      </c>
      <c r="AC72" s="106">
        <f t="shared" si="2"/>
        <v>1</v>
      </c>
      <c r="AD72"/>
    </row>
    <row r="73" spans="1:30" x14ac:dyDescent="0.25">
      <c r="A73" s="62" t="s">
        <v>45</v>
      </c>
      <c r="B73" s="63">
        <v>9251</v>
      </c>
      <c r="C73" s="62" t="s">
        <v>1066</v>
      </c>
      <c r="D73" s="62" t="s">
        <v>1067</v>
      </c>
      <c r="E73" s="65" t="s">
        <v>1003</v>
      </c>
      <c r="F73" s="65" t="s">
        <v>1068</v>
      </c>
      <c r="G73" s="62" t="s">
        <v>78</v>
      </c>
      <c r="H73" s="62" t="s">
        <v>29</v>
      </c>
      <c r="I73" s="65" t="s">
        <v>30</v>
      </c>
      <c r="J73" s="62"/>
      <c r="K73" s="62" t="s">
        <v>31</v>
      </c>
      <c r="L73" s="62"/>
      <c r="M73" s="62"/>
      <c r="N73" s="65"/>
      <c r="O73" s="62"/>
      <c r="P73" s="66"/>
      <c r="Q73" s="66"/>
      <c r="R73" s="66"/>
      <c r="S73" s="66" t="s">
        <v>1069</v>
      </c>
      <c r="T73" s="62" t="s">
        <v>1070</v>
      </c>
      <c r="U73" s="68">
        <v>1725</v>
      </c>
      <c r="V73" s="68">
        <v>495</v>
      </c>
      <c r="W73" s="62" t="s">
        <v>1071</v>
      </c>
      <c r="X73" s="62">
        <v>1230</v>
      </c>
      <c r="Y73" s="62" t="s">
        <v>1029</v>
      </c>
      <c r="Z73" s="68">
        <f>5.38+1104.28+5.38+23.6</f>
        <v>1138.6400000000001</v>
      </c>
      <c r="AA73" s="68">
        <f t="shared" si="1"/>
        <v>586.3599999999999</v>
      </c>
      <c r="AC73" s="106">
        <f t="shared" si="2"/>
        <v>1</v>
      </c>
      <c r="AD73"/>
    </row>
    <row r="74" spans="1:30" x14ac:dyDescent="0.25">
      <c r="A74" s="62" t="s">
        <v>45</v>
      </c>
      <c r="B74" s="63">
        <v>9230</v>
      </c>
      <c r="C74" s="62" t="s">
        <v>1072</v>
      </c>
      <c r="D74" s="62" t="s">
        <v>1073</v>
      </c>
      <c r="E74" s="64">
        <v>45078</v>
      </c>
      <c r="F74" s="65" t="s">
        <v>1074</v>
      </c>
      <c r="G74" s="62" t="s">
        <v>591</v>
      </c>
      <c r="H74" s="62" t="s">
        <v>29</v>
      </c>
      <c r="I74" s="65" t="s">
        <v>30</v>
      </c>
      <c r="J74" s="62"/>
      <c r="K74" s="62" t="s">
        <v>31</v>
      </c>
      <c r="L74" s="66"/>
      <c r="M74" s="66"/>
      <c r="N74" s="64"/>
      <c r="O74" s="62"/>
      <c r="P74" s="66"/>
      <c r="Q74" s="66"/>
      <c r="R74" s="66"/>
      <c r="S74" s="66" t="s">
        <v>1069</v>
      </c>
      <c r="T74" s="62" t="s">
        <v>1075</v>
      </c>
      <c r="U74" s="67">
        <v>2273</v>
      </c>
      <c r="V74" s="68">
        <v>1850</v>
      </c>
      <c r="W74" s="62" t="s">
        <v>1076</v>
      </c>
      <c r="X74" s="68">
        <v>423</v>
      </c>
      <c r="Y74" s="62" t="s">
        <v>1077</v>
      </c>
      <c r="Z74" s="68">
        <f>299.8+10.36+1143.53+5.18+22.43</f>
        <v>1481.3000000000002</v>
      </c>
      <c r="AA74" s="68">
        <f t="shared" si="1"/>
        <v>791.69999999999982</v>
      </c>
      <c r="AC74" s="106">
        <f t="shared" si="2"/>
        <v>1</v>
      </c>
      <c r="AD74"/>
    </row>
    <row r="75" spans="1:30" x14ac:dyDescent="0.25">
      <c r="A75" s="62" t="s">
        <v>45</v>
      </c>
      <c r="B75" s="63">
        <v>9245</v>
      </c>
      <c r="C75" s="62" t="s">
        <v>1078</v>
      </c>
      <c r="D75" s="62" t="s">
        <v>1079</v>
      </c>
      <c r="E75" s="65" t="s">
        <v>1027</v>
      </c>
      <c r="F75" s="65" t="s">
        <v>1080</v>
      </c>
      <c r="G75" s="62" t="s">
        <v>686</v>
      </c>
      <c r="H75" s="62" t="s">
        <v>29</v>
      </c>
      <c r="I75" s="65" t="s">
        <v>30</v>
      </c>
      <c r="J75" s="62"/>
      <c r="K75" s="62" t="s">
        <v>31</v>
      </c>
      <c r="L75" s="62"/>
      <c r="M75" s="62"/>
      <c r="N75" s="65"/>
      <c r="O75" s="62"/>
      <c r="P75" s="66"/>
      <c r="Q75" s="66"/>
      <c r="R75" s="66"/>
      <c r="S75" s="66" t="s">
        <v>1081</v>
      </c>
      <c r="T75" s="62" t="s">
        <v>1082</v>
      </c>
      <c r="U75" s="68">
        <f>1525+500</f>
        <v>2025</v>
      </c>
      <c r="V75" s="68">
        <v>887</v>
      </c>
      <c r="W75" s="62" t="s">
        <v>1083</v>
      </c>
      <c r="X75" s="62">
        <v>1075</v>
      </c>
      <c r="Y75" s="62" t="s">
        <v>1084</v>
      </c>
      <c r="Z75" s="68">
        <f>5.38+1027.3+23.6+311.8</f>
        <v>1368.08</v>
      </c>
      <c r="AA75" s="68">
        <f t="shared" si="1"/>
        <v>656.92000000000007</v>
      </c>
      <c r="AC75" s="106">
        <f t="shared" si="2"/>
        <v>1</v>
      </c>
      <c r="AD75"/>
    </row>
    <row r="76" spans="1:30" x14ac:dyDescent="0.25">
      <c r="A76" t="s">
        <v>96</v>
      </c>
      <c r="B76" s="41">
        <v>27</v>
      </c>
      <c r="C76" t="s">
        <v>1085</v>
      </c>
      <c r="D76" t="s">
        <v>1086</v>
      </c>
      <c r="E76" s="52">
        <v>45139</v>
      </c>
      <c r="F76" s="13" t="s">
        <v>1087</v>
      </c>
      <c r="G76" t="s">
        <v>92</v>
      </c>
      <c r="H76" t="s">
        <v>29</v>
      </c>
      <c r="I76" s="13" t="s">
        <v>34</v>
      </c>
      <c r="K76" t="s">
        <v>38</v>
      </c>
      <c r="S76" s="38" t="s">
        <v>1088</v>
      </c>
      <c r="T76" s="156" t="s">
        <v>1089</v>
      </c>
      <c r="U76" s="54">
        <v>3621</v>
      </c>
      <c r="V76" s="54">
        <v>721</v>
      </c>
      <c r="W76" t="s">
        <v>1090</v>
      </c>
      <c r="X76">
        <f>645+1700</f>
        <v>2345</v>
      </c>
      <c r="Y76" t="s">
        <v>1081</v>
      </c>
      <c r="Z76" s="54">
        <f>5.38+1540.5+94+461.1+23.6</f>
        <v>2124.58</v>
      </c>
      <c r="AA76" s="68">
        <f t="shared" si="1"/>
        <v>1496.42</v>
      </c>
      <c r="AC76" s="106">
        <v>1</v>
      </c>
      <c r="AD76"/>
    </row>
    <row r="77" spans="1:30" x14ac:dyDescent="0.25">
      <c r="A77" s="62" t="s">
        <v>96</v>
      </c>
      <c r="B77" s="117">
        <v>21</v>
      </c>
      <c r="C77" s="62" t="s">
        <v>1091</v>
      </c>
      <c r="D77" s="62" t="s">
        <v>1092</v>
      </c>
      <c r="E77" s="64">
        <v>45097</v>
      </c>
      <c r="F77" s="65" t="s">
        <v>1093</v>
      </c>
      <c r="G77" s="62" t="s">
        <v>198</v>
      </c>
      <c r="H77" s="62" t="s">
        <v>40</v>
      </c>
      <c r="I77" s="65" t="s">
        <v>30</v>
      </c>
      <c r="J77" s="62"/>
      <c r="K77" s="62" t="s">
        <v>31</v>
      </c>
      <c r="L77" s="66"/>
      <c r="M77" s="66"/>
      <c r="N77" s="64"/>
      <c r="O77" s="62"/>
      <c r="P77" s="66"/>
      <c r="Q77" s="66"/>
      <c r="R77" s="66"/>
      <c r="S77" s="66" t="s">
        <v>1088</v>
      </c>
      <c r="T77" s="62" t="s">
        <v>1094</v>
      </c>
      <c r="U77" s="67">
        <v>1950</v>
      </c>
      <c r="V77" s="68">
        <v>660</v>
      </c>
      <c r="W77" s="69" t="s">
        <v>1095</v>
      </c>
      <c r="X77" s="68">
        <f>944+1290+1760</f>
        <v>3994</v>
      </c>
      <c r="Y77" s="62" t="s">
        <v>1016</v>
      </c>
      <c r="Z77" s="68">
        <f>22.43+726+1111.26+351.72</f>
        <v>2211.41</v>
      </c>
      <c r="AA77" s="68">
        <f>V77+X77-Z77</f>
        <v>2442.59</v>
      </c>
      <c r="AC77" s="106">
        <v>1</v>
      </c>
      <c r="AD77"/>
    </row>
    <row r="78" spans="1:30" x14ac:dyDescent="0.25">
      <c r="A78" t="s">
        <v>45</v>
      </c>
      <c r="B78" s="41">
        <v>9261</v>
      </c>
      <c r="C78" t="s">
        <v>1096</v>
      </c>
      <c r="D78" t="s">
        <v>1097</v>
      </c>
      <c r="E78" s="13" t="s">
        <v>1037</v>
      </c>
      <c r="F78" s="13" t="s">
        <v>1098</v>
      </c>
      <c r="G78" t="s">
        <v>1099</v>
      </c>
      <c r="H78" t="s">
        <v>37</v>
      </c>
      <c r="I78" s="13" t="s">
        <v>30</v>
      </c>
      <c r="K78" t="s">
        <v>31</v>
      </c>
      <c r="S78" s="38" t="s">
        <v>1100</v>
      </c>
      <c r="T78" s="62" t="s">
        <v>980</v>
      </c>
      <c r="U78" s="54">
        <v>1650</v>
      </c>
      <c r="V78" s="54">
        <v>450</v>
      </c>
      <c r="W78" t="s">
        <v>1101</v>
      </c>
      <c r="X78">
        <v>1200</v>
      </c>
      <c r="Y78" t="s">
        <v>1102</v>
      </c>
      <c r="Z78" s="54">
        <f>1045.89+28.98</f>
        <v>1074.8700000000001</v>
      </c>
      <c r="AA78" s="68">
        <f>U78-Z78</f>
        <v>575.12999999999988</v>
      </c>
      <c r="AC78" s="106">
        <v>1</v>
      </c>
      <c r="AD78"/>
    </row>
    <row r="79" spans="1:30" x14ac:dyDescent="0.25">
      <c r="A79" t="s">
        <v>45</v>
      </c>
      <c r="B79" s="41">
        <v>9262</v>
      </c>
      <c r="C79" t="s">
        <v>1103</v>
      </c>
      <c r="D79" t="s">
        <v>760</v>
      </c>
      <c r="E79" s="13" t="s">
        <v>1104</v>
      </c>
      <c r="F79" s="13" t="s">
        <v>1105</v>
      </c>
      <c r="G79" t="s">
        <v>72</v>
      </c>
      <c r="H79" t="s">
        <v>37</v>
      </c>
      <c r="I79" s="13" t="s">
        <v>30</v>
      </c>
      <c r="K79" t="s">
        <v>31</v>
      </c>
      <c r="S79" s="38" t="s">
        <v>1106</v>
      </c>
      <c r="T79" s="62" t="s">
        <v>980</v>
      </c>
      <c r="U79" s="54">
        <v>1650</v>
      </c>
      <c r="V79" s="54">
        <v>1650</v>
      </c>
      <c r="W79" t="s">
        <v>1107</v>
      </c>
      <c r="Z79" s="54">
        <f>1045.02+23.6</f>
        <v>1068.6199999999999</v>
      </c>
      <c r="AA79" s="68">
        <f>U79-Z79</f>
        <v>581.38000000000011</v>
      </c>
      <c r="AC79" s="106">
        <v>1</v>
      </c>
      <c r="AD79"/>
    </row>
    <row r="80" spans="1:30" x14ac:dyDescent="0.25">
      <c r="A80" s="62" t="s">
        <v>45</v>
      </c>
      <c r="B80" s="63">
        <v>9247</v>
      </c>
      <c r="C80" s="62" t="s">
        <v>1108</v>
      </c>
      <c r="D80" s="62" t="s">
        <v>1109</v>
      </c>
      <c r="E80" s="64">
        <v>44934</v>
      </c>
      <c r="F80" s="65" t="s">
        <v>1110</v>
      </c>
      <c r="G80" s="62" t="s">
        <v>518</v>
      </c>
      <c r="H80" s="62" t="s">
        <v>29</v>
      </c>
      <c r="I80" s="65" t="s">
        <v>34</v>
      </c>
      <c r="J80" s="62"/>
      <c r="K80" s="62" t="s">
        <v>31</v>
      </c>
      <c r="L80" s="62"/>
      <c r="M80" s="62"/>
      <c r="N80" s="65"/>
      <c r="O80" s="62"/>
      <c r="P80" s="66"/>
      <c r="Q80" s="66"/>
      <c r="R80" s="66"/>
      <c r="S80" s="66" t="s">
        <v>1111</v>
      </c>
      <c r="T80" s="62" t="s">
        <v>980</v>
      </c>
      <c r="U80" s="66"/>
      <c r="V80" s="68">
        <v>1435</v>
      </c>
      <c r="W80" s="62" t="s">
        <v>1112</v>
      </c>
      <c r="X80" s="62">
        <v>686</v>
      </c>
      <c r="Y80" s="62" t="s">
        <v>1113</v>
      </c>
      <c r="Z80" s="68">
        <f>1248.72+23.6</f>
        <v>1272.32</v>
      </c>
      <c r="AA80" s="68">
        <f>V80+X80-Z80</f>
        <v>848.68000000000006</v>
      </c>
      <c r="AD80"/>
    </row>
    <row r="81" spans="1:34" x14ac:dyDescent="0.25">
      <c r="A81" t="s">
        <v>45</v>
      </c>
      <c r="B81" s="41">
        <v>9235</v>
      </c>
      <c r="C81" t="s">
        <v>1114</v>
      </c>
      <c r="D81" t="s">
        <v>1115</v>
      </c>
      <c r="E81" s="13" t="s">
        <v>1116</v>
      </c>
      <c r="F81" s="13" t="s">
        <v>1117</v>
      </c>
      <c r="G81" t="s">
        <v>840</v>
      </c>
      <c r="H81" t="s">
        <v>40</v>
      </c>
      <c r="I81" s="13" t="s">
        <v>30</v>
      </c>
      <c r="K81" t="s">
        <v>31</v>
      </c>
      <c r="S81" s="38" t="s">
        <v>1118</v>
      </c>
      <c r="T81" s="62" t="s">
        <v>1119</v>
      </c>
      <c r="U81" s="54">
        <v>3360</v>
      </c>
      <c r="V81" s="54">
        <v>1650</v>
      </c>
      <c r="W81" t="s">
        <v>1120</v>
      </c>
      <c r="Z81" s="54">
        <f>27.61+1106.34</f>
        <v>1133.9499999999998</v>
      </c>
      <c r="AA81" s="68">
        <f t="shared" ref="AA81:AA88" si="3">U81-Z81</f>
        <v>2226.0500000000002</v>
      </c>
      <c r="AC81" s="106">
        <f>IF(J81="YES",0,1)</f>
        <v>1</v>
      </c>
      <c r="AD81"/>
    </row>
    <row r="82" spans="1:34" x14ac:dyDescent="0.25">
      <c r="A82" t="s">
        <v>45</v>
      </c>
      <c r="B82" s="41">
        <v>9259</v>
      </c>
      <c r="C82" t="s">
        <v>1121</v>
      </c>
      <c r="D82" t="s">
        <v>1122</v>
      </c>
      <c r="E82" s="52">
        <v>45086</v>
      </c>
      <c r="F82" s="13" t="s">
        <v>1123</v>
      </c>
      <c r="G82" t="s">
        <v>1124</v>
      </c>
      <c r="H82" t="s">
        <v>1125</v>
      </c>
      <c r="I82" s="13" t="s">
        <v>30</v>
      </c>
      <c r="K82" t="s">
        <v>38</v>
      </c>
      <c r="S82" s="38" t="s">
        <v>1118</v>
      </c>
      <c r="T82" s="62" t="s">
        <v>1119</v>
      </c>
      <c r="U82" s="54">
        <v>2764</v>
      </c>
      <c r="V82" s="54">
        <f>2764-864</f>
        <v>1900</v>
      </c>
      <c r="W82" t="s">
        <v>1055</v>
      </c>
      <c r="Z82" s="54">
        <f>23.6+1182.89</f>
        <v>1206.49</v>
      </c>
      <c r="AA82" s="68">
        <f t="shared" si="3"/>
        <v>1557.51</v>
      </c>
      <c r="AC82" s="106">
        <f>IF(J82="YES",0,1)</f>
        <v>1</v>
      </c>
      <c r="AD82"/>
    </row>
    <row r="83" spans="1:34" x14ac:dyDescent="0.25">
      <c r="A83" t="s">
        <v>45</v>
      </c>
      <c r="B83" s="41">
        <v>9263</v>
      </c>
      <c r="C83" t="s">
        <v>1126</v>
      </c>
      <c r="D83" t="s">
        <v>1127</v>
      </c>
      <c r="E83" s="13" t="s">
        <v>1128</v>
      </c>
      <c r="F83" s="13" t="s">
        <v>1129</v>
      </c>
      <c r="G83" t="s">
        <v>50</v>
      </c>
      <c r="H83" t="s">
        <v>29</v>
      </c>
      <c r="I83" s="13" t="s">
        <v>30</v>
      </c>
      <c r="K83" t="s">
        <v>31</v>
      </c>
      <c r="S83" s="38" t="s">
        <v>1130</v>
      </c>
      <c r="T83" s="62" t="s">
        <v>1131</v>
      </c>
      <c r="U83" s="54">
        <v>1800</v>
      </c>
      <c r="V83" s="54">
        <v>450</v>
      </c>
      <c r="W83" t="s">
        <v>1107</v>
      </c>
      <c r="X83">
        <v>1350</v>
      </c>
      <c r="Y83" t="s">
        <v>1034</v>
      </c>
      <c r="Z83" s="54">
        <f>23.6+1110.41</f>
        <v>1134.01</v>
      </c>
      <c r="AA83" s="68">
        <f t="shared" si="3"/>
        <v>665.99</v>
      </c>
      <c r="AC83" s="106">
        <f>IF(J83="YES",0,1)</f>
        <v>1</v>
      </c>
      <c r="AD83"/>
    </row>
    <row r="84" spans="1:34" x14ac:dyDescent="0.25">
      <c r="A84" s="72" t="s">
        <v>45</v>
      </c>
      <c r="B84" s="73">
        <v>9218</v>
      </c>
      <c r="C84" s="72" t="s">
        <v>1132</v>
      </c>
      <c r="D84" s="72" t="s">
        <v>1133</v>
      </c>
      <c r="E84" s="74">
        <v>45019</v>
      </c>
      <c r="F84" s="73" t="s">
        <v>1134</v>
      </c>
      <c r="G84" s="72" t="s">
        <v>78</v>
      </c>
      <c r="H84" s="72" t="s">
        <v>1135</v>
      </c>
      <c r="I84" s="75" t="s">
        <v>34</v>
      </c>
      <c r="J84" s="72"/>
      <c r="K84" s="72" t="s">
        <v>31</v>
      </c>
      <c r="L84" s="76"/>
      <c r="M84" s="76"/>
      <c r="N84" s="74"/>
      <c r="O84" s="72"/>
      <c r="P84" s="76"/>
      <c r="Q84" s="76"/>
      <c r="R84" s="76"/>
      <c r="S84" s="76" t="s">
        <v>1130</v>
      </c>
      <c r="T84" s="72" t="s">
        <v>1136</v>
      </c>
      <c r="U84" s="80">
        <v>2835</v>
      </c>
      <c r="V84" s="81">
        <v>1640</v>
      </c>
      <c r="W84" s="82" t="s">
        <v>1137</v>
      </c>
      <c r="X84" s="81">
        <v>1850</v>
      </c>
      <c r="Y84" s="72" t="s">
        <v>1138</v>
      </c>
      <c r="Z84" s="81">
        <f>1185+1148.45+22.43</f>
        <v>2355.8799999999997</v>
      </c>
      <c r="AA84" s="68">
        <f t="shared" si="3"/>
        <v>479.12000000000035</v>
      </c>
      <c r="AC84" s="106">
        <f>IF(J84="YES",0,1)</f>
        <v>1</v>
      </c>
      <c r="AD84"/>
    </row>
    <row r="85" spans="1:34" x14ac:dyDescent="0.25">
      <c r="A85" t="s">
        <v>96</v>
      </c>
      <c r="B85" s="41">
        <v>33</v>
      </c>
      <c r="C85" t="s">
        <v>1139</v>
      </c>
      <c r="D85" t="s">
        <v>1140</v>
      </c>
      <c r="E85" s="13" t="s">
        <v>1012</v>
      </c>
      <c r="F85" s="13" t="s">
        <v>1141</v>
      </c>
      <c r="G85" t="s">
        <v>1142</v>
      </c>
      <c r="H85" t="s">
        <v>29</v>
      </c>
      <c r="I85" s="13" t="s">
        <v>30</v>
      </c>
      <c r="K85" t="s">
        <v>38</v>
      </c>
      <c r="S85" s="38" t="s">
        <v>1143</v>
      </c>
      <c r="T85" t="s">
        <v>1144</v>
      </c>
      <c r="U85" s="54">
        <v>1950</v>
      </c>
      <c r="V85" s="54">
        <v>1950</v>
      </c>
      <c r="W85" t="s">
        <v>1016</v>
      </c>
      <c r="X85">
        <v>949</v>
      </c>
      <c r="Y85" t="s">
        <v>1145</v>
      </c>
      <c r="Z85" s="54">
        <f>10.76+2230.58+23.6</f>
        <v>2264.94</v>
      </c>
      <c r="AA85" s="68">
        <f t="shared" si="3"/>
        <v>-314.94000000000005</v>
      </c>
      <c r="AD85"/>
    </row>
    <row r="86" spans="1:34" x14ac:dyDescent="0.25">
      <c r="A86" s="62" t="s">
        <v>45</v>
      </c>
      <c r="B86" s="63">
        <v>9272</v>
      </c>
      <c r="C86" s="62" t="s">
        <v>1146</v>
      </c>
      <c r="D86" s="62"/>
      <c r="E86" s="65"/>
      <c r="F86" s="65" t="s">
        <v>1147</v>
      </c>
      <c r="G86" s="62" t="s">
        <v>1148</v>
      </c>
      <c r="H86" s="62" t="s">
        <v>37</v>
      </c>
      <c r="I86" s="65" t="s">
        <v>30</v>
      </c>
      <c r="J86" s="62"/>
      <c r="K86" s="62" t="s">
        <v>31</v>
      </c>
      <c r="L86" s="62"/>
      <c r="M86" s="62"/>
      <c r="N86" s="65"/>
      <c r="O86" s="62"/>
      <c r="P86" s="66"/>
      <c r="Q86" s="66"/>
      <c r="R86" s="66"/>
      <c r="S86" s="66" t="s">
        <v>116</v>
      </c>
      <c r="T86" s="62"/>
      <c r="U86" s="68">
        <v>1650</v>
      </c>
      <c r="V86" s="68">
        <v>1650</v>
      </c>
      <c r="W86" s="62" t="s">
        <v>1149</v>
      </c>
      <c r="X86" s="62"/>
      <c r="Y86" s="62"/>
      <c r="Z86" s="68">
        <f>1027.4+23.6</f>
        <v>1051</v>
      </c>
      <c r="AA86" s="68">
        <f t="shared" si="3"/>
        <v>599</v>
      </c>
      <c r="AD86"/>
    </row>
    <row r="87" spans="1:34" x14ac:dyDescent="0.25">
      <c r="A87" s="62" t="s">
        <v>45</v>
      </c>
      <c r="B87" s="63">
        <v>9254</v>
      </c>
      <c r="C87" s="62" t="s">
        <v>1150</v>
      </c>
      <c r="D87" s="62" t="s">
        <v>1151</v>
      </c>
      <c r="E87" s="65" t="s">
        <v>1152</v>
      </c>
      <c r="F87" s="65" t="s">
        <v>1153</v>
      </c>
      <c r="G87" s="62" t="s">
        <v>254</v>
      </c>
      <c r="H87" s="62" t="s">
        <v>29</v>
      </c>
      <c r="I87" s="65" t="s">
        <v>30</v>
      </c>
      <c r="J87" s="62"/>
      <c r="K87" s="62" t="s">
        <v>31</v>
      </c>
      <c r="L87" s="62"/>
      <c r="M87" s="62"/>
      <c r="N87" s="65"/>
      <c r="O87" s="62"/>
      <c r="P87" s="66"/>
      <c r="Q87" s="66"/>
      <c r="R87" s="66"/>
      <c r="S87" s="66" t="s">
        <v>1154</v>
      </c>
      <c r="T87" s="62" t="s">
        <v>1155</v>
      </c>
      <c r="U87" s="68">
        <v>2380</v>
      </c>
      <c r="V87" s="68"/>
      <c r="W87" s="62"/>
      <c r="X87" s="62">
        <v>1725</v>
      </c>
      <c r="Y87" s="62" t="s">
        <v>985</v>
      </c>
      <c r="Z87" s="68">
        <f>1069.23+23.6</f>
        <v>1092.83</v>
      </c>
      <c r="AA87" s="68">
        <f t="shared" si="3"/>
        <v>1287.17</v>
      </c>
      <c r="AD87"/>
    </row>
    <row r="88" spans="1:34" x14ac:dyDescent="0.25">
      <c r="A88" t="s">
        <v>96</v>
      </c>
      <c r="B88" s="41">
        <v>55</v>
      </c>
      <c r="C88" t="s">
        <v>1156</v>
      </c>
      <c r="D88" t="s">
        <v>1157</v>
      </c>
      <c r="E88" s="13" t="s">
        <v>1102</v>
      </c>
      <c r="F88" s="13" t="s">
        <v>1158</v>
      </c>
      <c r="G88" t="s">
        <v>1159</v>
      </c>
      <c r="H88" t="s">
        <v>29</v>
      </c>
      <c r="I88" s="13" t="s">
        <v>30</v>
      </c>
      <c r="K88" t="s">
        <v>680</v>
      </c>
      <c r="S88" s="38" t="s">
        <v>1160</v>
      </c>
      <c r="T88" t="s">
        <v>1161</v>
      </c>
      <c r="U88" s="54">
        <v>2050</v>
      </c>
      <c r="V88" s="54">
        <v>2050</v>
      </c>
      <c r="W88" t="s">
        <v>1102</v>
      </c>
      <c r="X88">
        <v>91</v>
      </c>
      <c r="Y88" t="s">
        <v>1162</v>
      </c>
      <c r="Z88" s="54">
        <f>23.6+1497.89</f>
        <v>1521.49</v>
      </c>
      <c r="AA88" s="68">
        <f t="shared" si="3"/>
        <v>528.51</v>
      </c>
      <c r="AC88" s="106">
        <f>IF(J88="YES",0,1)</f>
        <v>1</v>
      </c>
      <c r="AD88"/>
    </row>
    <row r="89" spans="1:34" x14ac:dyDescent="0.25">
      <c r="A89" t="s">
        <v>1163</v>
      </c>
      <c r="B89" s="41">
        <v>57</v>
      </c>
      <c r="C89" t="s">
        <v>1164</v>
      </c>
      <c r="D89" t="s">
        <v>1165</v>
      </c>
      <c r="E89" s="13" t="s">
        <v>1102</v>
      </c>
      <c r="F89" s="13" t="s">
        <v>1166</v>
      </c>
      <c r="G89" t="s">
        <v>945</v>
      </c>
      <c r="H89" t="s">
        <v>29</v>
      </c>
      <c r="I89" s="13" t="s">
        <v>30</v>
      </c>
      <c r="K89" t="s">
        <v>31</v>
      </c>
      <c r="S89" s="38" t="s">
        <v>1167</v>
      </c>
      <c r="T89" t="s">
        <v>1168</v>
      </c>
      <c r="U89" s="54">
        <v>2050</v>
      </c>
      <c r="V89" s="54">
        <v>2050</v>
      </c>
      <c r="W89" t="s">
        <v>1169</v>
      </c>
      <c r="Z89" s="54">
        <f>23.6+1113.38</f>
        <v>1136.98</v>
      </c>
      <c r="AA89" s="81">
        <f>V89+X89-Z89</f>
        <v>913.02</v>
      </c>
      <c r="AC89" s="106">
        <f>IF(J89="YES",0,1)</f>
        <v>1</v>
      </c>
      <c r="AD89"/>
    </row>
    <row r="90" spans="1:34" x14ac:dyDescent="0.25">
      <c r="A90" t="s">
        <v>96</v>
      </c>
      <c r="B90" s="41">
        <v>63</v>
      </c>
      <c r="C90" t="s">
        <v>1170</v>
      </c>
      <c r="D90" t="s">
        <v>1171</v>
      </c>
      <c r="E90" s="13" t="s">
        <v>1172</v>
      </c>
      <c r="F90" s="13" t="s">
        <v>1173</v>
      </c>
      <c r="G90" t="s">
        <v>1174</v>
      </c>
      <c r="H90" t="s">
        <v>29</v>
      </c>
      <c r="I90" s="13" t="s">
        <v>30</v>
      </c>
      <c r="K90" t="s">
        <v>31</v>
      </c>
      <c r="S90" s="38" t="s">
        <v>1167</v>
      </c>
      <c r="T90" t="s">
        <v>1175</v>
      </c>
      <c r="U90" s="54">
        <v>1800</v>
      </c>
      <c r="V90" s="54">
        <v>450</v>
      </c>
      <c r="W90" t="s">
        <v>1176</v>
      </c>
      <c r="X90">
        <v>1350</v>
      </c>
      <c r="Y90" t="s">
        <v>1143</v>
      </c>
      <c r="Z90" s="54">
        <f>23.6+5.38+1042.08</f>
        <v>1071.06</v>
      </c>
      <c r="AA90" s="81">
        <f>V90+X90-Z90</f>
        <v>728.94</v>
      </c>
      <c r="AC90" s="106">
        <f>IF(J90="YES",0,1)</f>
        <v>1</v>
      </c>
      <c r="AD90"/>
    </row>
    <row r="91" spans="1:34" x14ac:dyDescent="0.25">
      <c r="A91" t="s">
        <v>96</v>
      </c>
      <c r="B91" s="41">
        <v>29</v>
      </c>
      <c r="C91" t="s">
        <v>1177</v>
      </c>
      <c r="D91" t="s">
        <v>1178</v>
      </c>
      <c r="E91" s="52">
        <v>45141</v>
      </c>
      <c r="F91" s="13" t="s">
        <v>1179</v>
      </c>
      <c r="G91" t="s">
        <v>1180</v>
      </c>
      <c r="H91" t="s">
        <v>1181</v>
      </c>
      <c r="I91" s="13" t="s">
        <v>30</v>
      </c>
      <c r="K91" t="s">
        <v>38</v>
      </c>
      <c r="S91" s="38" t="s">
        <v>1182</v>
      </c>
      <c r="T91" t="s">
        <v>1183</v>
      </c>
      <c r="U91" s="54"/>
      <c r="V91" s="54">
        <v>2100</v>
      </c>
      <c r="W91" t="s">
        <v>1016</v>
      </c>
      <c r="X91">
        <f>186.4+67.26</f>
        <v>253.66000000000003</v>
      </c>
      <c r="Y91" t="s">
        <v>1184</v>
      </c>
      <c r="Z91" s="54">
        <f>155.3+1320.06+23.6</f>
        <v>1498.9599999999998</v>
      </c>
      <c r="AA91" s="81"/>
      <c r="AC91" s="106">
        <v>1</v>
      </c>
      <c r="AD91"/>
      <c r="AH91" s="154"/>
    </row>
    <row r="92" spans="1:34" x14ac:dyDescent="0.25">
      <c r="A92" s="62" t="s">
        <v>45</v>
      </c>
      <c r="B92" s="63">
        <v>9093</v>
      </c>
      <c r="C92" s="62" t="s">
        <v>1185</v>
      </c>
      <c r="D92" s="62" t="s">
        <v>1186</v>
      </c>
      <c r="E92" s="64">
        <v>44979</v>
      </c>
      <c r="F92" s="101" t="s">
        <v>1187</v>
      </c>
      <c r="G92" s="62" t="s">
        <v>1188</v>
      </c>
      <c r="H92" s="65" t="s">
        <v>782</v>
      </c>
      <c r="I92" s="64" t="s">
        <v>34</v>
      </c>
      <c r="K92" s="62" t="s">
        <v>429</v>
      </c>
      <c r="L92" s="66">
        <v>44985</v>
      </c>
      <c r="M92" s="66"/>
      <c r="N92" s="64"/>
      <c r="O92" s="62"/>
      <c r="P92" s="66"/>
      <c r="Q92" s="66"/>
      <c r="R92" s="66">
        <v>45050</v>
      </c>
      <c r="S92" s="66" t="s">
        <v>1182</v>
      </c>
      <c r="T92" s="67" t="s">
        <v>1189</v>
      </c>
      <c r="U92" s="121">
        <v>7236</v>
      </c>
      <c r="V92" s="68">
        <v>1521.63</v>
      </c>
      <c r="W92" s="69" t="s">
        <v>125</v>
      </c>
      <c r="X92" s="68">
        <v>1858.71</v>
      </c>
      <c r="Y92" s="69" t="s">
        <v>125</v>
      </c>
      <c r="Z92" s="68">
        <f>23.6+1383.3+1689.74</f>
        <v>3096.64</v>
      </c>
      <c r="AA92" s="68">
        <f>V92+X92-Z92</f>
        <v>283.70000000000027</v>
      </c>
      <c r="AC92" s="106">
        <v>1</v>
      </c>
      <c r="AD92"/>
    </row>
    <row r="93" spans="1:34" x14ac:dyDescent="0.25">
      <c r="A93" t="s">
        <v>45</v>
      </c>
      <c r="B93" s="41">
        <v>9260</v>
      </c>
      <c r="C93" t="s">
        <v>1190</v>
      </c>
      <c r="D93" t="s">
        <v>1191</v>
      </c>
      <c r="E93" s="52">
        <v>45148</v>
      </c>
      <c r="F93" s="13" t="s">
        <v>1192</v>
      </c>
      <c r="G93" t="s">
        <v>495</v>
      </c>
      <c r="H93" t="s">
        <v>531</v>
      </c>
      <c r="I93" s="13" t="s">
        <v>30</v>
      </c>
      <c r="K93" t="s">
        <v>31</v>
      </c>
      <c r="S93" s="38" t="s">
        <v>1182</v>
      </c>
      <c r="T93" t="s">
        <v>1136</v>
      </c>
      <c r="U93" s="54">
        <v>5485</v>
      </c>
      <c r="V93" s="54">
        <v>2135</v>
      </c>
      <c r="W93" t="s">
        <v>1193</v>
      </c>
      <c r="X93">
        <v>2150</v>
      </c>
      <c r="Y93" t="s">
        <v>1194</v>
      </c>
      <c r="Z93" s="54">
        <f>23.6+675.8+1253.13</f>
        <v>1952.5300000000002</v>
      </c>
      <c r="AA93" s="68">
        <f>V93+X93-Z93</f>
        <v>2332.4699999999998</v>
      </c>
      <c r="AC93" s="106">
        <v>1</v>
      </c>
      <c r="AD93"/>
    </row>
    <row r="94" spans="1:34" x14ac:dyDescent="0.25">
      <c r="A94" t="s">
        <v>1195</v>
      </c>
      <c r="B94" s="41">
        <v>58</v>
      </c>
      <c r="C94" t="s">
        <v>1196</v>
      </c>
      <c r="D94" t="s">
        <v>1197</v>
      </c>
      <c r="E94" s="13" t="s">
        <v>1169</v>
      </c>
      <c r="F94" s="13" t="s">
        <v>1198</v>
      </c>
      <c r="G94" t="s">
        <v>1199</v>
      </c>
      <c r="H94" t="s">
        <v>29</v>
      </c>
      <c r="I94" s="13" t="s">
        <v>34</v>
      </c>
      <c r="K94" t="s">
        <v>1200</v>
      </c>
      <c r="S94" s="38" t="s">
        <v>1201</v>
      </c>
      <c r="T94" t="s">
        <v>1202</v>
      </c>
      <c r="U94" s="54">
        <v>2814</v>
      </c>
      <c r="V94" s="54">
        <v>1314</v>
      </c>
      <c r="W94" t="s">
        <v>1081</v>
      </c>
      <c r="X94">
        <v>1500</v>
      </c>
      <c r="Y94" t="s">
        <v>1160</v>
      </c>
      <c r="Z94" s="54">
        <f>16.14+1046.7+100+28.98</f>
        <v>1191.8200000000002</v>
      </c>
      <c r="AA94" s="81">
        <f>V94+X94-Z94</f>
        <v>1622.1799999999998</v>
      </c>
      <c r="AD94"/>
    </row>
    <row r="95" spans="1:34" x14ac:dyDescent="0.25">
      <c r="A95" s="62" t="s">
        <v>96</v>
      </c>
      <c r="B95" s="63">
        <v>61</v>
      </c>
      <c r="C95" s="62" t="s">
        <v>1203</v>
      </c>
      <c r="D95" s="62" t="s">
        <v>1204</v>
      </c>
      <c r="E95" s="65" t="s">
        <v>1172</v>
      </c>
      <c r="F95" s="65" t="s">
        <v>1205</v>
      </c>
      <c r="G95" s="62" t="s">
        <v>840</v>
      </c>
      <c r="H95" s="62" t="s">
        <v>29</v>
      </c>
      <c r="I95" s="65" t="s">
        <v>30</v>
      </c>
      <c r="J95" s="62"/>
      <c r="K95" s="62" t="s">
        <v>31</v>
      </c>
      <c r="L95" s="62"/>
      <c r="M95" s="62"/>
      <c r="N95" s="65"/>
      <c r="O95" s="62"/>
      <c r="P95" s="66"/>
      <c r="Q95" s="66"/>
      <c r="R95" s="66"/>
      <c r="S95" s="66" t="s">
        <v>1206</v>
      </c>
      <c r="T95" s="62" t="s">
        <v>1207</v>
      </c>
      <c r="U95" s="68">
        <v>2387</v>
      </c>
      <c r="V95" s="68">
        <v>1037</v>
      </c>
      <c r="W95" s="62" t="s">
        <v>1176</v>
      </c>
      <c r="X95" s="62">
        <v>1350</v>
      </c>
      <c r="Y95" s="62" t="s">
        <v>1208</v>
      </c>
      <c r="Z95" s="68">
        <f>1044.42+23.6</f>
        <v>1068.02</v>
      </c>
      <c r="AA95" s="68">
        <f>U95-Z95</f>
        <v>1318.98</v>
      </c>
      <c r="AD95"/>
    </row>
    <row r="96" spans="1:34" x14ac:dyDescent="0.25">
      <c r="A96" t="s">
        <v>96</v>
      </c>
      <c r="B96" s="41">
        <v>223</v>
      </c>
      <c r="C96" t="s">
        <v>1209</v>
      </c>
      <c r="D96" t="s">
        <v>1210</v>
      </c>
      <c r="E96" s="13" t="s">
        <v>1211</v>
      </c>
      <c r="F96" s="13" t="s">
        <v>1212</v>
      </c>
      <c r="G96" t="s">
        <v>1213</v>
      </c>
      <c r="H96" t="s">
        <v>29</v>
      </c>
      <c r="I96" s="13" t="s">
        <v>34</v>
      </c>
      <c r="J96" s="13"/>
      <c r="K96" t="s">
        <v>1214</v>
      </c>
      <c r="L96" s="52" t="s">
        <v>53</v>
      </c>
      <c r="M96" s="13"/>
      <c r="S96" s="38" t="s">
        <v>1215</v>
      </c>
      <c r="U96" s="54">
        <v>2644</v>
      </c>
      <c r="V96" s="54">
        <f>440+714+1490</f>
        <v>2644</v>
      </c>
      <c r="W96" t="s">
        <v>1216</v>
      </c>
      <c r="Z96" s="54">
        <f>24.31+473.6+1160.29</f>
        <v>1658.2</v>
      </c>
      <c r="AA96" s="81">
        <f>V96+X96-Z96</f>
        <v>985.8</v>
      </c>
      <c r="AC96" s="106">
        <f>IF(J96="YES",0,1)</f>
        <v>1</v>
      </c>
      <c r="AD96"/>
    </row>
    <row r="97" spans="1:30" x14ac:dyDescent="0.25">
      <c r="A97" t="s">
        <v>96</v>
      </c>
      <c r="B97" s="41">
        <v>144</v>
      </c>
      <c r="C97" t="s">
        <v>1217</v>
      </c>
      <c r="D97" t="s">
        <v>1218</v>
      </c>
      <c r="E97" s="13" t="s">
        <v>1219</v>
      </c>
      <c r="F97" s="13" t="s">
        <v>1220</v>
      </c>
      <c r="G97" t="s">
        <v>1221</v>
      </c>
      <c r="H97" t="s">
        <v>531</v>
      </c>
      <c r="I97" s="13" t="s">
        <v>34</v>
      </c>
      <c r="J97" s="13"/>
      <c r="L97" s="52">
        <v>45467</v>
      </c>
      <c r="M97" s="13"/>
      <c r="S97" s="38" t="s">
        <v>1215</v>
      </c>
      <c r="T97" t="s">
        <v>1222</v>
      </c>
      <c r="U97" s="54">
        <v>3314</v>
      </c>
      <c r="V97" s="54">
        <f>450+1014</f>
        <v>1464</v>
      </c>
      <c r="W97" t="s">
        <v>1223</v>
      </c>
      <c r="X97">
        <f>1850+364.5</f>
        <v>2214.5</v>
      </c>
      <c r="Y97" t="s">
        <v>1224</v>
      </c>
      <c r="Z97" s="54">
        <f>270+675.8+23.6+1293.12</f>
        <v>2262.52</v>
      </c>
      <c r="AA97" s="81">
        <f>V97+X97-Z97</f>
        <v>1415.98</v>
      </c>
      <c r="AC97" s="106">
        <v>1</v>
      </c>
      <c r="AD97"/>
    </row>
    <row r="98" spans="1:30" x14ac:dyDescent="0.25">
      <c r="A98" t="s">
        <v>1225</v>
      </c>
      <c r="B98" s="41">
        <v>56</v>
      </c>
      <c r="C98" t="s">
        <v>1226</v>
      </c>
      <c r="D98" t="s">
        <v>1227</v>
      </c>
      <c r="E98" s="13" t="s">
        <v>1102</v>
      </c>
      <c r="F98" s="13" t="s">
        <v>1228</v>
      </c>
      <c r="G98" t="s">
        <v>1229</v>
      </c>
      <c r="H98" t="s">
        <v>29</v>
      </c>
      <c r="I98" s="13" t="s">
        <v>30</v>
      </c>
      <c r="J98" s="75" t="s">
        <v>103</v>
      </c>
      <c r="K98" t="s">
        <v>1230</v>
      </c>
      <c r="L98" s="161">
        <v>45294</v>
      </c>
      <c r="M98" s="13"/>
      <c r="S98" s="38" t="s">
        <v>1231</v>
      </c>
      <c r="T98" t="s">
        <v>1232</v>
      </c>
      <c r="U98" s="54">
        <v>2050</v>
      </c>
      <c r="V98" s="54">
        <v>2050</v>
      </c>
      <c r="W98" s="38">
        <v>45270</v>
      </c>
      <c r="Z98" s="54">
        <f>1113.58+23.6</f>
        <v>1137.1799999999998</v>
      </c>
      <c r="AA98" s="81">
        <f>V98+X98-Z98</f>
        <v>912.82000000000016</v>
      </c>
      <c r="AC98" s="106">
        <f>IF(J98="YES",0,1)</f>
        <v>0</v>
      </c>
      <c r="AD98"/>
    </row>
    <row r="99" spans="1:30" x14ac:dyDescent="0.25">
      <c r="A99" s="62" t="s">
        <v>96</v>
      </c>
      <c r="B99" s="63">
        <v>64</v>
      </c>
      <c r="C99" s="62" t="s">
        <v>1233</v>
      </c>
      <c r="D99" s="62" t="s">
        <v>1234</v>
      </c>
      <c r="E99" s="65" t="s">
        <v>1235</v>
      </c>
      <c r="F99" s="65" t="s">
        <v>1236</v>
      </c>
      <c r="G99" s="62" t="s">
        <v>1237</v>
      </c>
      <c r="H99" s="62" t="s">
        <v>29</v>
      </c>
      <c r="I99" s="65" t="s">
        <v>30</v>
      </c>
      <c r="J99" s="65"/>
      <c r="K99" s="62"/>
      <c r="L99" s="162">
        <v>45313</v>
      </c>
      <c r="M99" s="65"/>
      <c r="N99" s="65"/>
      <c r="O99" s="62"/>
      <c r="P99" s="66"/>
      <c r="Q99" s="66"/>
      <c r="R99" s="66"/>
      <c r="S99" s="66" t="s">
        <v>1238</v>
      </c>
      <c r="T99" s="62" t="s">
        <v>1239</v>
      </c>
      <c r="U99" s="68">
        <v>2985</v>
      </c>
      <c r="V99" s="68">
        <v>671</v>
      </c>
      <c r="W99" s="62" t="s">
        <v>1235</v>
      </c>
      <c r="X99" s="62">
        <v>1450</v>
      </c>
      <c r="Y99" s="62" t="s">
        <v>1240</v>
      </c>
      <c r="Z99" s="68">
        <f>1046.97+108.2+23.6</f>
        <v>1178.77</v>
      </c>
      <c r="AA99" s="68">
        <f>V99+X99-Z99</f>
        <v>942.23</v>
      </c>
      <c r="AD99"/>
    </row>
    <row r="100" spans="1:30" x14ac:dyDescent="0.25">
      <c r="A100" t="s">
        <v>1241</v>
      </c>
      <c r="B100" s="41">
        <v>48</v>
      </c>
      <c r="C100" t="s">
        <v>1242</v>
      </c>
      <c r="D100" t="s">
        <v>1243</v>
      </c>
      <c r="E100" s="13" t="s">
        <v>1244</v>
      </c>
      <c r="F100" s="13" t="s">
        <v>1245</v>
      </c>
      <c r="G100" t="s">
        <v>939</v>
      </c>
      <c r="H100" t="s">
        <v>40</v>
      </c>
      <c r="I100" s="13" t="s">
        <v>30</v>
      </c>
      <c r="J100" s="75"/>
      <c r="K100" t="s">
        <v>31</v>
      </c>
      <c r="L100" s="161">
        <v>45323</v>
      </c>
      <c r="M100" s="13"/>
      <c r="S100" s="38" t="s">
        <v>1246</v>
      </c>
      <c r="T100" t="s">
        <v>1247</v>
      </c>
      <c r="U100" s="54">
        <v>3943</v>
      </c>
      <c r="V100" s="54">
        <v>2172</v>
      </c>
      <c r="W100" t="s">
        <v>1248</v>
      </c>
      <c r="X100">
        <v>1500</v>
      </c>
      <c r="Y100" t="s">
        <v>1249</v>
      </c>
      <c r="Z100" s="54">
        <f>675.8+40+1267.37+23.6</f>
        <v>2006.7699999999998</v>
      </c>
      <c r="AA100" s="81">
        <f>V100+X100-Z100</f>
        <v>1665.2300000000002</v>
      </c>
      <c r="AC100" s="106">
        <f t="shared" ref="AC100:AC105" si="4">IF(J100="YES",0,1)</f>
        <v>1</v>
      </c>
      <c r="AD100"/>
    </row>
    <row r="101" spans="1:30" x14ac:dyDescent="0.25">
      <c r="A101" t="s">
        <v>96</v>
      </c>
      <c r="B101" s="41">
        <v>39</v>
      </c>
      <c r="C101" t="s">
        <v>1250</v>
      </c>
      <c r="D101" t="s">
        <v>1251</v>
      </c>
      <c r="E101" s="52">
        <v>44935</v>
      </c>
      <c r="F101" s="13" t="s">
        <v>1252</v>
      </c>
      <c r="G101" t="s">
        <v>610</v>
      </c>
      <c r="H101" t="s">
        <v>29</v>
      </c>
      <c r="I101" s="13" t="s">
        <v>30</v>
      </c>
      <c r="J101" s="75"/>
      <c r="K101" t="s">
        <v>38</v>
      </c>
      <c r="L101" s="161">
        <v>45300</v>
      </c>
      <c r="M101" s="13"/>
      <c r="S101" s="38" t="s">
        <v>1246</v>
      </c>
      <c r="T101" t="s">
        <v>1008</v>
      </c>
      <c r="U101" s="54">
        <v>2300</v>
      </c>
      <c r="V101" s="54">
        <v>1137</v>
      </c>
      <c r="W101" s="38">
        <v>45421</v>
      </c>
      <c r="X101">
        <f>2300</f>
        <v>2300</v>
      </c>
      <c r="Y101" t="s">
        <v>1253</v>
      </c>
      <c r="Z101" s="54">
        <f>311.8+1349.4+23.6</f>
        <v>1684.8</v>
      </c>
      <c r="AA101" s="68">
        <f>U101-Z101</f>
        <v>615.20000000000005</v>
      </c>
      <c r="AC101" s="106">
        <f t="shared" si="4"/>
        <v>1</v>
      </c>
      <c r="AD101"/>
    </row>
    <row r="102" spans="1:30" x14ac:dyDescent="0.25">
      <c r="A102" t="s">
        <v>96</v>
      </c>
      <c r="B102" s="41">
        <v>51</v>
      </c>
      <c r="C102" t="s">
        <v>1254</v>
      </c>
      <c r="D102" t="s">
        <v>1255</v>
      </c>
      <c r="E102" s="13" t="s">
        <v>1256</v>
      </c>
      <c r="F102" s="13" t="s">
        <v>1257</v>
      </c>
      <c r="G102" t="s">
        <v>1258</v>
      </c>
      <c r="H102" t="s">
        <v>1259</v>
      </c>
      <c r="I102" s="13" t="s">
        <v>30</v>
      </c>
      <c r="J102" s="75" t="s">
        <v>103</v>
      </c>
      <c r="K102" t="s">
        <v>671</v>
      </c>
      <c r="L102" s="161">
        <v>45322</v>
      </c>
      <c r="M102" s="13"/>
      <c r="S102" s="38" t="s">
        <v>1260</v>
      </c>
      <c r="T102" t="s">
        <v>1144</v>
      </c>
      <c r="U102" s="54">
        <v>1950</v>
      </c>
      <c r="V102" s="54">
        <v>1950</v>
      </c>
      <c r="W102" s="38">
        <v>45179</v>
      </c>
      <c r="Z102" s="54">
        <f>1136.4+23.6</f>
        <v>1160</v>
      </c>
      <c r="AA102" s="81">
        <f t="shared" ref="AA102:AA137" si="5">V102+X102-Z102</f>
        <v>790</v>
      </c>
      <c r="AC102" s="106">
        <f t="shared" si="4"/>
        <v>0</v>
      </c>
      <c r="AD102"/>
    </row>
    <row r="103" spans="1:30" x14ac:dyDescent="0.25">
      <c r="A103" t="s">
        <v>45</v>
      </c>
      <c r="B103" s="41">
        <v>9267</v>
      </c>
      <c r="C103" t="s">
        <v>1261</v>
      </c>
      <c r="D103" t="s">
        <v>1262</v>
      </c>
      <c r="E103" s="13" t="s">
        <v>1088</v>
      </c>
      <c r="F103" s="13" t="s">
        <v>1263</v>
      </c>
      <c r="G103" t="s">
        <v>78</v>
      </c>
      <c r="H103" t="s">
        <v>29</v>
      </c>
      <c r="I103" s="13" t="s">
        <v>30</v>
      </c>
      <c r="J103" s="75" t="s">
        <v>103</v>
      </c>
      <c r="K103" t="s">
        <v>31</v>
      </c>
      <c r="L103" s="161">
        <v>45328</v>
      </c>
      <c r="M103" s="13"/>
      <c r="S103" s="38" t="s">
        <v>1264</v>
      </c>
      <c r="T103" s="62" t="s">
        <v>1265</v>
      </c>
      <c r="U103" s="54">
        <v>1800</v>
      </c>
      <c r="V103" s="54">
        <v>1800</v>
      </c>
      <c r="W103" t="s">
        <v>1266</v>
      </c>
      <c r="Z103" s="54">
        <f>1334.62+23.6+5.38</f>
        <v>1363.6</v>
      </c>
      <c r="AA103" s="81">
        <f t="shared" si="5"/>
        <v>436.40000000000009</v>
      </c>
      <c r="AC103" s="106">
        <f t="shared" si="4"/>
        <v>0</v>
      </c>
      <c r="AD103"/>
    </row>
    <row r="104" spans="1:30" x14ac:dyDescent="0.25">
      <c r="A104" t="s">
        <v>45</v>
      </c>
      <c r="B104" s="41">
        <v>9275</v>
      </c>
      <c r="C104" t="s">
        <v>1267</v>
      </c>
      <c r="D104" t="s">
        <v>1268</v>
      </c>
      <c r="E104" s="13" t="s">
        <v>1206</v>
      </c>
      <c r="F104" s="13" t="s">
        <v>1269</v>
      </c>
      <c r="G104" t="s">
        <v>58</v>
      </c>
      <c r="H104" t="s">
        <v>37</v>
      </c>
      <c r="I104" s="13" t="s">
        <v>30</v>
      </c>
      <c r="J104" s="75"/>
      <c r="K104" t="s">
        <v>31</v>
      </c>
      <c r="L104" s="161">
        <v>45323</v>
      </c>
      <c r="M104" s="13"/>
      <c r="S104" s="38" t="s">
        <v>1264</v>
      </c>
      <c r="T104" s="62" t="s">
        <v>1265</v>
      </c>
      <c r="U104" s="54">
        <v>1650</v>
      </c>
      <c r="V104" s="54">
        <v>1650</v>
      </c>
      <c r="W104" t="s">
        <v>1253</v>
      </c>
      <c r="Z104" s="54">
        <f>23.6+1043.38</f>
        <v>1066.98</v>
      </c>
      <c r="AA104" s="81">
        <f t="shared" si="5"/>
        <v>583.02</v>
      </c>
      <c r="AC104" s="106">
        <f t="shared" si="4"/>
        <v>1</v>
      </c>
      <c r="AD104"/>
    </row>
    <row r="105" spans="1:30" x14ac:dyDescent="0.25">
      <c r="A105" t="s">
        <v>96</v>
      </c>
      <c r="B105" s="41">
        <v>67</v>
      </c>
      <c r="C105" t="s">
        <v>1270</v>
      </c>
      <c r="D105" t="s">
        <v>1271</v>
      </c>
      <c r="E105" s="13" t="s">
        <v>1272</v>
      </c>
      <c r="F105" s="13" t="s">
        <v>1273</v>
      </c>
      <c r="G105" t="s">
        <v>1274</v>
      </c>
      <c r="H105" t="s">
        <v>29</v>
      </c>
      <c r="I105" s="13" t="s">
        <v>30</v>
      </c>
      <c r="J105" s="75" t="s">
        <v>103</v>
      </c>
      <c r="K105" t="s">
        <v>222</v>
      </c>
      <c r="L105" s="161">
        <v>45323</v>
      </c>
      <c r="M105" s="13"/>
      <c r="S105" s="38" t="s">
        <v>1275</v>
      </c>
      <c r="T105" t="s">
        <v>1276</v>
      </c>
      <c r="U105" s="54">
        <v>3621</v>
      </c>
      <c r="V105" s="54">
        <v>721</v>
      </c>
      <c r="W105" s="38">
        <v>45180</v>
      </c>
      <c r="X105">
        <v>1700</v>
      </c>
      <c r="Y105" s="38">
        <v>45293</v>
      </c>
      <c r="Z105" s="54">
        <f>10.76+1482.13+5.38+23.6</f>
        <v>1521.8700000000001</v>
      </c>
      <c r="AA105" s="81">
        <f t="shared" si="5"/>
        <v>899.12999999999988</v>
      </c>
      <c r="AC105" s="106">
        <f t="shared" si="4"/>
        <v>0</v>
      </c>
      <c r="AD105"/>
    </row>
    <row r="106" spans="1:30" x14ac:dyDescent="0.25">
      <c r="A106" t="s">
        <v>96</v>
      </c>
      <c r="B106" s="41">
        <v>100</v>
      </c>
      <c r="C106" t="s">
        <v>1277</v>
      </c>
      <c r="D106" t="s">
        <v>1278</v>
      </c>
      <c r="E106" s="52">
        <v>45293</v>
      </c>
      <c r="F106" s="13" t="s">
        <v>1279</v>
      </c>
      <c r="G106" t="s">
        <v>1280</v>
      </c>
      <c r="H106" t="s">
        <v>1281</v>
      </c>
      <c r="I106" s="13" t="s">
        <v>30</v>
      </c>
      <c r="J106" s="13"/>
      <c r="K106" t="s">
        <v>1282</v>
      </c>
      <c r="L106" s="52">
        <v>45323</v>
      </c>
      <c r="M106" s="13"/>
      <c r="S106" s="38" t="s">
        <v>1283</v>
      </c>
      <c r="T106" t="s">
        <v>1284</v>
      </c>
      <c r="U106" s="54">
        <v>2265</v>
      </c>
      <c r="V106" s="54">
        <v>2265</v>
      </c>
      <c r="W106" s="38">
        <v>45293</v>
      </c>
      <c r="Z106" s="54">
        <f>1266.13+23.6</f>
        <v>1289.73</v>
      </c>
      <c r="AA106" s="81">
        <f t="shared" si="5"/>
        <v>975.27</v>
      </c>
      <c r="AC106" s="106">
        <v>1</v>
      </c>
      <c r="AD106"/>
    </row>
    <row r="107" spans="1:30" ht="15.75" customHeight="1" x14ac:dyDescent="0.25">
      <c r="A107" t="s">
        <v>96</v>
      </c>
      <c r="B107" s="41">
        <v>81</v>
      </c>
      <c r="C107" t="s">
        <v>1285</v>
      </c>
      <c r="D107" t="s">
        <v>1286</v>
      </c>
      <c r="E107" s="13" t="s">
        <v>1287</v>
      </c>
      <c r="F107" s="13" t="s">
        <v>1288</v>
      </c>
      <c r="G107" t="s">
        <v>236</v>
      </c>
      <c r="H107" t="s">
        <v>29</v>
      </c>
      <c r="I107" s="13" t="s">
        <v>30</v>
      </c>
      <c r="J107" s="75"/>
      <c r="K107" t="s">
        <v>236</v>
      </c>
      <c r="L107" s="161">
        <v>45344</v>
      </c>
      <c r="M107" s="13"/>
      <c r="S107" s="38" t="s">
        <v>1289</v>
      </c>
      <c r="T107" t="s">
        <v>1290</v>
      </c>
      <c r="U107" s="54">
        <v>1800</v>
      </c>
      <c r="V107" s="54">
        <v>1800</v>
      </c>
      <c r="W107" s="38">
        <v>45058</v>
      </c>
      <c r="Z107" s="54">
        <f>23.6+1043.72</f>
        <v>1067.32</v>
      </c>
      <c r="AA107" s="81">
        <f t="shared" si="5"/>
        <v>732.68000000000006</v>
      </c>
      <c r="AD107"/>
    </row>
    <row r="108" spans="1:30" x14ac:dyDescent="0.25">
      <c r="A108" t="s">
        <v>45</v>
      </c>
      <c r="B108" s="41">
        <v>9270</v>
      </c>
      <c r="C108" t="s">
        <v>1291</v>
      </c>
      <c r="D108" t="s">
        <v>1292</v>
      </c>
      <c r="E108" s="13" t="s">
        <v>99</v>
      </c>
      <c r="F108" s="13" t="s">
        <v>1293</v>
      </c>
      <c r="G108" t="s">
        <v>459</v>
      </c>
      <c r="H108" t="s">
        <v>40</v>
      </c>
      <c r="I108" s="13" t="s">
        <v>30</v>
      </c>
      <c r="J108" s="75" t="s">
        <v>103</v>
      </c>
      <c r="K108" t="s">
        <v>31</v>
      </c>
      <c r="L108" s="161">
        <v>45328</v>
      </c>
      <c r="M108" s="13"/>
      <c r="S108" s="38" t="s">
        <v>1289</v>
      </c>
      <c r="T108" s="62" t="s">
        <v>1294</v>
      </c>
      <c r="U108" s="54">
        <v>1800</v>
      </c>
      <c r="V108" s="54">
        <v>450</v>
      </c>
      <c r="W108" t="s">
        <v>1295</v>
      </c>
      <c r="X108">
        <v>1350</v>
      </c>
      <c r="Y108" t="s">
        <v>1296</v>
      </c>
      <c r="Z108" s="54">
        <f>28.98+1132.08</f>
        <v>1161.06</v>
      </c>
      <c r="AA108" s="81">
        <f t="shared" si="5"/>
        <v>638.94000000000005</v>
      </c>
      <c r="AD108"/>
    </row>
    <row r="109" spans="1:30" x14ac:dyDescent="0.25">
      <c r="A109" t="s">
        <v>45</v>
      </c>
      <c r="B109" s="41">
        <v>9269</v>
      </c>
      <c r="C109" t="s">
        <v>1297</v>
      </c>
      <c r="D109" t="s">
        <v>1298</v>
      </c>
      <c r="E109" s="13" t="s">
        <v>1106</v>
      </c>
      <c r="F109" s="13" t="s">
        <v>1299</v>
      </c>
      <c r="G109" t="s">
        <v>591</v>
      </c>
      <c r="H109" t="s">
        <v>29</v>
      </c>
      <c r="I109" s="13" t="s">
        <v>30</v>
      </c>
      <c r="J109" s="75" t="s">
        <v>103</v>
      </c>
      <c r="K109" t="s">
        <v>31</v>
      </c>
      <c r="L109" s="161">
        <v>45328</v>
      </c>
      <c r="M109" s="13"/>
      <c r="S109" s="38" t="s">
        <v>1289</v>
      </c>
      <c r="T109" s="62" t="s">
        <v>1294</v>
      </c>
      <c r="U109" s="54">
        <v>6122</v>
      </c>
      <c r="V109" s="54">
        <v>2014</v>
      </c>
      <c r="W109" t="s">
        <v>1300</v>
      </c>
      <c r="X109">
        <v>1650</v>
      </c>
      <c r="Y109" t="s">
        <v>1301</v>
      </c>
      <c r="Z109" s="54">
        <f>1383.3+298.02+1489.57+23.6</f>
        <v>3194.49</v>
      </c>
      <c r="AA109" s="81">
        <f t="shared" si="5"/>
        <v>469.51000000000022</v>
      </c>
      <c r="AD109"/>
    </row>
    <row r="110" spans="1:30" x14ac:dyDescent="0.25">
      <c r="A110" s="62" t="s">
        <v>96</v>
      </c>
      <c r="B110" s="63">
        <v>71</v>
      </c>
      <c r="C110" s="62" t="s">
        <v>1302</v>
      </c>
      <c r="D110" s="62" t="s">
        <v>1303</v>
      </c>
      <c r="E110" s="65" t="s">
        <v>1304</v>
      </c>
      <c r="F110" s="63" t="s">
        <v>1305</v>
      </c>
      <c r="G110" s="62" t="s">
        <v>1306</v>
      </c>
      <c r="H110" s="62" t="s">
        <v>29</v>
      </c>
      <c r="I110" s="65" t="s">
        <v>30</v>
      </c>
      <c r="J110" s="65" t="s">
        <v>103</v>
      </c>
      <c r="K110" s="62" t="s">
        <v>1307</v>
      </c>
      <c r="L110" s="162">
        <v>45345</v>
      </c>
      <c r="M110" s="65"/>
      <c r="N110" s="65"/>
      <c r="O110" s="62"/>
      <c r="P110" s="66"/>
      <c r="Q110" s="66"/>
      <c r="R110" s="66"/>
      <c r="S110" s="66" t="s">
        <v>1308</v>
      </c>
      <c r="T110" s="62" t="s">
        <v>1309</v>
      </c>
      <c r="U110" s="68">
        <v>1950</v>
      </c>
      <c r="V110" s="68">
        <v>450</v>
      </c>
      <c r="W110" s="62" t="s">
        <v>1304</v>
      </c>
      <c r="X110" s="62">
        <v>1500</v>
      </c>
      <c r="Y110" s="62" t="s">
        <v>1310</v>
      </c>
      <c r="Z110" s="68">
        <f>10.76+1550.65+41.77+23.6</f>
        <v>1626.78</v>
      </c>
      <c r="AA110" s="68">
        <f t="shared" si="5"/>
        <v>323.22000000000003</v>
      </c>
      <c r="AD110"/>
    </row>
    <row r="111" spans="1:30" x14ac:dyDescent="0.25">
      <c r="A111" s="62" t="s">
        <v>45</v>
      </c>
      <c r="B111" s="63">
        <v>9246</v>
      </c>
      <c r="C111" s="62" t="s">
        <v>1311</v>
      </c>
      <c r="D111" s="62" t="s">
        <v>1312</v>
      </c>
      <c r="E111" s="65" t="s">
        <v>1313</v>
      </c>
      <c r="F111" s="65" t="s">
        <v>1314</v>
      </c>
      <c r="G111" s="62" t="s">
        <v>506</v>
      </c>
      <c r="H111" s="62" t="s">
        <v>29</v>
      </c>
      <c r="I111" s="65" t="s">
        <v>30</v>
      </c>
      <c r="J111" s="65" t="s">
        <v>103</v>
      </c>
      <c r="K111" s="62" t="s">
        <v>31</v>
      </c>
      <c r="L111" s="162">
        <v>45344</v>
      </c>
      <c r="M111" s="65"/>
      <c r="N111" s="65"/>
      <c r="O111" s="62"/>
      <c r="P111" s="66"/>
      <c r="Q111" s="66"/>
      <c r="R111" s="66"/>
      <c r="S111" s="66" t="s">
        <v>1315</v>
      </c>
      <c r="T111" s="62" t="s">
        <v>1316</v>
      </c>
      <c r="U111" s="66">
        <v>4085</v>
      </c>
      <c r="V111" s="68">
        <v>1435</v>
      </c>
      <c r="W111" s="62" t="s">
        <v>1317</v>
      </c>
      <c r="X111" s="62">
        <v>1450</v>
      </c>
      <c r="Y111" s="62"/>
      <c r="Z111" s="68">
        <f>675.8+23.6+1244.83</f>
        <v>1944.23</v>
      </c>
      <c r="AA111" s="68">
        <f t="shared" si="5"/>
        <v>940.77</v>
      </c>
      <c r="AD111"/>
    </row>
    <row r="112" spans="1:30" x14ac:dyDescent="0.25">
      <c r="A112" s="62" t="s">
        <v>1318</v>
      </c>
      <c r="B112" s="63">
        <v>47</v>
      </c>
      <c r="C112" s="62" t="s">
        <v>1319</v>
      </c>
      <c r="D112" s="62" t="s">
        <v>1320</v>
      </c>
      <c r="E112" s="65" t="s">
        <v>1321</v>
      </c>
      <c r="F112" s="65" t="s">
        <v>1322</v>
      </c>
      <c r="G112" s="62" t="s">
        <v>591</v>
      </c>
      <c r="H112" s="62" t="s">
        <v>40</v>
      </c>
      <c r="I112" s="65" t="s">
        <v>30</v>
      </c>
      <c r="J112" s="65" t="s">
        <v>103</v>
      </c>
      <c r="K112" s="62" t="s">
        <v>31</v>
      </c>
      <c r="L112" s="162">
        <v>45342</v>
      </c>
      <c r="M112" s="65"/>
      <c r="N112" s="65"/>
      <c r="O112" s="62"/>
      <c r="P112" s="66"/>
      <c r="Q112" s="66"/>
      <c r="R112" s="66"/>
      <c r="S112" s="66" t="s">
        <v>1323</v>
      </c>
      <c r="T112" s="103" t="s">
        <v>1324</v>
      </c>
      <c r="U112" s="68">
        <v>2050</v>
      </c>
      <c r="V112" s="68">
        <v>2050</v>
      </c>
      <c r="W112" s="62" t="s">
        <v>1029</v>
      </c>
      <c r="X112" s="62"/>
      <c r="Y112" s="62"/>
      <c r="Z112" s="68">
        <f>5.38+23.6+1153.64</f>
        <v>1182.6200000000001</v>
      </c>
      <c r="AA112" s="68">
        <f t="shared" si="5"/>
        <v>867.37999999999988</v>
      </c>
      <c r="AD112"/>
    </row>
    <row r="113" spans="1:30" x14ac:dyDescent="0.25">
      <c r="A113" s="72" t="s">
        <v>45</v>
      </c>
      <c r="B113" s="73">
        <v>9271</v>
      </c>
      <c r="C113" s="72" t="s">
        <v>1325</v>
      </c>
      <c r="D113" s="72" t="s">
        <v>1326</v>
      </c>
      <c r="E113" s="75" t="s">
        <v>1327</v>
      </c>
      <c r="F113" s="75" t="s">
        <v>1328</v>
      </c>
      <c r="G113" s="72" t="s">
        <v>1329</v>
      </c>
      <c r="H113" s="72" t="s">
        <v>37</v>
      </c>
      <c r="I113" s="75" t="s">
        <v>34</v>
      </c>
      <c r="J113" s="75"/>
      <c r="K113" s="72" t="s">
        <v>1002</v>
      </c>
      <c r="L113" s="160">
        <v>45343</v>
      </c>
      <c r="M113" s="75"/>
      <c r="N113" s="75"/>
      <c r="O113" s="72"/>
      <c r="P113" s="76"/>
      <c r="Q113" s="76"/>
      <c r="R113" s="76"/>
      <c r="S113" s="76" t="s">
        <v>1323</v>
      </c>
      <c r="T113" s="72" t="s">
        <v>1330</v>
      </c>
      <c r="U113" s="81">
        <v>1771</v>
      </c>
      <c r="V113" s="81">
        <v>571</v>
      </c>
      <c r="W113" s="72" t="s">
        <v>1145</v>
      </c>
      <c r="X113" s="72">
        <v>1200</v>
      </c>
      <c r="Y113" s="72" t="s">
        <v>1331</v>
      </c>
      <c r="Z113" s="81">
        <f>1027.4+159+23.6</f>
        <v>1210</v>
      </c>
      <c r="AA113" s="81">
        <f t="shared" si="5"/>
        <v>561</v>
      </c>
      <c r="AD113"/>
    </row>
    <row r="114" spans="1:30" x14ac:dyDescent="0.25">
      <c r="A114" s="62" t="s">
        <v>96</v>
      </c>
      <c r="B114" s="63">
        <v>82</v>
      </c>
      <c r="C114" s="62" t="s">
        <v>1332</v>
      </c>
      <c r="D114" s="62" t="s">
        <v>1333</v>
      </c>
      <c r="E114" s="65" t="s">
        <v>1287</v>
      </c>
      <c r="F114" s="65" t="s">
        <v>1334</v>
      </c>
      <c r="G114" s="62" t="s">
        <v>72</v>
      </c>
      <c r="H114" s="62" t="s">
        <v>29</v>
      </c>
      <c r="I114" s="65" t="s">
        <v>30</v>
      </c>
      <c r="J114" s="65" t="s">
        <v>103</v>
      </c>
      <c r="K114" s="62" t="s">
        <v>31</v>
      </c>
      <c r="L114" s="162">
        <v>45345</v>
      </c>
      <c r="M114" s="65"/>
      <c r="N114" s="65"/>
      <c r="O114" s="62"/>
      <c r="P114" s="66"/>
      <c r="Q114" s="66"/>
      <c r="R114" s="66"/>
      <c r="S114" s="66" t="s">
        <v>1335</v>
      </c>
      <c r="T114" s="62" t="s">
        <v>1336</v>
      </c>
      <c r="U114" s="68">
        <v>1950</v>
      </c>
      <c r="V114" s="68">
        <v>1950</v>
      </c>
      <c r="W114" s="62" t="s">
        <v>1337</v>
      </c>
      <c r="X114" s="62"/>
      <c r="Y114" s="62"/>
      <c r="Z114" s="68">
        <f>23.6+5.38+5.38+1047.79</f>
        <v>1082.1499999999999</v>
      </c>
      <c r="AA114" s="68">
        <f t="shared" si="5"/>
        <v>867.85000000000014</v>
      </c>
      <c r="AD114"/>
    </row>
    <row r="115" spans="1:30" x14ac:dyDescent="0.25">
      <c r="A115" t="s">
        <v>96</v>
      </c>
      <c r="B115" s="41">
        <v>44</v>
      </c>
      <c r="C115" t="s">
        <v>1338</v>
      </c>
      <c r="D115" t="s">
        <v>1339</v>
      </c>
      <c r="E115" s="52">
        <v>45084</v>
      </c>
      <c r="F115" s="13" t="s">
        <v>1340</v>
      </c>
      <c r="G115" t="s">
        <v>1341</v>
      </c>
      <c r="H115" t="s">
        <v>29</v>
      </c>
      <c r="I115" s="13" t="s">
        <v>30</v>
      </c>
      <c r="J115" s="75" t="s">
        <v>103</v>
      </c>
      <c r="K115" t="s">
        <v>38</v>
      </c>
      <c r="L115" s="161">
        <v>45342</v>
      </c>
      <c r="M115" s="13"/>
      <c r="S115" s="38" t="s">
        <v>1342</v>
      </c>
      <c r="T115" t="s">
        <v>1343</v>
      </c>
      <c r="U115" s="54">
        <v>3435</v>
      </c>
      <c r="V115" s="54">
        <v>1935</v>
      </c>
      <c r="W115" s="38">
        <v>45147</v>
      </c>
      <c r="X115">
        <v>486</v>
      </c>
      <c r="Y115" s="38">
        <v>45445</v>
      </c>
      <c r="Z115" s="54">
        <f>10.76+964.39+5.38+23.6</f>
        <v>1004.13</v>
      </c>
      <c r="AA115" s="81">
        <f t="shared" si="5"/>
        <v>1416.87</v>
      </c>
      <c r="AC115" s="106">
        <v>1</v>
      </c>
      <c r="AD115"/>
    </row>
    <row r="116" spans="1:30" x14ac:dyDescent="0.25">
      <c r="A116" t="s">
        <v>1344</v>
      </c>
      <c r="B116" s="41">
        <v>69</v>
      </c>
      <c r="C116" t="s">
        <v>1345</v>
      </c>
      <c r="D116" t="s">
        <v>1346</v>
      </c>
      <c r="E116" s="13" t="s">
        <v>1208</v>
      </c>
      <c r="F116" s="13" t="s">
        <v>1347</v>
      </c>
      <c r="G116" t="s">
        <v>1174</v>
      </c>
      <c r="H116" t="s">
        <v>29</v>
      </c>
      <c r="I116" s="13" t="s">
        <v>30</v>
      </c>
      <c r="J116" s="75"/>
      <c r="K116" t="s">
        <v>31</v>
      </c>
      <c r="L116" s="161">
        <v>45348</v>
      </c>
      <c r="M116" s="13"/>
      <c r="S116" s="38" t="s">
        <v>1348</v>
      </c>
      <c r="T116" t="s">
        <v>1349</v>
      </c>
      <c r="U116" s="54">
        <v>2537</v>
      </c>
      <c r="V116" s="54">
        <v>1037</v>
      </c>
      <c r="W116" t="s">
        <v>1304</v>
      </c>
      <c r="X116">
        <v>1500</v>
      </c>
      <c r="Y116" t="s">
        <v>1350</v>
      </c>
      <c r="Z116" s="54">
        <f>10.76+1046.24+5.38+311.8+23.6</f>
        <v>1397.78</v>
      </c>
      <c r="AA116" s="81">
        <f t="shared" si="5"/>
        <v>1139.22</v>
      </c>
      <c r="AC116" s="106">
        <f>IF(J116="YES",0,1)</f>
        <v>1</v>
      </c>
      <c r="AD116"/>
    </row>
    <row r="117" spans="1:30" x14ac:dyDescent="0.25">
      <c r="A117" t="s">
        <v>96</v>
      </c>
      <c r="B117" s="41">
        <v>74</v>
      </c>
      <c r="C117" t="s">
        <v>1351</v>
      </c>
      <c r="D117" t="s">
        <v>1352</v>
      </c>
      <c r="E117" s="13" t="s">
        <v>1143</v>
      </c>
      <c r="F117" s="13" t="s">
        <v>1353</v>
      </c>
      <c r="G117" t="s">
        <v>78</v>
      </c>
      <c r="H117" t="s">
        <v>29</v>
      </c>
      <c r="I117" s="13" t="s">
        <v>30</v>
      </c>
      <c r="J117" s="75" t="s">
        <v>103</v>
      </c>
      <c r="K117" t="s">
        <v>31</v>
      </c>
      <c r="L117" s="161">
        <v>45345</v>
      </c>
      <c r="M117" s="13"/>
      <c r="S117" s="38" t="s">
        <v>1348</v>
      </c>
      <c r="T117" t="s">
        <v>1354</v>
      </c>
      <c r="U117" s="54">
        <v>2050</v>
      </c>
      <c r="V117" s="54">
        <v>2050</v>
      </c>
      <c r="W117" t="s">
        <v>1149</v>
      </c>
      <c r="Z117" s="54">
        <f>1146.44+23.6</f>
        <v>1170.04</v>
      </c>
      <c r="AA117" s="81">
        <f t="shared" si="5"/>
        <v>879.96</v>
      </c>
      <c r="AC117" s="106">
        <f>IF(J117="YES",0,1)</f>
        <v>0</v>
      </c>
      <c r="AD117"/>
    </row>
    <row r="118" spans="1:30" x14ac:dyDescent="0.25">
      <c r="A118" t="s">
        <v>96</v>
      </c>
      <c r="B118" s="41">
        <v>88</v>
      </c>
      <c r="C118" t="s">
        <v>1355</v>
      </c>
      <c r="D118" t="s">
        <v>1356</v>
      </c>
      <c r="E118" s="13" t="s">
        <v>1357</v>
      </c>
      <c r="F118" s="13" t="s">
        <v>1358</v>
      </c>
      <c r="G118" t="s">
        <v>366</v>
      </c>
      <c r="H118" t="s">
        <v>29</v>
      </c>
      <c r="I118" s="13" t="s">
        <v>30</v>
      </c>
      <c r="J118" s="75"/>
      <c r="K118" t="s">
        <v>111</v>
      </c>
      <c r="L118" s="161">
        <v>45344</v>
      </c>
      <c r="M118" s="13"/>
      <c r="S118" s="38" t="s">
        <v>1359</v>
      </c>
      <c r="T118" t="s">
        <v>1360</v>
      </c>
      <c r="U118" s="54">
        <v>2340</v>
      </c>
      <c r="V118" s="54">
        <v>450</v>
      </c>
      <c r="W118" t="s">
        <v>1361</v>
      </c>
      <c r="X118">
        <v>1890</v>
      </c>
      <c r="Y118" t="s">
        <v>1362</v>
      </c>
      <c r="Z118" s="54">
        <f>16.14+1046.64+23.6</f>
        <v>1086.3800000000001</v>
      </c>
      <c r="AA118" s="81">
        <f t="shared" si="5"/>
        <v>1253.6199999999999</v>
      </c>
      <c r="AC118" s="106">
        <v>1</v>
      </c>
      <c r="AD118"/>
    </row>
    <row r="119" spans="1:30" x14ac:dyDescent="0.25">
      <c r="A119" s="62" t="s">
        <v>45</v>
      </c>
      <c r="B119" s="63">
        <v>9203</v>
      </c>
      <c r="C119" s="62" t="s">
        <v>1363</v>
      </c>
      <c r="D119" s="62" t="s">
        <v>1364</v>
      </c>
      <c r="E119" s="64">
        <v>45002</v>
      </c>
      <c r="F119" s="101" t="s">
        <v>1365</v>
      </c>
      <c r="G119" s="62" t="s">
        <v>686</v>
      </c>
      <c r="H119" s="62" t="s">
        <v>29</v>
      </c>
      <c r="I119" s="75" t="s">
        <v>30</v>
      </c>
      <c r="J119" s="75"/>
      <c r="K119" s="62" t="s">
        <v>31</v>
      </c>
      <c r="L119" s="162">
        <v>45341</v>
      </c>
      <c r="M119" s="13"/>
      <c r="N119" s="64"/>
      <c r="O119" s="62"/>
      <c r="P119" s="66"/>
      <c r="Q119" s="66"/>
      <c r="R119" s="66"/>
      <c r="S119" s="66" t="s">
        <v>1366</v>
      </c>
      <c r="T119" s="62" t="s">
        <v>1354</v>
      </c>
      <c r="U119" s="67">
        <v>1650</v>
      </c>
      <c r="V119" s="68">
        <v>1650</v>
      </c>
      <c r="W119" s="69" t="s">
        <v>1367</v>
      </c>
      <c r="X119" s="68"/>
      <c r="Y119" s="62"/>
      <c r="Z119" s="68">
        <f>22.43+1111.52</f>
        <v>1133.95</v>
      </c>
      <c r="AA119" s="81">
        <f t="shared" si="5"/>
        <v>516.04999999999995</v>
      </c>
      <c r="AC119" s="106">
        <v>1</v>
      </c>
      <c r="AD119"/>
    </row>
    <row r="120" spans="1:30" x14ac:dyDescent="0.25">
      <c r="A120" t="s">
        <v>96</v>
      </c>
      <c r="B120" s="41">
        <v>103</v>
      </c>
      <c r="C120" t="s">
        <v>1368</v>
      </c>
      <c r="D120" t="s">
        <v>1369</v>
      </c>
      <c r="E120" s="52" t="s">
        <v>1370</v>
      </c>
      <c r="F120" s="13" t="s">
        <v>1371</v>
      </c>
      <c r="G120" t="s">
        <v>379</v>
      </c>
      <c r="H120" t="s">
        <v>29</v>
      </c>
      <c r="I120" s="13" t="s">
        <v>30</v>
      </c>
      <c r="J120" s="13"/>
      <c r="K120" t="s">
        <v>129</v>
      </c>
      <c r="L120" s="52">
        <v>45344</v>
      </c>
      <c r="M120" s="13"/>
      <c r="S120" s="38" t="s">
        <v>1366</v>
      </c>
      <c r="T120" t="s">
        <v>1372</v>
      </c>
      <c r="U120" s="54">
        <v>2190</v>
      </c>
      <c r="V120" s="54">
        <v>2190</v>
      </c>
      <c r="W120" t="s">
        <v>1373</v>
      </c>
      <c r="Z120" s="54">
        <f>5.38+1041.81+5.38+23.6</f>
        <v>1076.17</v>
      </c>
      <c r="AA120" s="81">
        <f t="shared" si="5"/>
        <v>1113.83</v>
      </c>
      <c r="AC120" s="106">
        <v>1</v>
      </c>
      <c r="AD120"/>
    </row>
    <row r="121" spans="1:30" x14ac:dyDescent="0.25">
      <c r="A121" t="s">
        <v>96</v>
      </c>
      <c r="B121" s="41">
        <v>98</v>
      </c>
      <c r="C121" t="s">
        <v>1374</v>
      </c>
      <c r="D121" t="s">
        <v>1375</v>
      </c>
      <c r="E121" s="52" t="s">
        <v>1376</v>
      </c>
      <c r="F121" s="13" t="s">
        <v>1377</v>
      </c>
      <c r="G121" t="s">
        <v>313</v>
      </c>
      <c r="H121" t="s">
        <v>29</v>
      </c>
      <c r="I121" s="13" t="s">
        <v>30</v>
      </c>
      <c r="J121" s="13"/>
      <c r="K121" t="s">
        <v>314</v>
      </c>
      <c r="L121" s="52">
        <v>45344</v>
      </c>
      <c r="M121" s="13"/>
      <c r="S121" s="38" t="s">
        <v>1366</v>
      </c>
      <c r="T121" t="s">
        <v>1378</v>
      </c>
      <c r="U121" s="54">
        <v>2265</v>
      </c>
      <c r="V121" s="54">
        <f>450</f>
        <v>450</v>
      </c>
      <c r="W121" t="s">
        <v>1379</v>
      </c>
      <c r="X121">
        <v>1815</v>
      </c>
      <c r="Y121" t="s">
        <v>1335</v>
      </c>
      <c r="Z121" s="54" t="s">
        <v>1380</v>
      </c>
      <c r="AA121" s="81" t="e">
        <f t="shared" si="5"/>
        <v>#VALUE!</v>
      </c>
      <c r="AC121" s="106">
        <v>1</v>
      </c>
      <c r="AD121"/>
    </row>
    <row r="122" spans="1:30" x14ac:dyDescent="0.25">
      <c r="A122" t="s">
        <v>96</v>
      </c>
      <c r="B122" s="41">
        <v>104</v>
      </c>
      <c r="C122" t="s">
        <v>1381</v>
      </c>
      <c r="D122" t="s">
        <v>1382</v>
      </c>
      <c r="E122" s="52">
        <v>45328</v>
      </c>
      <c r="F122" s="13" t="s">
        <v>1383</v>
      </c>
      <c r="G122" t="s">
        <v>506</v>
      </c>
      <c r="H122" t="s">
        <v>29</v>
      </c>
      <c r="I122" s="13" t="s">
        <v>30</v>
      </c>
      <c r="J122" s="13"/>
      <c r="K122" t="s">
        <v>31</v>
      </c>
      <c r="L122" s="52">
        <v>45345</v>
      </c>
      <c r="M122" s="13"/>
      <c r="S122" s="38" t="s">
        <v>1366</v>
      </c>
      <c r="T122" t="s">
        <v>1384</v>
      </c>
      <c r="U122" s="54">
        <v>2190</v>
      </c>
      <c r="V122" s="54">
        <v>2627</v>
      </c>
      <c r="W122" t="s">
        <v>1385</v>
      </c>
      <c r="Z122" s="54">
        <f>1045.42+23.6</f>
        <v>1069.02</v>
      </c>
      <c r="AA122" s="81">
        <f t="shared" si="5"/>
        <v>1557.98</v>
      </c>
      <c r="AC122" s="106">
        <f>IF(J122="YES",0,1)</f>
        <v>1</v>
      </c>
      <c r="AD122"/>
    </row>
    <row r="123" spans="1:30" x14ac:dyDescent="0.25">
      <c r="A123" s="72" t="s">
        <v>96</v>
      </c>
      <c r="B123" s="73">
        <v>78</v>
      </c>
      <c r="C123" s="72" t="s">
        <v>1386</v>
      </c>
      <c r="D123" s="72" t="s">
        <v>1387</v>
      </c>
      <c r="E123" s="75" t="s">
        <v>1388</v>
      </c>
      <c r="F123" s="75" t="s">
        <v>1389</v>
      </c>
      <c r="G123" s="72" t="s">
        <v>379</v>
      </c>
      <c r="H123" s="72" t="s">
        <v>29</v>
      </c>
      <c r="I123" s="75" t="s">
        <v>34</v>
      </c>
      <c r="J123" s="75"/>
      <c r="K123" s="72" t="s">
        <v>127</v>
      </c>
      <c r="L123" s="160">
        <v>45345</v>
      </c>
      <c r="M123" s="75"/>
      <c r="N123" s="75"/>
      <c r="O123" s="72"/>
      <c r="P123" s="76"/>
      <c r="Q123" s="76"/>
      <c r="R123" s="76"/>
      <c r="S123" s="76" t="s">
        <v>1390</v>
      </c>
      <c r="T123" s="72" t="s">
        <v>1372</v>
      </c>
      <c r="U123" s="81">
        <v>4735</v>
      </c>
      <c r="V123" s="81">
        <v>1464</v>
      </c>
      <c r="W123" s="72" t="s">
        <v>125</v>
      </c>
      <c r="X123" s="72">
        <v>1650</v>
      </c>
      <c r="Y123" s="72" t="s">
        <v>1391</v>
      </c>
      <c r="Z123" s="81">
        <f>1337.62+23.6</f>
        <v>1361.2199999999998</v>
      </c>
      <c r="AA123" s="81">
        <f t="shared" si="5"/>
        <v>1752.7800000000002</v>
      </c>
      <c r="AD123"/>
    </row>
    <row r="124" spans="1:30" x14ac:dyDescent="0.25">
      <c r="A124" t="s">
        <v>96</v>
      </c>
      <c r="B124" s="41">
        <v>95</v>
      </c>
      <c r="C124" t="s">
        <v>1392</v>
      </c>
      <c r="D124" t="s">
        <v>1393</v>
      </c>
      <c r="E124" s="52">
        <v>45313</v>
      </c>
      <c r="F124" s="13" t="s">
        <v>1394</v>
      </c>
      <c r="G124" t="s">
        <v>1395</v>
      </c>
      <c r="H124" t="s">
        <v>29</v>
      </c>
      <c r="I124" s="13" t="s">
        <v>30</v>
      </c>
      <c r="J124" s="13"/>
      <c r="K124" t="s">
        <v>1002</v>
      </c>
      <c r="L124" s="52">
        <v>45387</v>
      </c>
      <c r="M124" s="13"/>
      <c r="S124" s="38" t="s">
        <v>1396</v>
      </c>
      <c r="T124" t="s">
        <v>1397</v>
      </c>
      <c r="U124" s="54">
        <v>2190</v>
      </c>
      <c r="V124" s="54">
        <v>2190</v>
      </c>
      <c r="W124" t="s">
        <v>1398</v>
      </c>
      <c r="Z124" s="54">
        <f>5.38+1047.72+23.6</f>
        <v>1076.7</v>
      </c>
      <c r="AA124" s="81">
        <f t="shared" si="5"/>
        <v>1113.3</v>
      </c>
      <c r="AC124" s="106">
        <f>IF(J124="YES",0,1)</f>
        <v>1</v>
      </c>
      <c r="AD124"/>
    </row>
    <row r="125" spans="1:30" x14ac:dyDescent="0.25">
      <c r="A125" t="s">
        <v>96</v>
      </c>
      <c r="B125" s="41">
        <v>107</v>
      </c>
      <c r="C125" t="s">
        <v>1399</v>
      </c>
      <c r="D125" t="s">
        <v>1400</v>
      </c>
      <c r="E125" s="52">
        <v>45333</v>
      </c>
      <c r="F125" s="13" t="s">
        <v>1401</v>
      </c>
      <c r="G125" t="s">
        <v>1402</v>
      </c>
      <c r="H125" t="s">
        <v>29</v>
      </c>
      <c r="I125" s="13" t="s">
        <v>34</v>
      </c>
      <c r="J125" s="13"/>
      <c r="K125" t="s">
        <v>642</v>
      </c>
      <c r="L125" s="52">
        <v>45386</v>
      </c>
      <c r="M125" s="13"/>
      <c r="S125" s="38" t="s">
        <v>1396</v>
      </c>
      <c r="T125" t="s">
        <v>1284</v>
      </c>
      <c r="U125" s="54">
        <v>3865</v>
      </c>
      <c r="V125" s="54">
        <v>1854</v>
      </c>
      <c r="W125" t="s">
        <v>1403</v>
      </c>
      <c r="X125">
        <v>1740</v>
      </c>
      <c r="Y125" t="s">
        <v>1348</v>
      </c>
      <c r="Z125" s="54">
        <f>23.6+1155.71+214.7+461.1</f>
        <v>1855.1100000000001</v>
      </c>
      <c r="AA125" s="81">
        <f t="shared" si="5"/>
        <v>1738.8899999999999</v>
      </c>
      <c r="AC125" s="106">
        <f>IF(J125="YES",0,1)</f>
        <v>1</v>
      </c>
      <c r="AD125"/>
    </row>
    <row r="126" spans="1:30" s="123" customFormat="1" x14ac:dyDescent="0.25">
      <c r="A126" t="s">
        <v>1404</v>
      </c>
      <c r="B126" s="41">
        <v>60</v>
      </c>
      <c r="C126" t="s">
        <v>1405</v>
      </c>
      <c r="D126" t="s">
        <v>1406</v>
      </c>
      <c r="E126" s="13" t="s">
        <v>1100</v>
      </c>
      <c r="F126" s="13" t="s">
        <v>1407</v>
      </c>
      <c r="G126" t="s">
        <v>1408</v>
      </c>
      <c r="H126" t="s">
        <v>29</v>
      </c>
      <c r="I126" s="13" t="s">
        <v>30</v>
      </c>
      <c r="J126" s="75" t="s">
        <v>103</v>
      </c>
      <c r="K126" t="s">
        <v>31</v>
      </c>
      <c r="L126" s="161">
        <v>45384</v>
      </c>
      <c r="M126" s="13"/>
      <c r="N126" s="13"/>
      <c r="O126"/>
      <c r="P126" s="38"/>
      <c r="Q126" s="38"/>
      <c r="R126" s="38"/>
      <c r="S126" s="38" t="s">
        <v>1409</v>
      </c>
      <c r="T126" t="s">
        <v>1410</v>
      </c>
      <c r="U126" s="54">
        <v>2150</v>
      </c>
      <c r="V126" s="54">
        <v>2150</v>
      </c>
      <c r="W126" t="s">
        <v>1100</v>
      </c>
      <c r="X126"/>
      <c r="Y126"/>
      <c r="Z126" s="54">
        <f>10.76+1260.06+5.38+23.6</f>
        <v>1299.8</v>
      </c>
      <c r="AA126" s="81">
        <f t="shared" si="5"/>
        <v>850.2</v>
      </c>
      <c r="AC126" s="106">
        <v>1</v>
      </c>
      <c r="AD126"/>
    </row>
    <row r="127" spans="1:30" x14ac:dyDescent="0.25">
      <c r="A127" t="s">
        <v>96</v>
      </c>
      <c r="B127" s="41">
        <v>59</v>
      </c>
      <c r="C127" t="s">
        <v>1411</v>
      </c>
      <c r="D127" t="s">
        <v>1412</v>
      </c>
      <c r="E127" s="13" t="s">
        <v>1088</v>
      </c>
      <c r="F127" s="13" t="s">
        <v>1413</v>
      </c>
      <c r="G127" t="s">
        <v>900</v>
      </c>
      <c r="H127" t="s">
        <v>374</v>
      </c>
      <c r="I127" s="13" t="s">
        <v>34</v>
      </c>
      <c r="J127" s="75"/>
      <c r="K127" t="s">
        <v>67</v>
      </c>
      <c r="L127" s="161">
        <v>45377</v>
      </c>
      <c r="M127" s="13"/>
      <c r="S127" s="38" t="s">
        <v>1414</v>
      </c>
      <c r="T127" t="s">
        <v>1415</v>
      </c>
      <c r="U127" s="54">
        <v>3665.1</v>
      </c>
      <c r="V127" s="54" t="s">
        <v>1100</v>
      </c>
      <c r="W127" t="s">
        <v>1100</v>
      </c>
      <c r="X127" t="s">
        <v>1289</v>
      </c>
      <c r="Y127" t="s">
        <v>1289</v>
      </c>
      <c r="Z127" s="54">
        <f>5.38+5.38+1215.81+942.25+23.6</f>
        <v>2192.4199999999996</v>
      </c>
      <c r="AA127" s="81" t="e">
        <f t="shared" si="5"/>
        <v>#VALUE!</v>
      </c>
      <c r="AC127" s="106">
        <f>IF(J127="YES",0,1)</f>
        <v>1</v>
      </c>
      <c r="AD127"/>
    </row>
    <row r="128" spans="1:30" x14ac:dyDescent="0.25">
      <c r="A128" t="s">
        <v>96</v>
      </c>
      <c r="B128" s="41">
        <v>99</v>
      </c>
      <c r="C128" t="s">
        <v>1416</v>
      </c>
      <c r="D128" t="s">
        <v>1417</v>
      </c>
      <c r="E128" s="52" t="s">
        <v>1418</v>
      </c>
      <c r="F128" s="13" t="s">
        <v>1419</v>
      </c>
      <c r="G128" t="s">
        <v>714</v>
      </c>
      <c r="H128" t="s">
        <v>29</v>
      </c>
      <c r="I128" s="13" t="s">
        <v>34</v>
      </c>
      <c r="J128" s="13"/>
      <c r="K128" t="s">
        <v>1002</v>
      </c>
      <c r="L128" s="52">
        <v>45386</v>
      </c>
      <c r="M128" s="13"/>
      <c r="S128" s="38" t="s">
        <v>1420</v>
      </c>
      <c r="T128" t="s">
        <v>1372</v>
      </c>
      <c r="U128" s="54">
        <v>4015</v>
      </c>
      <c r="V128" s="54">
        <v>721</v>
      </c>
      <c r="W128" t="s">
        <v>1421</v>
      </c>
      <c r="X128">
        <v>1890</v>
      </c>
      <c r="Y128" t="s">
        <v>1390</v>
      </c>
      <c r="Z128" s="54">
        <f>23.6+1155.74+159+16.14+25.55</f>
        <v>1380.03</v>
      </c>
      <c r="AA128" s="81">
        <f t="shared" si="5"/>
        <v>1230.97</v>
      </c>
      <c r="AC128" s="106">
        <f>IF(J128="YES",0,1)</f>
        <v>1</v>
      </c>
      <c r="AD128"/>
    </row>
    <row r="129" spans="1:30" x14ac:dyDescent="0.25">
      <c r="A129" t="s">
        <v>96</v>
      </c>
      <c r="B129" s="41">
        <v>54</v>
      </c>
      <c r="C129" t="s">
        <v>1422</v>
      </c>
      <c r="D129" t="s">
        <v>1423</v>
      </c>
      <c r="E129" s="13" t="s">
        <v>1424</v>
      </c>
      <c r="F129" s="13" t="s">
        <v>1425</v>
      </c>
      <c r="G129" t="s">
        <v>1426</v>
      </c>
      <c r="H129" t="s">
        <v>29</v>
      </c>
      <c r="I129" s="13" t="s">
        <v>30</v>
      </c>
      <c r="J129" s="75" t="s">
        <v>103</v>
      </c>
      <c r="K129" t="s">
        <v>599</v>
      </c>
      <c r="L129" s="161">
        <v>45379</v>
      </c>
      <c r="M129" s="13"/>
      <c r="S129" s="38" t="s">
        <v>1420</v>
      </c>
      <c r="T129" t="s">
        <v>1324</v>
      </c>
      <c r="U129" s="54">
        <v>3164</v>
      </c>
      <c r="V129" s="54">
        <v>3164</v>
      </c>
      <c r="W129" t="s">
        <v>1102</v>
      </c>
      <c r="Z129" s="54">
        <f>1681.62+675.7+23.6</f>
        <v>2380.9199999999996</v>
      </c>
      <c r="AA129" s="81">
        <f t="shared" si="5"/>
        <v>783.08000000000038</v>
      </c>
      <c r="AC129" s="106">
        <v>1</v>
      </c>
      <c r="AD129"/>
    </row>
    <row r="130" spans="1:30" x14ac:dyDescent="0.25">
      <c r="A130" t="s">
        <v>96</v>
      </c>
      <c r="B130" s="41">
        <v>91</v>
      </c>
      <c r="C130" t="s">
        <v>1427</v>
      </c>
      <c r="D130" t="s">
        <v>1428</v>
      </c>
      <c r="E130" s="13" t="s">
        <v>1429</v>
      </c>
      <c r="F130" s="13" t="s">
        <v>1430</v>
      </c>
      <c r="G130" t="s">
        <v>803</v>
      </c>
      <c r="H130" t="s">
        <v>29</v>
      </c>
      <c r="I130" s="13" t="s">
        <v>30</v>
      </c>
      <c r="J130" s="75"/>
      <c r="K130" t="s">
        <v>31</v>
      </c>
      <c r="L130" s="161">
        <v>45401</v>
      </c>
      <c r="M130" s="13"/>
      <c r="S130" s="38" t="s">
        <v>1431</v>
      </c>
      <c r="T130" s="156" t="s">
        <v>1432</v>
      </c>
      <c r="U130" s="54">
        <v>2190</v>
      </c>
      <c r="V130" s="54">
        <v>450</v>
      </c>
      <c r="W130" t="s">
        <v>1429</v>
      </c>
      <c r="X130">
        <v>1740</v>
      </c>
      <c r="Y130" t="s">
        <v>1433</v>
      </c>
      <c r="Z130" s="54">
        <f>5.38+1137.4+5.38+23.6</f>
        <v>1171.7600000000002</v>
      </c>
      <c r="AA130" s="81">
        <f t="shared" si="5"/>
        <v>1018.2399999999998</v>
      </c>
      <c r="AC130" s="106">
        <v>1</v>
      </c>
      <c r="AD130"/>
    </row>
    <row r="131" spans="1:30" x14ac:dyDescent="0.25">
      <c r="A131" t="s">
        <v>1434</v>
      </c>
      <c r="B131" s="41">
        <v>79</v>
      </c>
      <c r="C131" t="s">
        <v>1435</v>
      </c>
      <c r="D131" t="s">
        <v>1436</v>
      </c>
      <c r="E131" s="13" t="s">
        <v>125</v>
      </c>
      <c r="F131" s="13" t="s">
        <v>1437</v>
      </c>
      <c r="G131" t="s">
        <v>1438</v>
      </c>
      <c r="H131" t="s">
        <v>29</v>
      </c>
      <c r="I131" s="13" t="s">
        <v>30</v>
      </c>
      <c r="J131" s="75" t="s">
        <v>103</v>
      </c>
      <c r="K131" t="s">
        <v>660</v>
      </c>
      <c r="L131" s="161">
        <v>45387</v>
      </c>
      <c r="M131" s="13"/>
      <c r="S131" s="38" t="s">
        <v>1439</v>
      </c>
      <c r="T131" t="s">
        <v>1440</v>
      </c>
      <c r="U131" s="54">
        <v>2150</v>
      </c>
      <c r="V131" s="54">
        <v>450</v>
      </c>
      <c r="W131" t="s">
        <v>1441</v>
      </c>
      <c r="X131">
        <v>1700</v>
      </c>
      <c r="Y131" t="s">
        <v>1442</v>
      </c>
      <c r="Z131" s="54">
        <f>1592.86+23.6</f>
        <v>1616.4599999999998</v>
      </c>
      <c r="AA131" s="81">
        <f t="shared" si="5"/>
        <v>533.54000000000019</v>
      </c>
      <c r="AD131"/>
    </row>
    <row r="132" spans="1:30" x14ac:dyDescent="0.25">
      <c r="A132" t="s">
        <v>45</v>
      </c>
      <c r="B132" s="41">
        <v>9289</v>
      </c>
      <c r="C132" t="s">
        <v>1443</v>
      </c>
      <c r="D132" t="s">
        <v>1444</v>
      </c>
      <c r="E132" s="13" t="s">
        <v>1445</v>
      </c>
      <c r="F132" s="13" t="s">
        <v>1446</v>
      </c>
      <c r="G132" t="s">
        <v>260</v>
      </c>
      <c r="H132" t="s">
        <v>37</v>
      </c>
      <c r="I132" s="13" t="s">
        <v>30</v>
      </c>
      <c r="J132" s="13"/>
      <c r="K132" t="s">
        <v>31</v>
      </c>
      <c r="L132" s="52">
        <v>45386</v>
      </c>
      <c r="M132" s="13"/>
      <c r="S132" s="38" t="s">
        <v>1439</v>
      </c>
      <c r="T132" t="s">
        <v>1447</v>
      </c>
      <c r="U132" s="54">
        <v>2087</v>
      </c>
      <c r="V132" s="54">
        <v>2197</v>
      </c>
      <c r="W132" t="s">
        <v>1275</v>
      </c>
      <c r="Y132" t="s">
        <v>1448</v>
      </c>
      <c r="Z132" s="54">
        <f>311.8+10.76+1154.11+5.38+23.6</f>
        <v>1505.6499999999999</v>
      </c>
      <c r="AA132" s="81">
        <f t="shared" si="5"/>
        <v>691.35000000000014</v>
      </c>
      <c r="AD132"/>
    </row>
    <row r="133" spans="1:30" x14ac:dyDescent="0.25">
      <c r="A133" s="72" t="s">
        <v>96</v>
      </c>
      <c r="B133" s="73">
        <v>120</v>
      </c>
      <c r="C133" s="72" t="s">
        <v>1449</v>
      </c>
      <c r="D133" s="72" t="s">
        <v>1450</v>
      </c>
      <c r="E133" s="75" t="s">
        <v>1451</v>
      </c>
      <c r="F133" s="75" t="s">
        <v>1452</v>
      </c>
      <c r="G133" s="72" t="s">
        <v>506</v>
      </c>
      <c r="H133" s="72" t="s">
        <v>29</v>
      </c>
      <c r="I133" s="75" t="s">
        <v>34</v>
      </c>
      <c r="J133" s="75"/>
      <c r="K133" s="72" t="s">
        <v>31</v>
      </c>
      <c r="L133" s="74">
        <v>45386</v>
      </c>
      <c r="M133" s="75"/>
      <c r="N133" s="75"/>
      <c r="O133" s="72"/>
      <c r="P133" s="76"/>
      <c r="Q133" s="76"/>
      <c r="R133" s="76"/>
      <c r="S133" s="76" t="s">
        <v>1453</v>
      </c>
      <c r="T133" s="72" t="s">
        <v>1454</v>
      </c>
      <c r="U133" s="81">
        <v>2589</v>
      </c>
      <c r="V133" s="81">
        <f>450+314.7+353</f>
        <v>1117.7</v>
      </c>
      <c r="W133" s="72" t="s">
        <v>1455</v>
      </c>
      <c r="X133" s="72">
        <v>1275</v>
      </c>
      <c r="Y133" s="72" t="s">
        <v>1456</v>
      </c>
      <c r="Z133" s="81">
        <f>1157.74+447.7+31.04</f>
        <v>1636.48</v>
      </c>
      <c r="AA133" s="81">
        <f t="shared" si="5"/>
        <v>756.2199999999998</v>
      </c>
      <c r="AD133"/>
    </row>
    <row r="134" spans="1:30" x14ac:dyDescent="0.25">
      <c r="A134" s="62" t="s">
        <v>45</v>
      </c>
      <c r="B134" s="63">
        <v>9278</v>
      </c>
      <c r="C134" s="62" t="s">
        <v>1457</v>
      </c>
      <c r="D134" s="62" t="s">
        <v>1458</v>
      </c>
      <c r="E134" s="65" t="s">
        <v>140</v>
      </c>
      <c r="F134" s="65" t="s">
        <v>1459</v>
      </c>
      <c r="G134" s="62" t="s">
        <v>459</v>
      </c>
      <c r="H134" s="62" t="s">
        <v>29</v>
      </c>
      <c r="I134" s="65" t="s">
        <v>30</v>
      </c>
      <c r="J134" s="65" t="s">
        <v>103</v>
      </c>
      <c r="K134" s="62" t="s">
        <v>31</v>
      </c>
      <c r="L134" s="162">
        <v>45390</v>
      </c>
      <c r="M134" s="65"/>
      <c r="N134" s="65"/>
      <c r="O134" s="62"/>
      <c r="P134" s="66"/>
      <c r="Q134" s="66"/>
      <c r="R134" s="66"/>
      <c r="S134" s="66" t="s">
        <v>1453</v>
      </c>
      <c r="T134" s="62" t="s">
        <v>986</v>
      </c>
      <c r="U134" s="68">
        <v>1725</v>
      </c>
      <c r="V134" s="68">
        <v>1725</v>
      </c>
      <c r="W134" s="62" t="s">
        <v>1460</v>
      </c>
      <c r="X134" s="62"/>
      <c r="Y134" s="62"/>
      <c r="Z134" s="68">
        <f>1067.43+28.98</f>
        <v>1096.4100000000001</v>
      </c>
      <c r="AA134" s="68">
        <f t="shared" si="5"/>
        <v>628.58999999999992</v>
      </c>
      <c r="AD134"/>
    </row>
    <row r="135" spans="1:30" x14ac:dyDescent="0.25">
      <c r="A135" t="s">
        <v>45</v>
      </c>
      <c r="B135" s="41">
        <v>9281</v>
      </c>
      <c r="C135" t="s">
        <v>1461</v>
      </c>
      <c r="D135" t="s">
        <v>1462</v>
      </c>
      <c r="E135" s="52">
        <v>45328</v>
      </c>
      <c r="F135" s="13" t="s">
        <v>1463</v>
      </c>
      <c r="G135" t="s">
        <v>1464</v>
      </c>
      <c r="H135" t="s">
        <v>29</v>
      </c>
      <c r="I135" s="13" t="s">
        <v>30</v>
      </c>
      <c r="J135" s="13" t="s">
        <v>103</v>
      </c>
      <c r="K135" t="s">
        <v>31</v>
      </c>
      <c r="L135" s="52">
        <v>45390</v>
      </c>
      <c r="M135" s="13"/>
      <c r="S135" s="38" t="s">
        <v>1465</v>
      </c>
      <c r="T135" s="62" t="s">
        <v>1466</v>
      </c>
      <c r="U135" s="54">
        <v>1800</v>
      </c>
      <c r="V135" s="54">
        <v>1800</v>
      </c>
      <c r="W135" t="s">
        <v>1385</v>
      </c>
      <c r="Z135" s="54">
        <f>1105.94+23.6</f>
        <v>1129.54</v>
      </c>
      <c r="AA135" s="81">
        <f t="shared" si="5"/>
        <v>670.46</v>
      </c>
      <c r="AC135" s="106">
        <v>1</v>
      </c>
      <c r="AD135"/>
    </row>
    <row r="136" spans="1:30" x14ac:dyDescent="0.25">
      <c r="A136" t="s">
        <v>45</v>
      </c>
      <c r="B136" s="41">
        <v>9273</v>
      </c>
      <c r="C136" t="s">
        <v>1467</v>
      </c>
      <c r="D136" t="s">
        <v>1468</v>
      </c>
      <c r="E136" s="13" t="s">
        <v>107</v>
      </c>
      <c r="F136" s="13" t="s">
        <v>1469</v>
      </c>
      <c r="G136" t="s">
        <v>1470</v>
      </c>
      <c r="H136" t="s">
        <v>29</v>
      </c>
      <c r="I136" s="13" t="s">
        <v>30</v>
      </c>
      <c r="J136" s="75" t="s">
        <v>103</v>
      </c>
      <c r="K136" t="s">
        <v>31</v>
      </c>
      <c r="L136" s="161">
        <v>45390</v>
      </c>
      <c r="M136" s="13"/>
      <c r="S136" s="38" t="s">
        <v>1465</v>
      </c>
      <c r="T136" s="62" t="s">
        <v>986</v>
      </c>
      <c r="U136" s="54">
        <v>1725</v>
      </c>
      <c r="V136" s="54">
        <v>1725</v>
      </c>
      <c r="W136" t="s">
        <v>116</v>
      </c>
      <c r="Z136" s="54">
        <f>1102.6+23.6+5.38+5.38</f>
        <v>1136.96</v>
      </c>
      <c r="AA136" s="81">
        <f t="shared" si="5"/>
        <v>588.04</v>
      </c>
      <c r="AC136" s="106">
        <f>IF(J136="YES",0,1)</f>
        <v>0</v>
      </c>
      <c r="AD136"/>
    </row>
    <row r="137" spans="1:30" x14ac:dyDescent="0.25">
      <c r="A137" t="s">
        <v>45</v>
      </c>
      <c r="B137" s="41">
        <v>9282</v>
      </c>
      <c r="C137" t="s">
        <v>1471</v>
      </c>
      <c r="D137" t="s">
        <v>1472</v>
      </c>
      <c r="E137" s="13" t="s">
        <v>1473</v>
      </c>
      <c r="F137" s="13" t="s">
        <v>1474</v>
      </c>
      <c r="G137" t="s">
        <v>686</v>
      </c>
      <c r="H137" t="s">
        <v>29</v>
      </c>
      <c r="I137" s="13" t="s">
        <v>30</v>
      </c>
      <c r="J137" s="13" t="s">
        <v>103</v>
      </c>
      <c r="K137" t="s">
        <v>31</v>
      </c>
      <c r="L137" s="52">
        <v>45390</v>
      </c>
      <c r="M137" s="13"/>
      <c r="S137" s="38" t="s">
        <v>160</v>
      </c>
      <c r="T137" s="62" t="s">
        <v>1475</v>
      </c>
      <c r="U137" s="54">
        <v>1800</v>
      </c>
      <c r="V137" s="54">
        <v>1800</v>
      </c>
      <c r="W137" t="s">
        <v>1275</v>
      </c>
      <c r="Z137" s="54">
        <f>1109.4+23.6</f>
        <v>1133</v>
      </c>
      <c r="AA137" s="81">
        <f t="shared" si="5"/>
        <v>667</v>
      </c>
      <c r="AC137" s="106">
        <v>1</v>
      </c>
      <c r="AD137"/>
    </row>
    <row r="138" spans="1:30" x14ac:dyDescent="0.25">
      <c r="A138" t="s">
        <v>96</v>
      </c>
      <c r="B138" s="41">
        <v>38</v>
      </c>
      <c r="C138" t="s">
        <v>1476</v>
      </c>
      <c r="D138" t="s">
        <v>1477</v>
      </c>
      <c r="E138" s="13" t="s">
        <v>1003</v>
      </c>
      <c r="F138" s="13" t="s">
        <v>1478</v>
      </c>
      <c r="G138" t="s">
        <v>1479</v>
      </c>
      <c r="H138" t="s">
        <v>29</v>
      </c>
      <c r="I138" s="13" t="s">
        <v>30</v>
      </c>
      <c r="J138" s="75" t="s">
        <v>103</v>
      </c>
      <c r="K138" t="s">
        <v>1002</v>
      </c>
      <c r="L138" s="161">
        <v>45355</v>
      </c>
      <c r="M138" s="13"/>
      <c r="S138" s="38" t="s">
        <v>1480</v>
      </c>
      <c r="T138" t="s">
        <v>1481</v>
      </c>
      <c r="U138" s="54">
        <v>3385</v>
      </c>
      <c r="V138" s="54">
        <v>721</v>
      </c>
      <c r="W138" t="s">
        <v>1003</v>
      </c>
      <c r="X138">
        <v>1650</v>
      </c>
      <c r="Y138" t="s">
        <v>1113</v>
      </c>
      <c r="Z138" s="54">
        <f>1290.38+159+23.6</f>
        <v>1472.98</v>
      </c>
      <c r="AC138" s="106">
        <f>IF(J138="YES",0,1)</f>
        <v>0</v>
      </c>
      <c r="AD138"/>
    </row>
    <row r="139" spans="1:30" x14ac:dyDescent="0.25">
      <c r="A139" t="s">
        <v>1482</v>
      </c>
      <c r="B139" s="41">
        <v>115</v>
      </c>
      <c r="C139" t="s">
        <v>1483</v>
      </c>
      <c r="D139" t="s">
        <v>1484</v>
      </c>
      <c r="E139" s="52" t="s">
        <v>1485</v>
      </c>
      <c r="F139" s="13" t="s">
        <v>1486</v>
      </c>
      <c r="G139" t="s">
        <v>1487</v>
      </c>
      <c r="H139" t="s">
        <v>29</v>
      </c>
      <c r="I139" s="13" t="s">
        <v>30</v>
      </c>
      <c r="J139" s="13"/>
      <c r="K139" t="s">
        <v>387</v>
      </c>
      <c r="L139" s="52">
        <v>45386</v>
      </c>
      <c r="M139" s="13"/>
      <c r="S139" s="38" t="s">
        <v>167</v>
      </c>
      <c r="T139" t="s">
        <v>1488</v>
      </c>
      <c r="U139" s="54">
        <v>2300</v>
      </c>
      <c r="V139" s="54">
        <v>450</v>
      </c>
      <c r="W139" t="s">
        <v>1335</v>
      </c>
      <c r="X139">
        <v>1850</v>
      </c>
      <c r="Y139" t="s">
        <v>1489</v>
      </c>
      <c r="Z139" s="54">
        <f>1258.19+23.6</f>
        <v>1281.79</v>
      </c>
      <c r="AA139" s="81">
        <f t="shared" ref="AA139" si="6">V139+X139-Z139</f>
        <v>1018.21</v>
      </c>
      <c r="AC139" s="106">
        <f t="shared" ref="AC139" si="7">IF(J139="YES",0,1)</f>
        <v>1</v>
      </c>
      <c r="AD139"/>
    </row>
    <row r="140" spans="1:30" x14ac:dyDescent="0.25">
      <c r="A140" t="s">
        <v>1490</v>
      </c>
      <c r="B140" s="41">
        <v>66</v>
      </c>
      <c r="C140" t="s">
        <v>1491</v>
      </c>
      <c r="D140" t="s">
        <v>1492</v>
      </c>
      <c r="E140" s="13" t="s">
        <v>1493</v>
      </c>
      <c r="F140" s="13" t="s">
        <v>1494</v>
      </c>
      <c r="G140" t="s">
        <v>1495</v>
      </c>
      <c r="H140" t="s">
        <v>30</v>
      </c>
      <c r="I140" s="13" t="s">
        <v>30</v>
      </c>
      <c r="J140" s="75" t="s">
        <v>103</v>
      </c>
      <c r="K140" t="s">
        <v>35</v>
      </c>
      <c r="L140" s="161">
        <v>45378</v>
      </c>
      <c r="M140" s="13"/>
      <c r="S140" s="38" t="s">
        <v>1496</v>
      </c>
      <c r="T140" t="s">
        <v>1354</v>
      </c>
      <c r="U140" s="54">
        <v>3521</v>
      </c>
      <c r="V140" s="54">
        <v>721</v>
      </c>
      <c r="W140" t="s">
        <v>1493</v>
      </c>
      <c r="X140">
        <v>1600</v>
      </c>
      <c r="Y140" t="s">
        <v>1362</v>
      </c>
      <c r="Z140" s="54">
        <f>45+1223.72+23.6</f>
        <v>1292.32</v>
      </c>
      <c r="AA140" s="81">
        <f>V140+X140-Z140</f>
        <v>1028.68</v>
      </c>
      <c r="AC140" s="106">
        <f>IF(J140="YES",0,1)</f>
        <v>0</v>
      </c>
      <c r="AD140"/>
    </row>
    <row r="141" spans="1:30" x14ac:dyDescent="0.25">
      <c r="A141" t="s">
        <v>96</v>
      </c>
      <c r="B141" s="41">
        <v>37</v>
      </c>
      <c r="C141" t="s">
        <v>1497</v>
      </c>
      <c r="D141" t="s">
        <v>1498</v>
      </c>
      <c r="E141" s="13" t="s">
        <v>1019</v>
      </c>
      <c r="F141" s="13" t="s">
        <v>1499</v>
      </c>
      <c r="G141" t="s">
        <v>1500</v>
      </c>
      <c r="H141" t="s">
        <v>29</v>
      </c>
      <c r="I141" s="13" t="s">
        <v>30</v>
      </c>
      <c r="J141" s="75" t="s">
        <v>103</v>
      </c>
      <c r="K141" t="s">
        <v>38</v>
      </c>
      <c r="L141" s="161">
        <v>45390</v>
      </c>
      <c r="M141" s="13"/>
      <c r="S141" s="38" t="s">
        <v>1501</v>
      </c>
      <c r="T141" s="62" t="s">
        <v>1502</v>
      </c>
      <c r="U141" s="54">
        <v>3621</v>
      </c>
      <c r="V141" s="54">
        <f>721+864</f>
        <v>1585</v>
      </c>
      <c r="W141" t="s">
        <v>1503</v>
      </c>
      <c r="X141">
        <v>1700</v>
      </c>
      <c r="Y141" t="s">
        <v>1504</v>
      </c>
      <c r="Z141" s="54">
        <f>136+675.8+7.64+28.98+1369.47</f>
        <v>2217.89</v>
      </c>
      <c r="AC141" s="106">
        <f>IF(J141="YES",0,1)</f>
        <v>0</v>
      </c>
      <c r="AD141"/>
    </row>
    <row r="142" spans="1:30" x14ac:dyDescent="0.25">
      <c r="A142" t="s">
        <v>96</v>
      </c>
      <c r="B142" s="41">
        <v>102</v>
      </c>
      <c r="C142" t="s">
        <v>1505</v>
      </c>
      <c r="D142" t="s">
        <v>1506</v>
      </c>
      <c r="E142" s="52" t="s">
        <v>1370</v>
      </c>
      <c r="F142" s="13" t="s">
        <v>1507</v>
      </c>
      <c r="G142" t="s">
        <v>932</v>
      </c>
      <c r="H142" t="s">
        <v>29</v>
      </c>
      <c r="I142" s="13" t="s">
        <v>34</v>
      </c>
      <c r="J142" s="13"/>
      <c r="K142" t="s">
        <v>31</v>
      </c>
      <c r="L142" s="52">
        <v>45386</v>
      </c>
      <c r="M142" s="13"/>
      <c r="S142" s="38" t="s">
        <v>1501</v>
      </c>
      <c r="T142" t="s">
        <v>1372</v>
      </c>
      <c r="U142" s="54">
        <f>3865-271</f>
        <v>3594</v>
      </c>
      <c r="V142" s="54">
        <f>450+1404</f>
        <v>1854</v>
      </c>
      <c r="W142" t="s">
        <v>1348</v>
      </c>
      <c r="X142">
        <v>1740</v>
      </c>
      <c r="Y142" t="s">
        <v>1508</v>
      </c>
      <c r="Z142" s="54">
        <f>23.6+1137.4+214.7+7.64</f>
        <v>1383.3400000000001</v>
      </c>
      <c r="AA142" s="81">
        <f t="shared" ref="AA142:AA152" si="8">V142+X142-Z142</f>
        <v>2210.66</v>
      </c>
      <c r="AC142" s="106">
        <f>IF(J142="YES",0,1)</f>
        <v>1</v>
      </c>
      <c r="AD142"/>
    </row>
    <row r="143" spans="1:30" x14ac:dyDescent="0.25">
      <c r="A143" t="s">
        <v>96</v>
      </c>
      <c r="B143" s="41">
        <v>124</v>
      </c>
      <c r="C143" t="s">
        <v>1509</v>
      </c>
      <c r="D143" t="s">
        <v>1510</v>
      </c>
      <c r="E143" s="13" t="s">
        <v>1511</v>
      </c>
      <c r="F143" s="13" t="s">
        <v>1512</v>
      </c>
      <c r="G143" t="s">
        <v>822</v>
      </c>
      <c r="H143" t="s">
        <v>29</v>
      </c>
      <c r="I143" s="13" t="s">
        <v>30</v>
      </c>
      <c r="J143" s="13"/>
      <c r="K143" t="s">
        <v>1513</v>
      </c>
      <c r="L143" s="52">
        <v>45384</v>
      </c>
      <c r="M143" s="13"/>
      <c r="S143" s="38" t="s">
        <v>174</v>
      </c>
      <c r="T143" t="s">
        <v>1514</v>
      </c>
      <c r="U143" s="54">
        <v>2100</v>
      </c>
      <c r="V143" s="54">
        <v>450</v>
      </c>
      <c r="W143" t="s">
        <v>1455</v>
      </c>
      <c r="X143">
        <v>1650</v>
      </c>
      <c r="Y143" t="s">
        <v>1515</v>
      </c>
      <c r="Z143" s="54">
        <f>1152.36+31.24</f>
        <v>1183.5999999999999</v>
      </c>
      <c r="AA143" s="81">
        <f t="shared" si="8"/>
        <v>916.40000000000009</v>
      </c>
      <c r="AC143" s="106">
        <v>1</v>
      </c>
      <c r="AD143"/>
    </row>
    <row r="144" spans="1:30" x14ac:dyDescent="0.25">
      <c r="A144" t="s">
        <v>96</v>
      </c>
      <c r="B144" s="41">
        <v>49</v>
      </c>
      <c r="C144" t="s">
        <v>1516</v>
      </c>
      <c r="D144" t="s">
        <v>1517</v>
      </c>
      <c r="E144" s="13" t="s">
        <v>1244</v>
      </c>
      <c r="F144" s="13" t="s">
        <v>1518</v>
      </c>
      <c r="G144" t="s">
        <v>1519</v>
      </c>
      <c r="H144" t="s">
        <v>29</v>
      </c>
      <c r="I144" s="13" t="s">
        <v>30</v>
      </c>
      <c r="J144" s="75" t="s">
        <v>103</v>
      </c>
      <c r="K144" t="s">
        <v>1520</v>
      </c>
      <c r="L144" s="161">
        <v>45371</v>
      </c>
      <c r="M144" s="13"/>
      <c r="S144" s="38" t="s">
        <v>1521</v>
      </c>
      <c r="T144" s="155" t="s">
        <v>1522</v>
      </c>
      <c r="U144" s="54">
        <v>2487</v>
      </c>
      <c r="V144" s="54">
        <v>987</v>
      </c>
      <c r="W144" t="s">
        <v>1523</v>
      </c>
      <c r="X144">
        <v>1950</v>
      </c>
      <c r="Y144" t="s">
        <v>1524</v>
      </c>
      <c r="Z144" s="54">
        <f>11.28+381.8+1219.25+28.98</f>
        <v>1641.31</v>
      </c>
      <c r="AA144" s="81">
        <f t="shared" si="8"/>
        <v>1295.69</v>
      </c>
      <c r="AB144" s="106">
        <v>1</v>
      </c>
      <c r="AD144"/>
    </row>
    <row r="145" spans="1:30" x14ac:dyDescent="0.25">
      <c r="A145" t="s">
        <v>96</v>
      </c>
      <c r="B145" s="41">
        <v>123</v>
      </c>
      <c r="C145" t="s">
        <v>1525</v>
      </c>
      <c r="D145" t="s">
        <v>1526</v>
      </c>
      <c r="E145" s="52">
        <v>45378</v>
      </c>
      <c r="F145" s="13" t="s">
        <v>1527</v>
      </c>
      <c r="G145" t="s">
        <v>260</v>
      </c>
      <c r="H145" t="s">
        <v>29</v>
      </c>
      <c r="I145" s="13" t="s">
        <v>30</v>
      </c>
      <c r="J145" s="13"/>
      <c r="K145" t="s">
        <v>31</v>
      </c>
      <c r="L145" s="52">
        <v>45390</v>
      </c>
      <c r="M145" s="13"/>
      <c r="S145" s="38" t="s">
        <v>1521</v>
      </c>
      <c r="T145" t="s">
        <v>1528</v>
      </c>
      <c r="U145" s="54">
        <v>2175</v>
      </c>
      <c r="V145" s="54">
        <v>450</v>
      </c>
      <c r="W145" t="s">
        <v>1529</v>
      </c>
      <c r="X145">
        <v>1725</v>
      </c>
      <c r="Y145" t="s">
        <v>1521</v>
      </c>
      <c r="Z145" s="54">
        <f>1156.3+23.6</f>
        <v>1179.8999999999999</v>
      </c>
      <c r="AA145" s="81">
        <f t="shared" si="8"/>
        <v>995.10000000000014</v>
      </c>
      <c r="AC145" s="106">
        <v>1</v>
      </c>
      <c r="AD145"/>
    </row>
    <row r="146" spans="1:30" x14ac:dyDescent="0.25">
      <c r="A146" t="s">
        <v>45</v>
      </c>
      <c r="B146" s="41">
        <v>9292</v>
      </c>
      <c r="C146" t="s">
        <v>1530</v>
      </c>
      <c r="D146" t="s">
        <v>1531</v>
      </c>
      <c r="E146" s="52" t="s">
        <v>1532</v>
      </c>
      <c r="F146" s="13" t="s">
        <v>1533</v>
      </c>
      <c r="G146" t="s">
        <v>1534</v>
      </c>
      <c r="H146" t="s">
        <v>29</v>
      </c>
      <c r="I146" s="13" t="s">
        <v>30</v>
      </c>
      <c r="J146" s="13"/>
      <c r="L146" s="52" t="s">
        <v>53</v>
      </c>
      <c r="M146" s="13"/>
      <c r="S146" s="38" t="s">
        <v>1521</v>
      </c>
      <c r="U146" s="54">
        <v>0</v>
      </c>
      <c r="Z146" s="54">
        <f>1148.8+23.6</f>
        <v>1172.3999999999999</v>
      </c>
      <c r="AA146" s="81">
        <f t="shared" si="8"/>
        <v>-1172.3999999999999</v>
      </c>
      <c r="AC146" s="106">
        <v>1</v>
      </c>
      <c r="AD146"/>
    </row>
    <row r="147" spans="1:30" x14ac:dyDescent="0.25">
      <c r="A147" t="s">
        <v>96</v>
      </c>
      <c r="B147" s="41">
        <v>50</v>
      </c>
      <c r="C147" t="s">
        <v>1535</v>
      </c>
      <c r="E147" s="13" t="s">
        <v>1536</v>
      </c>
      <c r="F147" s="13" t="s">
        <v>1537</v>
      </c>
      <c r="H147" t="s">
        <v>1538</v>
      </c>
      <c r="I147" s="13" t="s">
        <v>30</v>
      </c>
      <c r="J147" s="75"/>
      <c r="K147" t="s">
        <v>31</v>
      </c>
      <c r="L147" s="161">
        <v>45371</v>
      </c>
      <c r="M147" s="13"/>
      <c r="S147" s="38" t="s">
        <v>1521</v>
      </c>
      <c r="T147" t="s">
        <v>1539</v>
      </c>
      <c r="U147" s="54">
        <v>1850</v>
      </c>
      <c r="V147" s="54">
        <v>1850</v>
      </c>
      <c r="W147" t="s">
        <v>1536</v>
      </c>
      <c r="Z147" s="54">
        <f>1069.17</f>
        <v>1069.17</v>
      </c>
      <c r="AA147" s="81">
        <f t="shared" si="8"/>
        <v>780.82999999999993</v>
      </c>
      <c r="AC147" s="106">
        <v>1</v>
      </c>
      <c r="AD147"/>
    </row>
    <row r="148" spans="1:30" x14ac:dyDescent="0.25">
      <c r="A148" t="s">
        <v>45</v>
      </c>
      <c r="B148" s="41">
        <v>9276</v>
      </c>
      <c r="C148" t="s">
        <v>1540</v>
      </c>
      <c r="D148" t="s">
        <v>1541</v>
      </c>
      <c r="E148" s="13" t="s">
        <v>1542</v>
      </c>
      <c r="F148" s="13" t="s">
        <v>1543</v>
      </c>
      <c r="G148" t="s">
        <v>1021</v>
      </c>
      <c r="H148" t="s">
        <v>1538</v>
      </c>
      <c r="I148" s="13" t="s">
        <v>30</v>
      </c>
      <c r="J148" s="13"/>
      <c r="K148" t="s">
        <v>31</v>
      </c>
      <c r="L148" s="161">
        <v>45390</v>
      </c>
      <c r="M148" s="13"/>
      <c r="S148" s="38" t="s">
        <v>1521</v>
      </c>
      <c r="T148" s="62" t="s">
        <v>1544</v>
      </c>
      <c r="U148" s="54">
        <v>1724</v>
      </c>
      <c r="V148" s="54">
        <v>887</v>
      </c>
      <c r="W148" t="s">
        <v>1545</v>
      </c>
      <c r="X148">
        <v>1350</v>
      </c>
      <c r="Y148" t="s">
        <v>1433</v>
      </c>
      <c r="Z148" s="54">
        <f>311.8+23.6+1156.51</f>
        <v>1491.91</v>
      </c>
      <c r="AA148" s="81">
        <f t="shared" si="8"/>
        <v>745.08999999999992</v>
      </c>
      <c r="AC148" s="106">
        <v>1</v>
      </c>
      <c r="AD148"/>
    </row>
    <row r="149" spans="1:30" x14ac:dyDescent="0.25">
      <c r="A149" s="62" t="s">
        <v>96</v>
      </c>
      <c r="B149" s="63">
        <v>126</v>
      </c>
      <c r="C149" s="62" t="s">
        <v>1546</v>
      </c>
      <c r="D149" s="62"/>
      <c r="E149" s="64" t="s">
        <v>1547</v>
      </c>
      <c r="F149" s="65" t="s">
        <v>1548</v>
      </c>
      <c r="G149" s="62" t="s">
        <v>1549</v>
      </c>
      <c r="H149" s="62" t="s">
        <v>29</v>
      </c>
      <c r="I149" s="65" t="s">
        <v>30</v>
      </c>
      <c r="J149" s="65"/>
      <c r="K149" s="62" t="s">
        <v>429</v>
      </c>
      <c r="L149" s="64" t="s">
        <v>53</v>
      </c>
      <c r="M149" s="65"/>
      <c r="N149" s="65"/>
      <c r="O149" s="62"/>
      <c r="P149" s="66"/>
      <c r="Q149" s="66"/>
      <c r="R149" s="66"/>
      <c r="S149" s="66" t="s">
        <v>1550</v>
      </c>
      <c r="T149" s="62"/>
      <c r="U149" s="68">
        <v>2350</v>
      </c>
      <c r="V149" s="68">
        <v>450</v>
      </c>
      <c r="W149" s="62" t="s">
        <v>1547</v>
      </c>
      <c r="X149" s="62">
        <v>1900</v>
      </c>
      <c r="Y149" s="62" t="s">
        <v>160</v>
      </c>
      <c r="Z149" s="68">
        <f>23.6+1143.25</f>
        <v>1166.8499999999999</v>
      </c>
      <c r="AA149" s="68">
        <f t="shared" si="8"/>
        <v>1183.1500000000001</v>
      </c>
      <c r="AD149"/>
    </row>
    <row r="150" spans="1:30" x14ac:dyDescent="0.25">
      <c r="A150" s="72" t="s">
        <v>96</v>
      </c>
      <c r="B150" s="73">
        <v>118</v>
      </c>
      <c r="C150" s="72" t="s">
        <v>1551</v>
      </c>
      <c r="D150" s="72"/>
      <c r="E150" s="75" t="s">
        <v>1552</v>
      </c>
      <c r="F150" s="75" t="s">
        <v>1553</v>
      </c>
      <c r="G150" s="72" t="s">
        <v>1554</v>
      </c>
      <c r="H150" s="72" t="s">
        <v>374</v>
      </c>
      <c r="I150" s="75" t="s">
        <v>34</v>
      </c>
      <c r="J150" s="75"/>
      <c r="K150" s="72" t="s">
        <v>599</v>
      </c>
      <c r="L150" s="74">
        <v>45387</v>
      </c>
      <c r="M150" s="75"/>
      <c r="N150" s="75"/>
      <c r="O150" s="72"/>
      <c r="P150" s="76"/>
      <c r="Q150" s="76"/>
      <c r="R150" s="76"/>
      <c r="S150" s="76" t="s">
        <v>1555</v>
      </c>
      <c r="T150" s="72" t="s">
        <v>1514</v>
      </c>
      <c r="U150" s="81">
        <v>3835</v>
      </c>
      <c r="V150" s="81">
        <v>1764</v>
      </c>
      <c r="W150" s="72" t="s">
        <v>1552</v>
      </c>
      <c r="X150" s="72">
        <v>386</v>
      </c>
      <c r="Y150" s="72" t="s">
        <v>1396</v>
      </c>
      <c r="Z150" s="81">
        <f>1580.39+10+23.6</f>
        <v>1613.99</v>
      </c>
      <c r="AA150" s="81">
        <f t="shared" si="8"/>
        <v>536.01</v>
      </c>
      <c r="AD150"/>
    </row>
    <row r="151" spans="1:30" x14ac:dyDescent="0.25">
      <c r="A151" s="72" t="s">
        <v>96</v>
      </c>
      <c r="B151" s="73">
        <v>140</v>
      </c>
      <c r="C151" s="72" t="s">
        <v>1556</v>
      </c>
      <c r="D151" s="72" t="s">
        <v>1557</v>
      </c>
      <c r="E151" s="75" t="s">
        <v>152</v>
      </c>
      <c r="F151" s="75" t="s">
        <v>1558</v>
      </c>
      <c r="G151" s="72" t="s">
        <v>591</v>
      </c>
      <c r="H151" s="72" t="s">
        <v>29</v>
      </c>
      <c r="I151" s="75" t="s">
        <v>34</v>
      </c>
      <c r="J151" s="75"/>
      <c r="K151" s="72" t="s">
        <v>31</v>
      </c>
      <c r="L151" s="74" t="s">
        <v>53</v>
      </c>
      <c r="M151" s="75"/>
      <c r="N151" s="75"/>
      <c r="O151" s="72"/>
      <c r="P151" s="76"/>
      <c r="Q151" s="76"/>
      <c r="R151" s="76"/>
      <c r="S151" s="76" t="s">
        <v>1555</v>
      </c>
      <c r="T151" s="72"/>
      <c r="U151" s="81">
        <v>2371</v>
      </c>
      <c r="V151" s="81">
        <v>450</v>
      </c>
      <c r="W151" s="72" t="s">
        <v>152</v>
      </c>
      <c r="X151" s="72">
        <v>1650</v>
      </c>
      <c r="Y151" s="72" t="s">
        <v>1559</v>
      </c>
      <c r="Z151" s="81">
        <f>10.76+1152.34+23.6</f>
        <v>1186.6999999999998</v>
      </c>
      <c r="AA151" s="81">
        <f t="shared" si="8"/>
        <v>913.30000000000018</v>
      </c>
      <c r="AD151"/>
    </row>
    <row r="152" spans="1:30" x14ac:dyDescent="0.25">
      <c r="A152" t="s">
        <v>45</v>
      </c>
      <c r="B152" s="41">
        <v>9280</v>
      </c>
      <c r="C152" t="s">
        <v>1560</v>
      </c>
      <c r="D152" t="s">
        <v>1561</v>
      </c>
      <c r="E152" s="52">
        <v>45324</v>
      </c>
      <c r="F152" s="13" t="s">
        <v>1562</v>
      </c>
      <c r="G152" t="s">
        <v>591</v>
      </c>
      <c r="H152" t="s">
        <v>29</v>
      </c>
      <c r="I152" s="13" t="s">
        <v>34</v>
      </c>
      <c r="J152" s="13"/>
      <c r="K152" t="s">
        <v>31</v>
      </c>
      <c r="L152" s="52">
        <v>45363</v>
      </c>
      <c r="M152" s="13"/>
      <c r="S152" s="38" t="s">
        <v>1563</v>
      </c>
      <c r="T152" s="62" t="s">
        <v>1564</v>
      </c>
      <c r="U152" s="54">
        <v>4308</v>
      </c>
      <c r="V152" s="54">
        <v>121</v>
      </c>
      <c r="W152" t="s">
        <v>1565</v>
      </c>
      <c r="X152">
        <v>1850</v>
      </c>
      <c r="Y152" t="s">
        <v>1385</v>
      </c>
      <c r="Z152" s="54">
        <f>1588.26+23.6</f>
        <v>1611.86</v>
      </c>
      <c r="AA152" s="81">
        <f t="shared" si="8"/>
        <v>359.1400000000001</v>
      </c>
      <c r="AC152" s="106">
        <v>1</v>
      </c>
      <c r="AD152"/>
    </row>
    <row r="153" spans="1:30" x14ac:dyDescent="0.25">
      <c r="A153" t="s">
        <v>96</v>
      </c>
      <c r="B153" s="41">
        <v>28</v>
      </c>
      <c r="C153" t="s">
        <v>1566</v>
      </c>
      <c r="D153" t="s">
        <v>1567</v>
      </c>
      <c r="E153" s="52">
        <v>45139</v>
      </c>
      <c r="F153" s="13" t="s">
        <v>1568</v>
      </c>
      <c r="G153" t="s">
        <v>1329</v>
      </c>
      <c r="H153" t="s">
        <v>29</v>
      </c>
      <c r="I153" s="13" t="s">
        <v>30</v>
      </c>
      <c r="J153" s="75" t="s">
        <v>103</v>
      </c>
      <c r="K153" t="s">
        <v>1002</v>
      </c>
      <c r="L153" s="161">
        <v>45425</v>
      </c>
      <c r="M153" s="13"/>
      <c r="S153" s="38" t="s">
        <v>1563</v>
      </c>
      <c r="T153" t="s">
        <v>1569</v>
      </c>
      <c r="U153" s="54">
        <v>5808</v>
      </c>
      <c r="V153" s="54">
        <v>1800</v>
      </c>
      <c r="W153" t="s">
        <v>968</v>
      </c>
      <c r="X153">
        <v>75</v>
      </c>
      <c r="Y153" t="s">
        <v>1545</v>
      </c>
      <c r="Z153" s="54">
        <f>1289.15+7.64</f>
        <v>1296.7900000000002</v>
      </c>
      <c r="AA153" s="81"/>
      <c r="AC153" s="106">
        <f>IF(J153="YES",0,1)</f>
        <v>0</v>
      </c>
      <c r="AD153"/>
    </row>
    <row r="154" spans="1:30" x14ac:dyDescent="0.25">
      <c r="A154" t="s">
        <v>96</v>
      </c>
      <c r="B154" s="41">
        <v>114</v>
      </c>
      <c r="C154" t="s">
        <v>1570</v>
      </c>
      <c r="D154" t="s">
        <v>1571</v>
      </c>
      <c r="E154" s="52" t="s">
        <v>1572</v>
      </c>
      <c r="F154" s="13" t="s">
        <v>1573</v>
      </c>
      <c r="G154" t="s">
        <v>1574</v>
      </c>
      <c r="H154" t="s">
        <v>29</v>
      </c>
      <c r="I154" s="13" t="s">
        <v>30</v>
      </c>
      <c r="J154" s="13"/>
      <c r="K154" t="s">
        <v>642</v>
      </c>
      <c r="L154" s="52">
        <v>45435</v>
      </c>
      <c r="M154" s="13"/>
      <c r="S154" s="38" t="s">
        <v>1563</v>
      </c>
      <c r="T154" t="s">
        <v>1575</v>
      </c>
      <c r="U154" s="54">
        <v>2050</v>
      </c>
      <c r="V154" s="54">
        <v>2050</v>
      </c>
      <c r="W154" t="s">
        <v>1323</v>
      </c>
      <c r="Z154" s="54">
        <f>5.38+1252.8+5.38+28.98</f>
        <v>1292.5400000000002</v>
      </c>
      <c r="AA154" s="81">
        <f>V154+X154-Z154</f>
        <v>757.45999999999981</v>
      </c>
      <c r="AC154" s="106">
        <v>1</v>
      </c>
      <c r="AD154"/>
    </row>
    <row r="155" spans="1:30" x14ac:dyDescent="0.25">
      <c r="A155" t="s">
        <v>96</v>
      </c>
      <c r="B155" s="41">
        <v>133</v>
      </c>
      <c r="C155" t="s">
        <v>1576</v>
      </c>
      <c r="E155" s="13" t="s">
        <v>1577</v>
      </c>
      <c r="F155" s="13" t="s">
        <v>1578</v>
      </c>
      <c r="G155" t="s">
        <v>1579</v>
      </c>
      <c r="H155" t="s">
        <v>29</v>
      </c>
      <c r="I155" s="13" t="s">
        <v>30</v>
      </c>
      <c r="J155" s="13" t="s">
        <v>103</v>
      </c>
      <c r="K155" t="s">
        <v>38</v>
      </c>
      <c r="L155" s="52" t="s">
        <v>53</v>
      </c>
      <c r="M155" s="13"/>
      <c r="S155" s="38" t="s">
        <v>1580</v>
      </c>
      <c r="U155" s="54">
        <v>2150</v>
      </c>
      <c r="V155" s="54">
        <v>450</v>
      </c>
      <c r="W155" t="s">
        <v>1508</v>
      </c>
      <c r="X155">
        <v>2150</v>
      </c>
      <c r="Y155" t="s">
        <v>1223</v>
      </c>
      <c r="Z155" s="54">
        <f>5.38+1148.74+23.6</f>
        <v>1177.72</v>
      </c>
      <c r="AA155" s="81">
        <f>V155+X155-Z155</f>
        <v>1422.28</v>
      </c>
      <c r="AC155" s="106">
        <f>IF(J155="YES",0,1)</f>
        <v>0</v>
      </c>
      <c r="AD155"/>
    </row>
    <row r="156" spans="1:30" x14ac:dyDescent="0.25">
      <c r="A156" t="s">
        <v>96</v>
      </c>
      <c r="B156" s="41">
        <v>141</v>
      </c>
      <c r="C156" t="s">
        <v>1581</v>
      </c>
      <c r="D156" t="s">
        <v>1582</v>
      </c>
      <c r="E156" s="13" t="s">
        <v>160</v>
      </c>
      <c r="F156" s="13" t="s">
        <v>1583</v>
      </c>
      <c r="G156" t="s">
        <v>1584</v>
      </c>
      <c r="H156" t="s">
        <v>29</v>
      </c>
      <c r="I156" s="13" t="s">
        <v>30</v>
      </c>
      <c r="J156" s="13"/>
      <c r="L156" s="52" t="s">
        <v>53</v>
      </c>
      <c r="M156" s="13"/>
      <c r="S156" s="38" t="s">
        <v>1580</v>
      </c>
      <c r="U156" s="54">
        <v>2100</v>
      </c>
      <c r="V156" s="54">
        <v>450</v>
      </c>
      <c r="W156" t="s">
        <v>1465</v>
      </c>
      <c r="X156">
        <v>1650</v>
      </c>
      <c r="Y156" t="s">
        <v>1555</v>
      </c>
      <c r="Z156" s="54">
        <f>1154.38+11.28+23.6</f>
        <v>1189.26</v>
      </c>
      <c r="AA156" s="81">
        <f>V156+X156-Z156</f>
        <v>910.74</v>
      </c>
      <c r="AC156" s="106">
        <f>IF(J156="YES",0,1)</f>
        <v>1</v>
      </c>
      <c r="AD156"/>
    </row>
    <row r="157" spans="1:30" x14ac:dyDescent="0.25">
      <c r="A157" t="s">
        <v>96</v>
      </c>
      <c r="B157" s="41">
        <v>73</v>
      </c>
      <c r="C157" t="s">
        <v>1585</v>
      </c>
      <c r="D157" t="s">
        <v>1586</v>
      </c>
      <c r="E157" s="13" t="s">
        <v>1149</v>
      </c>
      <c r="F157" s="13" t="s">
        <v>1587</v>
      </c>
      <c r="G157" t="s">
        <v>72</v>
      </c>
      <c r="H157" t="s">
        <v>29</v>
      </c>
      <c r="I157" s="13" t="s">
        <v>30</v>
      </c>
      <c r="J157" s="75"/>
      <c r="K157" t="s">
        <v>31</v>
      </c>
      <c r="L157" s="161">
        <v>45434</v>
      </c>
      <c r="M157" s="13"/>
      <c r="S157" s="38" t="s">
        <v>1588</v>
      </c>
      <c r="T157" t="s">
        <v>1589</v>
      </c>
      <c r="U157" s="54">
        <v>1900</v>
      </c>
      <c r="V157" s="54">
        <v>450</v>
      </c>
      <c r="W157" t="s">
        <v>1590</v>
      </c>
      <c r="X157">
        <v>1450</v>
      </c>
      <c r="Y157" t="s">
        <v>1591</v>
      </c>
      <c r="Z157" s="54">
        <f>1424.2+23.6</f>
        <v>1447.8</v>
      </c>
      <c r="AA157" s="81">
        <f>V157+X157-Z157</f>
        <v>452.20000000000005</v>
      </c>
      <c r="AC157" s="106">
        <f>IF(J157="YES",0,1)</f>
        <v>1</v>
      </c>
      <c r="AD157"/>
    </row>
    <row r="158" spans="1:30" x14ac:dyDescent="0.25">
      <c r="A158" t="s">
        <v>96</v>
      </c>
      <c r="B158" s="41">
        <v>151</v>
      </c>
      <c r="C158" t="s">
        <v>1592</v>
      </c>
      <c r="D158" t="s">
        <v>1593</v>
      </c>
      <c r="E158" s="13" t="s">
        <v>1559</v>
      </c>
      <c r="F158" s="13" t="s">
        <v>1594</v>
      </c>
      <c r="G158" t="s">
        <v>1595</v>
      </c>
      <c r="H158" t="s">
        <v>29</v>
      </c>
      <c r="I158" s="13" t="s">
        <v>30</v>
      </c>
      <c r="J158" s="13"/>
      <c r="K158" t="s">
        <v>38</v>
      </c>
      <c r="L158" s="52">
        <v>45449</v>
      </c>
      <c r="M158" s="13"/>
      <c r="S158" s="38" t="s">
        <v>1588</v>
      </c>
      <c r="T158" t="s">
        <v>1596</v>
      </c>
      <c r="U158" s="54">
        <v>2265</v>
      </c>
      <c r="V158" s="54">
        <v>450</v>
      </c>
      <c r="W158" t="s">
        <v>1559</v>
      </c>
      <c r="X158">
        <v>1815</v>
      </c>
      <c r="Y158" t="s">
        <v>1555</v>
      </c>
      <c r="Z158" s="54">
        <f>1156.75+23.6</f>
        <v>1180.3499999999999</v>
      </c>
      <c r="AA158" s="81">
        <f>V158+X158-Z158</f>
        <v>1084.6500000000001</v>
      </c>
      <c r="AC158" s="106">
        <f>IF(J158="YES",0,1)</f>
        <v>1</v>
      </c>
      <c r="AD158"/>
    </row>
    <row r="159" spans="1:30" x14ac:dyDescent="0.25">
      <c r="A159" t="s">
        <v>96</v>
      </c>
      <c r="B159" s="41">
        <v>32</v>
      </c>
      <c r="C159" t="s">
        <v>1597</v>
      </c>
      <c r="D159" t="s">
        <v>1598</v>
      </c>
      <c r="E159" s="13" t="s">
        <v>1599</v>
      </c>
      <c r="F159" s="13" t="s">
        <v>1600</v>
      </c>
      <c r="G159" t="s">
        <v>1601</v>
      </c>
      <c r="H159" t="s">
        <v>29</v>
      </c>
      <c r="I159" s="13" t="s">
        <v>30</v>
      </c>
      <c r="J159" s="75" t="s">
        <v>103</v>
      </c>
      <c r="K159" t="s">
        <v>1602</v>
      </c>
      <c r="L159" s="161">
        <v>45440</v>
      </c>
      <c r="M159" s="13"/>
      <c r="S159" s="38" t="s">
        <v>1603</v>
      </c>
      <c r="T159" t="s">
        <v>1604</v>
      </c>
      <c r="U159" s="54">
        <v>2050</v>
      </c>
      <c r="V159" s="54">
        <v>1050</v>
      </c>
      <c r="W159" t="s">
        <v>1605</v>
      </c>
      <c r="Z159" s="54">
        <f>1147.97+50.7+28.98</f>
        <v>1227.6500000000001</v>
      </c>
      <c r="AC159" s="106">
        <v>1</v>
      </c>
      <c r="AD159"/>
    </row>
    <row r="160" spans="1:30" x14ac:dyDescent="0.25">
      <c r="A160" t="s">
        <v>96</v>
      </c>
      <c r="B160" s="41">
        <v>147</v>
      </c>
      <c r="C160" t="s">
        <v>1606</v>
      </c>
      <c r="D160" t="s">
        <v>1607</v>
      </c>
      <c r="E160" s="13" t="s">
        <v>1608</v>
      </c>
      <c r="F160" s="13" t="s">
        <v>1609</v>
      </c>
      <c r="G160" t="s">
        <v>1610</v>
      </c>
      <c r="H160" t="s">
        <v>29</v>
      </c>
      <c r="I160" s="13" t="s">
        <v>30</v>
      </c>
      <c r="J160" s="13"/>
      <c r="K160" t="s">
        <v>38</v>
      </c>
      <c r="L160" s="52">
        <v>45449</v>
      </c>
      <c r="M160" s="13"/>
      <c r="S160" s="38" t="s">
        <v>1603</v>
      </c>
      <c r="T160" t="s">
        <v>1611</v>
      </c>
      <c r="U160" s="54">
        <v>2190</v>
      </c>
      <c r="V160" s="54">
        <v>450</v>
      </c>
      <c r="W160" t="s">
        <v>1612</v>
      </c>
      <c r="X160">
        <v>1740</v>
      </c>
      <c r="Y160" t="s">
        <v>1613</v>
      </c>
      <c r="Z160" s="54">
        <f>1486.91+23.6</f>
        <v>1510.51</v>
      </c>
      <c r="AA160" s="81">
        <f t="shared" ref="AA160:AA166" si="9">V160+X160-Z160</f>
        <v>679.49</v>
      </c>
      <c r="AC160" s="106">
        <v>1</v>
      </c>
      <c r="AD160"/>
    </row>
    <row r="161" spans="1:30" x14ac:dyDescent="0.25">
      <c r="A161" t="s">
        <v>96</v>
      </c>
      <c r="B161" s="41">
        <v>156</v>
      </c>
      <c r="C161" t="s">
        <v>1614</v>
      </c>
      <c r="D161" t="s">
        <v>1615</v>
      </c>
      <c r="E161" s="13" t="s">
        <v>1559</v>
      </c>
      <c r="F161" s="13" t="s">
        <v>1616</v>
      </c>
      <c r="G161" t="s">
        <v>1617</v>
      </c>
      <c r="H161" t="s">
        <v>29</v>
      </c>
      <c r="I161" s="13" t="s">
        <v>30</v>
      </c>
      <c r="J161" s="13"/>
      <c r="K161" t="s">
        <v>1618</v>
      </c>
      <c r="L161" s="52">
        <v>45447</v>
      </c>
      <c r="M161" s="13"/>
      <c r="S161" s="38" t="s">
        <v>1619</v>
      </c>
      <c r="T161" t="s">
        <v>1330</v>
      </c>
      <c r="U161" s="54">
        <v>2100</v>
      </c>
      <c r="V161" s="54">
        <v>450</v>
      </c>
      <c r="W161" t="s">
        <v>1620</v>
      </c>
      <c r="X161">
        <v>1650</v>
      </c>
      <c r="Y161" t="s">
        <v>1555</v>
      </c>
      <c r="Z161" s="54">
        <f>1157.6+23.6+21.52+5.38</f>
        <v>1208.0999999999999</v>
      </c>
      <c r="AA161" s="81">
        <f t="shared" si="9"/>
        <v>891.90000000000009</v>
      </c>
      <c r="AC161" s="106">
        <v>1</v>
      </c>
      <c r="AD161"/>
    </row>
    <row r="162" spans="1:30" x14ac:dyDescent="0.25">
      <c r="A162" t="s">
        <v>96</v>
      </c>
      <c r="B162" s="41">
        <v>116</v>
      </c>
      <c r="C162" t="s">
        <v>1621</v>
      </c>
      <c r="D162" t="s">
        <v>1622</v>
      </c>
      <c r="E162" s="52">
        <v>45352</v>
      </c>
      <c r="F162" s="13" t="s">
        <v>1623</v>
      </c>
      <c r="G162" t="s">
        <v>1258</v>
      </c>
      <c r="H162" t="s">
        <v>29</v>
      </c>
      <c r="I162" s="13" t="s">
        <v>30</v>
      </c>
      <c r="J162" s="13" t="s">
        <v>103</v>
      </c>
      <c r="K162" t="s">
        <v>1624</v>
      </c>
      <c r="L162" s="52">
        <v>45447</v>
      </c>
      <c r="M162" s="13"/>
      <c r="S162" s="38" t="s">
        <v>1625</v>
      </c>
      <c r="T162" t="s">
        <v>1626</v>
      </c>
      <c r="U162" s="54">
        <v>2250</v>
      </c>
      <c r="V162" s="54">
        <v>2250</v>
      </c>
      <c r="W162" t="s">
        <v>1342</v>
      </c>
      <c r="Z162" s="54">
        <f>1223.21+28.98</f>
        <v>1252.19</v>
      </c>
      <c r="AA162" s="81">
        <f t="shared" si="9"/>
        <v>997.81</v>
      </c>
      <c r="AC162" s="106">
        <f>IF(J162="YES",0,1)</f>
        <v>0</v>
      </c>
      <c r="AD162"/>
    </row>
    <row r="163" spans="1:30" x14ac:dyDescent="0.25">
      <c r="A163" t="s">
        <v>45</v>
      </c>
      <c r="B163" s="41">
        <v>9258</v>
      </c>
      <c r="C163" t="s">
        <v>1627</v>
      </c>
      <c r="D163" t="s">
        <v>1628</v>
      </c>
      <c r="E163" s="13" t="s">
        <v>1106</v>
      </c>
      <c r="F163" s="13" t="s">
        <v>1629</v>
      </c>
      <c r="G163" t="s">
        <v>65</v>
      </c>
      <c r="H163" t="s">
        <v>29</v>
      </c>
      <c r="I163" s="13" t="s">
        <v>30</v>
      </c>
      <c r="J163" s="75" t="s">
        <v>103</v>
      </c>
      <c r="L163" s="161">
        <v>45449</v>
      </c>
      <c r="M163" s="13"/>
      <c r="S163" s="38" t="s">
        <v>1630</v>
      </c>
      <c r="T163" s="62" t="s">
        <v>1631</v>
      </c>
      <c r="U163" s="54">
        <v>3101</v>
      </c>
      <c r="V163" s="54">
        <v>664</v>
      </c>
      <c r="W163" t="s">
        <v>1632</v>
      </c>
      <c r="X163">
        <f>437+1800</f>
        <v>2237</v>
      </c>
      <c r="Y163" t="s">
        <v>1633</v>
      </c>
      <c r="Z163" s="54">
        <f>23.6+461.1+311.8+1111.44</f>
        <v>1907.94</v>
      </c>
      <c r="AA163" s="81">
        <f t="shared" si="9"/>
        <v>993.06</v>
      </c>
      <c r="AC163" s="106">
        <v>1</v>
      </c>
      <c r="AD163"/>
    </row>
    <row r="164" spans="1:30" x14ac:dyDescent="0.25">
      <c r="A164" t="s">
        <v>96</v>
      </c>
      <c r="B164" s="41">
        <v>112</v>
      </c>
      <c r="C164" t="s">
        <v>1634</v>
      </c>
      <c r="D164" t="s">
        <v>1635</v>
      </c>
      <c r="E164" s="52">
        <v>45344</v>
      </c>
      <c r="F164" s="13" t="s">
        <v>1636</v>
      </c>
      <c r="G164" t="s">
        <v>1637</v>
      </c>
      <c r="H164" t="s">
        <v>29</v>
      </c>
      <c r="I164" s="13" t="s">
        <v>30</v>
      </c>
      <c r="J164" s="13"/>
      <c r="K164" t="s">
        <v>39</v>
      </c>
      <c r="L164" s="52">
        <v>45440</v>
      </c>
      <c r="M164" s="13"/>
      <c r="S164" s="38" t="s">
        <v>1632</v>
      </c>
      <c r="T164" t="s">
        <v>1638</v>
      </c>
      <c r="U164" s="54">
        <v>550</v>
      </c>
      <c r="V164" s="54">
        <v>1685</v>
      </c>
      <c r="W164" s="38">
        <v>45294</v>
      </c>
      <c r="X164">
        <v>2250</v>
      </c>
      <c r="Y164" t="s">
        <v>1639</v>
      </c>
      <c r="Z164" s="54">
        <f>1562.53+461.1+23.6+53.4</f>
        <v>2100.63</v>
      </c>
      <c r="AA164" s="81">
        <f t="shared" si="9"/>
        <v>1834.37</v>
      </c>
      <c r="AC164" s="106">
        <v>1</v>
      </c>
      <c r="AD164"/>
    </row>
    <row r="165" spans="1:30" x14ac:dyDescent="0.25">
      <c r="A165" t="s">
        <v>45</v>
      </c>
      <c r="B165" s="41">
        <v>9288</v>
      </c>
      <c r="C165" t="s">
        <v>1640</v>
      </c>
      <c r="D165" t="s">
        <v>1641</v>
      </c>
      <c r="E165" s="13" t="s">
        <v>1439</v>
      </c>
      <c r="F165" s="13" t="s">
        <v>1642</v>
      </c>
      <c r="G165" t="s">
        <v>591</v>
      </c>
      <c r="H165" t="s">
        <v>29</v>
      </c>
      <c r="I165" s="13" t="s">
        <v>30</v>
      </c>
      <c r="J165" s="13"/>
      <c r="K165" t="s">
        <v>31</v>
      </c>
      <c r="L165" s="52">
        <v>45448</v>
      </c>
      <c r="M165" s="13"/>
      <c r="S165" s="38" t="s">
        <v>1632</v>
      </c>
      <c r="T165" t="s">
        <v>194</v>
      </c>
      <c r="U165" s="54">
        <v>1650</v>
      </c>
      <c r="V165" s="54">
        <v>450</v>
      </c>
      <c r="W165" t="s">
        <v>1643</v>
      </c>
      <c r="X165">
        <v>1200</v>
      </c>
      <c r="Y165" t="s">
        <v>1580</v>
      </c>
      <c r="Z165" s="54">
        <f>5.38+1156.46+23.6</f>
        <v>1185.44</v>
      </c>
      <c r="AA165" s="81">
        <f t="shared" si="9"/>
        <v>464.55999999999995</v>
      </c>
      <c r="AC165" s="106">
        <v>1</v>
      </c>
      <c r="AD165"/>
    </row>
    <row r="166" spans="1:30" x14ac:dyDescent="0.25">
      <c r="A166" t="s">
        <v>96</v>
      </c>
      <c r="B166" s="41">
        <v>168</v>
      </c>
      <c r="C166" t="s">
        <v>1644</v>
      </c>
      <c r="D166" t="s">
        <v>1645</v>
      </c>
      <c r="E166" s="13" t="s">
        <v>1619</v>
      </c>
      <c r="F166" s="13" t="s">
        <v>1646</v>
      </c>
      <c r="G166" t="s">
        <v>1647</v>
      </c>
      <c r="H166" t="s">
        <v>29</v>
      </c>
      <c r="I166" s="13" t="s">
        <v>30</v>
      </c>
      <c r="J166" s="13"/>
      <c r="K166" t="s">
        <v>38</v>
      </c>
      <c r="L166" s="52" t="s">
        <v>53</v>
      </c>
      <c r="M166" s="13"/>
      <c r="S166" s="38" t="s">
        <v>1632</v>
      </c>
      <c r="U166" s="54">
        <v>1800</v>
      </c>
      <c r="V166" s="54">
        <v>450</v>
      </c>
      <c r="W166" t="s">
        <v>1619</v>
      </c>
      <c r="X166">
        <v>1367</v>
      </c>
      <c r="Y166" t="s">
        <v>1648</v>
      </c>
      <c r="Z166" s="54">
        <f>155.92+23.6</f>
        <v>179.51999999999998</v>
      </c>
      <c r="AA166" s="81">
        <f t="shared" si="9"/>
        <v>1637.48</v>
      </c>
      <c r="AC166" s="106">
        <v>1</v>
      </c>
      <c r="AD166"/>
    </row>
    <row r="167" spans="1:30" x14ac:dyDescent="0.25">
      <c r="A167" s="62" t="s">
        <v>45</v>
      </c>
      <c r="B167" s="63">
        <v>9209</v>
      </c>
      <c r="C167" s="62" t="s">
        <v>1649</v>
      </c>
      <c r="D167" s="62"/>
      <c r="E167" s="64">
        <v>45016</v>
      </c>
      <c r="F167" s="65" t="s">
        <v>1650</v>
      </c>
      <c r="G167" s="62" t="s">
        <v>900</v>
      </c>
      <c r="H167" s="62" t="s">
        <v>1135</v>
      </c>
      <c r="I167" s="65" t="s">
        <v>30</v>
      </c>
      <c r="J167" s="62"/>
      <c r="K167" s="62" t="s">
        <v>67</v>
      </c>
      <c r="L167" s="66"/>
      <c r="M167" s="66"/>
      <c r="N167" s="64"/>
      <c r="O167" s="62"/>
      <c r="P167" s="66"/>
      <c r="Q167" s="66"/>
      <c r="R167" s="66"/>
      <c r="S167" s="66" t="s">
        <v>1651</v>
      </c>
      <c r="T167" s="62"/>
      <c r="U167" s="67">
        <v>2835</v>
      </c>
      <c r="V167" s="68">
        <v>930</v>
      </c>
      <c r="W167" s="69">
        <v>45020</v>
      </c>
      <c r="X167" s="68">
        <v>1387</v>
      </c>
      <c r="Y167" s="69">
        <v>45070</v>
      </c>
      <c r="Z167" s="68">
        <f>146.6+291.65+22.43+1181.21</f>
        <v>1641.89</v>
      </c>
      <c r="AA167" s="68">
        <f>U167-Z167</f>
        <v>1193.1099999999999</v>
      </c>
      <c r="AD167"/>
    </row>
    <row r="168" spans="1:30" x14ac:dyDescent="0.25">
      <c r="A168" s="62" t="s">
        <v>96</v>
      </c>
      <c r="B168" s="63">
        <v>152</v>
      </c>
      <c r="C168" s="62" t="s">
        <v>1652</v>
      </c>
      <c r="D168" s="62" t="s">
        <v>1653</v>
      </c>
      <c r="E168" s="65" t="s">
        <v>1654</v>
      </c>
      <c r="F168" s="65" t="s">
        <v>1655</v>
      </c>
      <c r="G168" s="62" t="s">
        <v>1656</v>
      </c>
      <c r="H168" s="62" t="s">
        <v>29</v>
      </c>
      <c r="I168" s="65" t="s">
        <v>30</v>
      </c>
      <c r="J168" s="65" t="s">
        <v>103</v>
      </c>
      <c r="K168" s="62" t="s">
        <v>38</v>
      </c>
      <c r="L168" s="64">
        <v>45470</v>
      </c>
      <c r="M168" s="65"/>
      <c r="N168" s="65"/>
      <c r="O168" s="62"/>
      <c r="P168" s="66"/>
      <c r="Q168" s="66"/>
      <c r="R168" s="66"/>
      <c r="S168" s="66" t="s">
        <v>1657</v>
      </c>
      <c r="T168" s="62" t="s">
        <v>1658</v>
      </c>
      <c r="U168" s="68">
        <v>2340</v>
      </c>
      <c r="V168" s="68">
        <v>450</v>
      </c>
      <c r="W168" s="62" t="s">
        <v>1559</v>
      </c>
      <c r="X168" s="62">
        <v>1890</v>
      </c>
      <c r="Y168" s="62" t="s">
        <v>181</v>
      </c>
      <c r="Z168" s="68">
        <f>1266.38+23.6</f>
        <v>1289.98</v>
      </c>
      <c r="AA168" s="68">
        <f t="shared" ref="AA168:AA188" si="10">V168+X168-Z168</f>
        <v>1050.02</v>
      </c>
      <c r="AD168"/>
    </row>
    <row r="169" spans="1:30" x14ac:dyDescent="0.25">
      <c r="A169" s="62" t="s">
        <v>45</v>
      </c>
      <c r="B169" s="63">
        <v>9286</v>
      </c>
      <c r="C169" s="62" t="s">
        <v>688</v>
      </c>
      <c r="D169" s="62" t="s">
        <v>689</v>
      </c>
      <c r="E169" s="64" t="s">
        <v>1659</v>
      </c>
      <c r="F169" s="65" t="s">
        <v>1660</v>
      </c>
      <c r="G169" s="62" t="s">
        <v>692</v>
      </c>
      <c r="H169" s="62" t="s">
        <v>29</v>
      </c>
      <c r="I169" s="65" t="s">
        <v>30</v>
      </c>
      <c r="J169" s="65" t="s">
        <v>103</v>
      </c>
      <c r="K169" s="62" t="s">
        <v>1002</v>
      </c>
      <c r="L169" s="64">
        <v>45448</v>
      </c>
      <c r="M169" s="65"/>
      <c r="N169" s="65"/>
      <c r="O169" s="62"/>
      <c r="P169" s="66"/>
      <c r="Q169" s="66"/>
      <c r="R169" s="66"/>
      <c r="S169" s="66" t="s">
        <v>1657</v>
      </c>
      <c r="T169" s="62" t="s">
        <v>1661</v>
      </c>
      <c r="U169" s="68">
        <v>1900</v>
      </c>
      <c r="V169" s="68">
        <v>1900</v>
      </c>
      <c r="W169" s="62" t="s">
        <v>1662</v>
      </c>
      <c r="X169" s="62"/>
      <c r="Y169" s="62"/>
      <c r="Z169" s="68">
        <f>1150.81+23.6</f>
        <v>1174.4099999999999</v>
      </c>
      <c r="AA169" s="68">
        <f t="shared" si="10"/>
        <v>725.59000000000015</v>
      </c>
      <c r="AD169"/>
    </row>
    <row r="170" spans="1:30" x14ac:dyDescent="0.25">
      <c r="A170" s="62" t="s">
        <v>96</v>
      </c>
      <c r="B170" s="63">
        <v>101</v>
      </c>
      <c r="C170" s="62" t="s">
        <v>1663</v>
      </c>
      <c r="D170" s="62" t="s">
        <v>1664</v>
      </c>
      <c r="E170" s="64">
        <v>45324</v>
      </c>
      <c r="F170" s="65" t="s">
        <v>1665</v>
      </c>
      <c r="G170" s="62" t="s">
        <v>1666</v>
      </c>
      <c r="H170" s="62" t="s">
        <v>29</v>
      </c>
      <c r="I170" s="65" t="s">
        <v>30</v>
      </c>
      <c r="J170" s="65"/>
      <c r="K170" s="62" t="s">
        <v>129</v>
      </c>
      <c r="L170" s="64">
        <v>45435</v>
      </c>
      <c r="M170" s="65"/>
      <c r="N170" s="65"/>
      <c r="O170" s="62"/>
      <c r="P170" s="66"/>
      <c r="Q170" s="66"/>
      <c r="R170" s="66"/>
      <c r="S170" s="66" t="s">
        <v>1657</v>
      </c>
      <c r="T170" s="62" t="s">
        <v>1667</v>
      </c>
      <c r="U170" s="68">
        <v>10515</v>
      </c>
      <c r="V170" s="68">
        <f>2804+950</f>
        <v>3754</v>
      </c>
      <c r="W170" s="62" t="s">
        <v>1668</v>
      </c>
      <c r="X170" s="62">
        <v>3590</v>
      </c>
      <c r="Y170" s="62" t="s">
        <v>1420</v>
      </c>
      <c r="Z170" s="68">
        <f>461.1+311.75+1445.53+23.6</f>
        <v>2241.98</v>
      </c>
      <c r="AA170" s="68">
        <f t="shared" si="10"/>
        <v>5102.0200000000004</v>
      </c>
      <c r="AD170"/>
    </row>
    <row r="171" spans="1:30" x14ac:dyDescent="0.25">
      <c r="A171" s="62" t="s">
        <v>96</v>
      </c>
      <c r="B171" s="63">
        <v>134</v>
      </c>
      <c r="C171" s="62" t="s">
        <v>1669</v>
      </c>
      <c r="D171" s="62" t="s">
        <v>1670</v>
      </c>
      <c r="E171" s="65" t="s">
        <v>1515</v>
      </c>
      <c r="F171" s="65" t="s">
        <v>1671</v>
      </c>
      <c r="G171" s="62" t="s">
        <v>234</v>
      </c>
      <c r="H171" s="62" t="s">
        <v>29</v>
      </c>
      <c r="I171" s="65" t="s">
        <v>30</v>
      </c>
      <c r="J171" s="65"/>
      <c r="K171" s="62"/>
      <c r="L171" s="64">
        <v>45447</v>
      </c>
      <c r="M171" s="65"/>
      <c r="N171" s="65"/>
      <c r="O171" s="62"/>
      <c r="P171" s="66"/>
      <c r="Q171" s="66"/>
      <c r="R171" s="66"/>
      <c r="S171" s="66" t="s">
        <v>1657</v>
      </c>
      <c r="T171" s="62" t="s">
        <v>1672</v>
      </c>
      <c r="U171" s="68">
        <v>2662</v>
      </c>
      <c r="V171" s="68">
        <v>687</v>
      </c>
      <c r="W171" s="62" t="s">
        <v>1223</v>
      </c>
      <c r="X171" s="62">
        <v>1975</v>
      </c>
      <c r="Y171" s="62" t="s">
        <v>1673</v>
      </c>
      <c r="Z171" s="68">
        <f>311.8+1157.04+23.6</f>
        <v>1492.4399999999998</v>
      </c>
      <c r="AA171" s="68">
        <f t="shared" si="10"/>
        <v>1169.5600000000002</v>
      </c>
      <c r="AD171"/>
    </row>
    <row r="172" spans="1:30" x14ac:dyDescent="0.25">
      <c r="A172" s="62" t="s">
        <v>96</v>
      </c>
      <c r="B172" s="63">
        <v>130</v>
      </c>
      <c r="C172" s="62" t="s">
        <v>1674</v>
      </c>
      <c r="D172" s="62" t="s">
        <v>1675</v>
      </c>
      <c r="E172" s="64">
        <v>45398</v>
      </c>
      <c r="F172" s="65" t="s">
        <v>1676</v>
      </c>
      <c r="G172" s="62" t="s">
        <v>1677</v>
      </c>
      <c r="H172" s="62" t="s">
        <v>29</v>
      </c>
      <c r="I172" s="65" t="s">
        <v>30</v>
      </c>
      <c r="J172" s="65"/>
      <c r="K172" s="62"/>
      <c r="L172" s="64">
        <v>45446</v>
      </c>
      <c r="M172" s="65"/>
      <c r="N172" s="65"/>
      <c r="O172" s="62"/>
      <c r="P172" s="66"/>
      <c r="Q172" s="66"/>
      <c r="R172" s="66"/>
      <c r="S172" s="66" t="s">
        <v>1657</v>
      </c>
      <c r="T172" s="66" t="s">
        <v>1678</v>
      </c>
      <c r="U172" s="68">
        <v>2937</v>
      </c>
      <c r="V172" s="68">
        <v>787</v>
      </c>
      <c r="W172" s="62" t="s">
        <v>1679</v>
      </c>
      <c r="X172" s="62">
        <v>2150</v>
      </c>
      <c r="Y172" s="62" t="s">
        <v>1632</v>
      </c>
      <c r="Z172" s="68">
        <f>311.8+23.6+5.38+1046.44+5.38</f>
        <v>1392.6000000000001</v>
      </c>
      <c r="AA172" s="68">
        <f t="shared" si="10"/>
        <v>1544.3999999999999</v>
      </c>
      <c r="AD172"/>
    </row>
    <row r="173" spans="1:30" x14ac:dyDescent="0.25">
      <c r="A173" s="62" t="s">
        <v>96</v>
      </c>
      <c r="B173" s="63">
        <v>137</v>
      </c>
      <c r="C173" s="62" t="s">
        <v>1680</v>
      </c>
      <c r="D173" s="62" t="s">
        <v>1681</v>
      </c>
      <c r="E173" s="65" t="s">
        <v>152</v>
      </c>
      <c r="F173" s="65" t="s">
        <v>1682</v>
      </c>
      <c r="G173" s="62" t="s">
        <v>1274</v>
      </c>
      <c r="H173" s="62" t="s">
        <v>29</v>
      </c>
      <c r="I173" s="65" t="s">
        <v>30</v>
      </c>
      <c r="J173" s="65" t="s">
        <v>103</v>
      </c>
      <c r="K173" s="62"/>
      <c r="L173" s="64">
        <v>45459</v>
      </c>
      <c r="M173" s="65"/>
      <c r="N173" s="65"/>
      <c r="O173" s="62"/>
      <c r="P173" s="66"/>
      <c r="Q173" s="66"/>
      <c r="R173" s="66"/>
      <c r="S173" s="66" t="s">
        <v>1683</v>
      </c>
      <c r="T173" s="62" t="s">
        <v>1684</v>
      </c>
      <c r="U173" s="68">
        <v>2250</v>
      </c>
      <c r="V173" s="68">
        <v>450</v>
      </c>
      <c r="W173" s="62" t="s">
        <v>152</v>
      </c>
      <c r="X173" s="62">
        <v>1800</v>
      </c>
      <c r="Y173" s="62" t="s">
        <v>1685</v>
      </c>
      <c r="Z173" s="68">
        <f>10.78+1214.19+16.34+23.6</f>
        <v>1264.9099999999999</v>
      </c>
      <c r="AA173" s="68">
        <f t="shared" si="10"/>
        <v>985.09000000000015</v>
      </c>
      <c r="AD173"/>
    </row>
    <row r="174" spans="1:30" x14ac:dyDescent="0.25">
      <c r="A174" s="62" t="s">
        <v>45</v>
      </c>
      <c r="B174" s="63">
        <v>9284</v>
      </c>
      <c r="C174" s="62" t="s">
        <v>1686</v>
      </c>
      <c r="D174" s="62" t="s">
        <v>1687</v>
      </c>
      <c r="E174" s="65" t="s">
        <v>1335</v>
      </c>
      <c r="F174" s="65" t="s">
        <v>1688</v>
      </c>
      <c r="G174" s="62" t="s">
        <v>1689</v>
      </c>
      <c r="H174" s="62" t="s">
        <v>29</v>
      </c>
      <c r="I174" s="65" t="s">
        <v>30</v>
      </c>
      <c r="J174" s="65" t="s">
        <v>103</v>
      </c>
      <c r="K174" s="62" t="s">
        <v>31</v>
      </c>
      <c r="L174" s="64">
        <v>45470</v>
      </c>
      <c r="M174" s="65"/>
      <c r="N174" s="65"/>
      <c r="O174" s="62"/>
      <c r="P174" s="66"/>
      <c r="Q174" s="66"/>
      <c r="R174" s="66"/>
      <c r="S174" s="66" t="s">
        <v>1690</v>
      </c>
      <c r="T174" s="62" t="s">
        <v>1631</v>
      </c>
      <c r="U174" s="68">
        <v>4348</v>
      </c>
      <c r="V174" s="68">
        <f>887+1572</f>
        <v>2459</v>
      </c>
      <c r="W174" s="62" t="s">
        <v>1691</v>
      </c>
      <c r="X174" s="62">
        <v>1113</v>
      </c>
      <c r="Y174" s="62" t="s">
        <v>1532</v>
      </c>
      <c r="Z174" s="68">
        <f>1336.81+675.8+14.9+16.14</f>
        <v>2043.65</v>
      </c>
      <c r="AA174" s="68">
        <f t="shared" si="10"/>
        <v>1528.35</v>
      </c>
      <c r="AD174"/>
    </row>
    <row r="175" spans="1:30" x14ac:dyDescent="0.25">
      <c r="A175" t="s">
        <v>96</v>
      </c>
      <c r="B175" s="41">
        <v>159</v>
      </c>
      <c r="C175" t="s">
        <v>1692</v>
      </c>
      <c r="E175" s="13" t="s">
        <v>1550</v>
      </c>
      <c r="F175" s="13" t="s">
        <v>1693</v>
      </c>
      <c r="G175" t="s">
        <v>1694</v>
      </c>
      <c r="H175" t="s">
        <v>29</v>
      </c>
      <c r="I175" s="13" t="s">
        <v>30</v>
      </c>
      <c r="J175" s="13"/>
      <c r="L175" s="52">
        <v>45470</v>
      </c>
      <c r="M175" s="13"/>
      <c r="S175" s="38" t="s">
        <v>1695</v>
      </c>
      <c r="T175" t="s">
        <v>1696</v>
      </c>
      <c r="U175" s="54">
        <v>2100</v>
      </c>
      <c r="V175" s="54">
        <v>450</v>
      </c>
      <c r="W175" t="s">
        <v>1550</v>
      </c>
      <c r="X175">
        <v>1650</v>
      </c>
      <c r="Y175" t="s">
        <v>1625</v>
      </c>
      <c r="Z175" s="54">
        <f>1597.48+23.6</f>
        <v>1621.08</v>
      </c>
      <c r="AA175" s="81">
        <f t="shared" si="10"/>
        <v>478.92000000000007</v>
      </c>
      <c r="AC175" s="106">
        <f>IF(J175="YES",0,1)</f>
        <v>1</v>
      </c>
      <c r="AD175"/>
    </row>
    <row r="176" spans="1:30" x14ac:dyDescent="0.25">
      <c r="A176" t="s">
        <v>45</v>
      </c>
      <c r="B176" s="41">
        <v>9083</v>
      </c>
      <c r="C176" t="s">
        <v>1697</v>
      </c>
      <c r="D176" t="s">
        <v>1698</v>
      </c>
      <c r="E176" s="52">
        <v>45222</v>
      </c>
      <c r="F176" s="13" t="s">
        <v>1699</v>
      </c>
      <c r="G176" t="s">
        <v>198</v>
      </c>
      <c r="H176" t="s">
        <v>1700</v>
      </c>
      <c r="I176" s="13" t="s">
        <v>30</v>
      </c>
      <c r="J176" s="13" t="s">
        <v>103</v>
      </c>
      <c r="K176" t="s">
        <v>31</v>
      </c>
      <c r="L176" s="161">
        <v>45469</v>
      </c>
      <c r="M176" s="13"/>
      <c r="S176" s="38" t="s">
        <v>1695</v>
      </c>
      <c r="T176" t="s">
        <v>1701</v>
      </c>
      <c r="U176" s="54">
        <v>3292</v>
      </c>
      <c r="V176" s="54">
        <f>437</f>
        <v>437</v>
      </c>
      <c r="W176" t="s">
        <v>1342</v>
      </c>
      <c r="X176">
        <f>1350+218</f>
        <v>1568</v>
      </c>
      <c r="Y176" t="s">
        <v>1603</v>
      </c>
      <c r="Z176" s="54">
        <f>155.3+351.72+1107.18+23.6</f>
        <v>1637.8</v>
      </c>
      <c r="AA176" s="81">
        <f t="shared" si="10"/>
        <v>367.20000000000005</v>
      </c>
      <c r="AC176" s="106">
        <f>IF(J176="YES",0,1)</f>
        <v>0</v>
      </c>
      <c r="AD176"/>
    </row>
    <row r="177" spans="1:30" x14ac:dyDescent="0.25">
      <c r="A177" t="s">
        <v>96</v>
      </c>
      <c r="B177" s="41">
        <v>117</v>
      </c>
      <c r="C177" t="s">
        <v>1702</v>
      </c>
      <c r="D177" t="s">
        <v>1703</v>
      </c>
      <c r="E177" s="52">
        <v>45355</v>
      </c>
      <c r="F177" s="13" t="s">
        <v>1704</v>
      </c>
      <c r="G177" t="s">
        <v>78</v>
      </c>
      <c r="H177" t="s">
        <v>29</v>
      </c>
      <c r="I177" s="13" t="s">
        <v>30</v>
      </c>
      <c r="J177" s="13"/>
      <c r="K177" t="s">
        <v>31</v>
      </c>
      <c r="L177" s="52">
        <v>45468</v>
      </c>
      <c r="M177" s="13"/>
      <c r="S177" s="38" t="s">
        <v>1705</v>
      </c>
      <c r="T177" t="s">
        <v>1706</v>
      </c>
      <c r="U177" s="54">
        <v>2927</v>
      </c>
      <c r="V177" s="54">
        <v>1187</v>
      </c>
      <c r="W177" t="s">
        <v>1662</v>
      </c>
      <c r="X177">
        <v>1740</v>
      </c>
      <c r="Y177" t="s">
        <v>1465</v>
      </c>
      <c r="Z177" s="54">
        <f>311.8+5.38+1155.6+23.6</f>
        <v>1496.3799999999999</v>
      </c>
      <c r="AA177" s="81">
        <f t="shared" si="10"/>
        <v>1430.6200000000001</v>
      </c>
      <c r="AC177" s="106">
        <v>1</v>
      </c>
      <c r="AD177"/>
    </row>
    <row r="178" spans="1:30" x14ac:dyDescent="0.25">
      <c r="A178" t="s">
        <v>45</v>
      </c>
      <c r="B178" s="41">
        <v>9308</v>
      </c>
      <c r="C178" t="s">
        <v>1707</v>
      </c>
      <c r="D178" t="s">
        <v>1708</v>
      </c>
      <c r="E178" s="13" t="s">
        <v>1709</v>
      </c>
      <c r="F178" s="13" t="s">
        <v>1710</v>
      </c>
      <c r="G178" t="s">
        <v>686</v>
      </c>
      <c r="H178" t="s">
        <v>29</v>
      </c>
      <c r="I178" s="13" t="s">
        <v>30</v>
      </c>
      <c r="J178" s="13"/>
      <c r="K178" t="s">
        <v>31</v>
      </c>
      <c r="L178" s="52">
        <v>45470</v>
      </c>
      <c r="M178" s="13"/>
      <c r="S178" s="38" t="s">
        <v>1705</v>
      </c>
      <c r="T178" s="62" t="s">
        <v>1564</v>
      </c>
      <c r="U178" s="54">
        <v>1650</v>
      </c>
      <c r="V178" s="54">
        <v>1650</v>
      </c>
      <c r="W178" t="s">
        <v>1709</v>
      </c>
      <c r="Z178" s="54">
        <f>5.38+1155.43+5.38+23.6+23.6</f>
        <v>1213.3900000000001</v>
      </c>
      <c r="AA178" s="81">
        <f t="shared" si="10"/>
        <v>436.6099999999999</v>
      </c>
      <c r="AC178" s="106">
        <v>1</v>
      </c>
      <c r="AD178"/>
    </row>
    <row r="179" spans="1:30" x14ac:dyDescent="0.25">
      <c r="A179" t="s">
        <v>45</v>
      </c>
      <c r="B179" s="41">
        <v>9293</v>
      </c>
      <c r="C179" t="s">
        <v>1711</v>
      </c>
      <c r="D179" t="s">
        <v>1712</v>
      </c>
      <c r="E179" s="13" t="s">
        <v>1456</v>
      </c>
      <c r="F179" s="13" t="s">
        <v>1713</v>
      </c>
      <c r="G179" t="s">
        <v>50</v>
      </c>
      <c r="H179" t="s">
        <v>40</v>
      </c>
      <c r="I179" s="13" t="s">
        <v>30</v>
      </c>
      <c r="J179" s="13" t="s">
        <v>103</v>
      </c>
      <c r="K179" t="s">
        <v>31</v>
      </c>
      <c r="L179" s="52">
        <v>45470</v>
      </c>
      <c r="M179" s="13"/>
      <c r="S179" s="38" t="s">
        <v>1714</v>
      </c>
      <c r="T179" s="62" t="s">
        <v>1715</v>
      </c>
      <c r="U179" s="54">
        <v>2764</v>
      </c>
      <c r="V179" s="54">
        <f>450+864</f>
        <v>1314</v>
      </c>
      <c r="W179" t="s">
        <v>1508</v>
      </c>
      <c r="X179">
        <v>586</v>
      </c>
      <c r="Y179" t="s">
        <v>1716</v>
      </c>
      <c r="Z179" s="54">
        <f>1147.3+28.98</f>
        <v>1176.28</v>
      </c>
      <c r="AA179" s="81">
        <f t="shared" si="10"/>
        <v>723.72</v>
      </c>
      <c r="AC179" s="106">
        <f>IF(J179="YES",0,1)</f>
        <v>0</v>
      </c>
      <c r="AD179"/>
    </row>
    <row r="180" spans="1:30" x14ac:dyDescent="0.25">
      <c r="A180" t="s">
        <v>96</v>
      </c>
      <c r="B180" s="41">
        <v>86</v>
      </c>
      <c r="C180" t="s">
        <v>1717</v>
      </c>
      <c r="D180" t="s">
        <v>1718</v>
      </c>
      <c r="E180" s="13" t="s">
        <v>1524</v>
      </c>
      <c r="F180" s="13" t="s">
        <v>1719</v>
      </c>
      <c r="G180" t="s">
        <v>1720</v>
      </c>
      <c r="H180" t="s">
        <v>29</v>
      </c>
      <c r="I180" s="13" t="s">
        <v>30</v>
      </c>
      <c r="J180" s="75"/>
      <c r="K180" t="s">
        <v>436</v>
      </c>
      <c r="L180" s="161">
        <v>45470</v>
      </c>
      <c r="M180" s="13"/>
      <c r="S180" s="38" t="s">
        <v>1721</v>
      </c>
      <c r="T180" t="s">
        <v>145</v>
      </c>
      <c r="U180" s="54">
        <v>2964</v>
      </c>
      <c r="V180" s="54">
        <v>1464</v>
      </c>
      <c r="W180" t="s">
        <v>1524</v>
      </c>
      <c r="X180">
        <v>1500</v>
      </c>
      <c r="Y180" t="s">
        <v>1657</v>
      </c>
      <c r="Z180" s="54">
        <f>675.8+1222.4+23.6</f>
        <v>1921.8</v>
      </c>
      <c r="AA180" s="81">
        <f t="shared" si="10"/>
        <v>1042.2</v>
      </c>
      <c r="AC180" s="106">
        <f>IF(J180="YES",0,1)</f>
        <v>1</v>
      </c>
      <c r="AD180"/>
    </row>
    <row r="181" spans="1:30" x14ac:dyDescent="0.25">
      <c r="A181" t="s">
        <v>45</v>
      </c>
      <c r="B181" s="41">
        <v>9298</v>
      </c>
      <c r="C181" t="s">
        <v>1722</v>
      </c>
      <c r="D181" t="s">
        <v>1723</v>
      </c>
      <c r="E181" s="13" t="s">
        <v>167</v>
      </c>
      <c r="F181" s="13" t="s">
        <v>1724</v>
      </c>
      <c r="G181" t="s">
        <v>506</v>
      </c>
      <c r="H181" t="s">
        <v>29</v>
      </c>
      <c r="I181" s="13" t="s">
        <v>34</v>
      </c>
      <c r="J181" s="13"/>
      <c r="K181" t="s">
        <v>31</v>
      </c>
      <c r="L181" s="52">
        <v>45470</v>
      </c>
      <c r="M181" s="13"/>
      <c r="S181" s="38" t="s">
        <v>1725</v>
      </c>
      <c r="T181" s="62" t="s">
        <v>1726</v>
      </c>
      <c r="U181" s="54">
        <v>3494</v>
      </c>
      <c r="V181" s="54">
        <v>1383.3</v>
      </c>
      <c r="W181" t="s">
        <v>1550</v>
      </c>
      <c r="X181">
        <v>1780</v>
      </c>
      <c r="Y181" t="s">
        <v>1727</v>
      </c>
      <c r="Z181" s="54">
        <f>1383.3+2568.29+23.6</f>
        <v>3975.19</v>
      </c>
      <c r="AA181" s="81">
        <f t="shared" si="10"/>
        <v>-811.88999999999987</v>
      </c>
      <c r="AC181" s="106">
        <f>IF(J181="YES",0,1)</f>
        <v>1</v>
      </c>
      <c r="AD181"/>
    </row>
    <row r="182" spans="1:30" x14ac:dyDescent="0.25">
      <c r="A182" t="s">
        <v>96</v>
      </c>
      <c r="B182" s="41">
        <v>109</v>
      </c>
      <c r="C182" t="s">
        <v>1728</v>
      </c>
      <c r="D182" t="s">
        <v>1729</v>
      </c>
      <c r="E182" s="52" t="s">
        <v>1730</v>
      </c>
      <c r="F182" s="13" t="s">
        <v>1731</v>
      </c>
      <c r="G182" t="s">
        <v>50</v>
      </c>
      <c r="H182" t="s">
        <v>29</v>
      </c>
      <c r="I182" s="13" t="s">
        <v>34</v>
      </c>
      <c r="J182" s="13" t="s">
        <v>103</v>
      </c>
      <c r="K182" t="s">
        <v>31</v>
      </c>
      <c r="L182" s="52">
        <v>45470</v>
      </c>
      <c r="M182" s="13"/>
      <c r="S182" s="38" t="s">
        <v>1732</v>
      </c>
      <c r="T182" s="38" t="s">
        <v>1733</v>
      </c>
      <c r="U182" s="54">
        <v>5235</v>
      </c>
      <c r="V182" s="54">
        <f>650+2714</f>
        <v>3364</v>
      </c>
      <c r="W182" t="s">
        <v>1662</v>
      </c>
      <c r="X182">
        <v>1600</v>
      </c>
      <c r="Y182" t="s">
        <v>1716</v>
      </c>
      <c r="Z182" s="54">
        <f>1465.8+675.8+23.6</f>
        <v>2165.1999999999998</v>
      </c>
      <c r="AA182" s="81">
        <f t="shared" si="10"/>
        <v>2798.8</v>
      </c>
      <c r="AC182" s="106">
        <f>IF(J182="YES",0,1)</f>
        <v>0</v>
      </c>
      <c r="AD182"/>
    </row>
    <row r="183" spans="1:30" x14ac:dyDescent="0.25">
      <c r="A183" t="s">
        <v>96</v>
      </c>
      <c r="B183" s="41">
        <v>135</v>
      </c>
      <c r="C183" t="s">
        <v>1734</v>
      </c>
      <c r="D183" t="s">
        <v>1735</v>
      </c>
      <c r="E183" s="13" t="s">
        <v>1736</v>
      </c>
      <c r="F183" s="13" t="s">
        <v>1737</v>
      </c>
      <c r="G183" t="s">
        <v>1738</v>
      </c>
      <c r="H183" t="s">
        <v>29</v>
      </c>
      <c r="I183" s="13" t="s">
        <v>30</v>
      </c>
      <c r="J183" s="13"/>
      <c r="L183" s="52">
        <v>45456</v>
      </c>
      <c r="M183" s="13"/>
      <c r="S183" s="38" t="s">
        <v>1739</v>
      </c>
      <c r="T183" t="s">
        <v>1596</v>
      </c>
      <c r="U183" s="54">
        <v>2250</v>
      </c>
      <c r="V183" s="54">
        <v>450</v>
      </c>
      <c r="W183" t="s">
        <v>1515</v>
      </c>
      <c r="X183">
        <v>1800</v>
      </c>
      <c r="Y183" t="s">
        <v>1740</v>
      </c>
      <c r="Z183" s="54">
        <f>1589.29+5.38+23.6</f>
        <v>1618.27</v>
      </c>
      <c r="AA183" s="81">
        <f t="shared" si="10"/>
        <v>631.73</v>
      </c>
      <c r="AC183" s="106">
        <v>1</v>
      </c>
      <c r="AD183"/>
    </row>
    <row r="184" spans="1:30" x14ac:dyDescent="0.25">
      <c r="A184" t="s">
        <v>96</v>
      </c>
      <c r="B184" s="41">
        <v>84</v>
      </c>
      <c r="C184" t="s">
        <v>1741</v>
      </c>
      <c r="D184" t="s">
        <v>1742</v>
      </c>
      <c r="E184" s="13" t="s">
        <v>133</v>
      </c>
      <c r="F184" s="13" t="s">
        <v>1743</v>
      </c>
      <c r="G184" t="s">
        <v>476</v>
      </c>
      <c r="H184" t="s">
        <v>29</v>
      </c>
      <c r="I184" s="13" t="s">
        <v>30</v>
      </c>
      <c r="J184" s="75" t="s">
        <v>103</v>
      </c>
      <c r="K184" t="s">
        <v>31</v>
      </c>
      <c r="L184" s="161">
        <v>45470</v>
      </c>
      <c r="M184" s="13"/>
      <c r="S184" s="38" t="s">
        <v>1739</v>
      </c>
      <c r="T184" t="s">
        <v>1744</v>
      </c>
      <c r="U184" s="54">
        <v>2687</v>
      </c>
      <c r="V184" s="54">
        <v>1037</v>
      </c>
      <c r="W184" t="s">
        <v>1357</v>
      </c>
      <c r="X184">
        <v>1650</v>
      </c>
      <c r="Y184" t="s">
        <v>1348</v>
      </c>
      <c r="Z184" s="54">
        <f>311.8+1113.46+28.98</f>
        <v>1454.24</v>
      </c>
      <c r="AA184" s="81">
        <f t="shared" si="10"/>
        <v>1232.76</v>
      </c>
      <c r="AC184" s="106">
        <f>IF(J184="YES",0,1)</f>
        <v>0</v>
      </c>
      <c r="AD184"/>
    </row>
    <row r="185" spans="1:30" x14ac:dyDescent="0.25">
      <c r="A185" t="s">
        <v>45</v>
      </c>
      <c r="B185" s="41">
        <v>9277</v>
      </c>
      <c r="C185" t="s">
        <v>1745</v>
      </c>
      <c r="D185" t="s">
        <v>1746</v>
      </c>
      <c r="E185" s="13" t="s">
        <v>1747</v>
      </c>
      <c r="F185" s="13" t="s">
        <v>1748</v>
      </c>
      <c r="G185" t="s">
        <v>860</v>
      </c>
      <c r="H185" t="s">
        <v>29</v>
      </c>
      <c r="I185" s="13" t="s">
        <v>34</v>
      </c>
      <c r="J185" s="75" t="s">
        <v>103</v>
      </c>
      <c r="K185" t="s">
        <v>31</v>
      </c>
      <c r="L185" s="161">
        <v>45470</v>
      </c>
      <c r="M185" s="13"/>
      <c r="S185" s="38" t="s">
        <v>1749</v>
      </c>
      <c r="T185" s="62" t="s">
        <v>1661</v>
      </c>
      <c r="U185" s="54">
        <v>4135</v>
      </c>
      <c r="V185" s="54">
        <v>1314</v>
      </c>
      <c r="W185" t="s">
        <v>1240</v>
      </c>
      <c r="X185">
        <f>986+1500</f>
        <v>2486</v>
      </c>
      <c r="Y185" t="s">
        <v>1750</v>
      </c>
      <c r="Z185" s="54">
        <f>759+675.8+1248.03+23.6</f>
        <v>2706.43</v>
      </c>
      <c r="AA185" s="81">
        <f t="shared" si="10"/>
        <v>1093.5700000000002</v>
      </c>
      <c r="AC185" s="106">
        <v>1</v>
      </c>
      <c r="AD185"/>
    </row>
    <row r="186" spans="1:30" x14ac:dyDescent="0.25">
      <c r="A186" t="s">
        <v>96</v>
      </c>
      <c r="B186" s="41">
        <v>136</v>
      </c>
      <c r="C186" t="s">
        <v>1751</v>
      </c>
      <c r="E186" s="13" t="s">
        <v>152</v>
      </c>
      <c r="F186" s="13" t="s">
        <v>1752</v>
      </c>
      <c r="G186" t="s">
        <v>1753</v>
      </c>
      <c r="H186" t="s">
        <v>29</v>
      </c>
      <c r="I186" s="13" t="s">
        <v>30</v>
      </c>
      <c r="J186" s="13"/>
      <c r="L186" s="52">
        <v>45469</v>
      </c>
      <c r="M186" s="13"/>
      <c r="S186" s="38" t="s">
        <v>1754</v>
      </c>
      <c r="T186" t="s">
        <v>1755</v>
      </c>
      <c r="U186" s="54">
        <v>2100</v>
      </c>
      <c r="V186" s="54">
        <v>450</v>
      </c>
      <c r="W186" t="s">
        <v>1559</v>
      </c>
      <c r="X186">
        <v>1650</v>
      </c>
      <c r="Y186" t="s">
        <v>1705</v>
      </c>
      <c r="Z186" s="54">
        <f>1044.96+25.55+34.36</f>
        <v>1104.8699999999999</v>
      </c>
      <c r="AA186" s="81">
        <f t="shared" si="10"/>
        <v>995.13000000000011</v>
      </c>
      <c r="AC186" s="106">
        <v>1</v>
      </c>
      <c r="AD186"/>
    </row>
    <row r="187" spans="1:30" x14ac:dyDescent="0.25">
      <c r="A187" t="s">
        <v>96</v>
      </c>
      <c r="B187" s="41">
        <v>131</v>
      </c>
      <c r="C187" t="s">
        <v>1756</v>
      </c>
      <c r="D187" t="s">
        <v>1757</v>
      </c>
      <c r="E187" s="13" t="s">
        <v>1758</v>
      </c>
      <c r="F187" s="41" t="s">
        <v>1759</v>
      </c>
      <c r="G187" t="s">
        <v>1760</v>
      </c>
      <c r="H187" t="s">
        <v>29</v>
      </c>
      <c r="I187" s="13" t="s">
        <v>30</v>
      </c>
      <c r="J187" s="13" t="s">
        <v>103</v>
      </c>
      <c r="K187" t="s">
        <v>1761</v>
      </c>
      <c r="L187" s="52">
        <v>45467</v>
      </c>
      <c r="M187" s="13"/>
      <c r="S187" s="38" t="s">
        <v>1754</v>
      </c>
      <c r="T187" t="s">
        <v>1762</v>
      </c>
      <c r="U187" s="54">
        <v>2350</v>
      </c>
      <c r="V187" s="54">
        <v>450</v>
      </c>
      <c r="W187" t="s">
        <v>1439</v>
      </c>
      <c r="X187">
        <v>1900</v>
      </c>
      <c r="Y187" t="s">
        <v>1515</v>
      </c>
      <c r="Z187" s="54">
        <f>16.14+1589.7+5.38+7.26+23.6+50</f>
        <v>1692.0800000000002</v>
      </c>
      <c r="AA187" s="81">
        <f t="shared" si="10"/>
        <v>657.91999999999985</v>
      </c>
      <c r="AC187" s="106">
        <v>1</v>
      </c>
      <c r="AD187"/>
    </row>
    <row r="188" spans="1:30" x14ac:dyDescent="0.25">
      <c r="A188" t="s">
        <v>1763</v>
      </c>
      <c r="B188" s="41">
        <v>52</v>
      </c>
      <c r="C188" t="s">
        <v>1764</v>
      </c>
      <c r="D188" t="s">
        <v>1765</v>
      </c>
      <c r="E188" s="13" t="s">
        <v>1069</v>
      </c>
      <c r="F188" s="13" t="s">
        <v>1766</v>
      </c>
      <c r="G188" t="s">
        <v>347</v>
      </c>
      <c r="H188" t="s">
        <v>29</v>
      </c>
      <c r="I188" s="13" t="s">
        <v>30</v>
      </c>
      <c r="J188" s="75" t="s">
        <v>103</v>
      </c>
      <c r="K188" t="s">
        <v>1002</v>
      </c>
      <c r="L188" s="161">
        <v>45470</v>
      </c>
      <c r="M188" s="13"/>
      <c r="S188" s="38" t="s">
        <v>1754</v>
      </c>
      <c r="T188" t="s">
        <v>1767</v>
      </c>
      <c r="U188" s="54">
        <v>4514</v>
      </c>
      <c r="V188" s="54">
        <v>1464</v>
      </c>
      <c r="W188" t="s">
        <v>1768</v>
      </c>
      <c r="X188">
        <v>1850</v>
      </c>
      <c r="Y188" t="s">
        <v>1379</v>
      </c>
      <c r="Z188" s="54">
        <f>1571.68+675.8+23.6</f>
        <v>2271.08</v>
      </c>
      <c r="AA188" s="81">
        <f t="shared" si="10"/>
        <v>1042.92</v>
      </c>
      <c r="AC188" s="106">
        <v>1</v>
      </c>
      <c r="AD188"/>
    </row>
    <row r="189" spans="1:30" x14ac:dyDescent="0.25">
      <c r="A189" s="72" t="s">
        <v>96</v>
      </c>
      <c r="B189" s="73">
        <v>42</v>
      </c>
      <c r="C189" s="72" t="s">
        <v>1769</v>
      </c>
      <c r="D189" s="72" t="s">
        <v>1770</v>
      </c>
      <c r="E189" s="74">
        <v>45055</v>
      </c>
      <c r="F189" s="75" t="s">
        <v>1771</v>
      </c>
      <c r="G189" s="72" t="s">
        <v>72</v>
      </c>
      <c r="H189" s="72" t="s">
        <v>29</v>
      </c>
      <c r="I189" s="75" t="s">
        <v>34</v>
      </c>
      <c r="J189" s="75"/>
      <c r="K189" s="72" t="s">
        <v>31</v>
      </c>
      <c r="L189" s="160">
        <v>45456</v>
      </c>
      <c r="M189" s="75"/>
      <c r="N189" s="75"/>
      <c r="O189" s="72"/>
      <c r="P189" s="76"/>
      <c r="Q189" s="76"/>
      <c r="R189" s="76"/>
      <c r="S189" s="76" t="s">
        <v>1772</v>
      </c>
      <c r="T189" s="72" t="s">
        <v>1773</v>
      </c>
      <c r="U189" s="81">
        <v>2421</v>
      </c>
      <c r="V189" s="81">
        <f>721+1014+605.98</f>
        <v>2340.98</v>
      </c>
      <c r="W189" s="72" t="s">
        <v>1350</v>
      </c>
      <c r="X189" s="72">
        <f>1700+759</f>
        <v>2459</v>
      </c>
      <c r="Y189" s="72" t="s">
        <v>1774</v>
      </c>
      <c r="Z189" s="81">
        <f>759+5.38+1358.34+5.38+95.5+675.8+23.6</f>
        <v>2922.9999999999995</v>
      </c>
      <c r="AA189" s="72"/>
      <c r="AD189"/>
    </row>
    <row r="190" spans="1:30" x14ac:dyDescent="0.25">
      <c r="A190" t="s">
        <v>96</v>
      </c>
      <c r="B190" s="41">
        <v>119</v>
      </c>
      <c r="C190" t="s">
        <v>1775</v>
      </c>
      <c r="D190" t="s">
        <v>1776</v>
      </c>
      <c r="E190" s="13" t="s">
        <v>1777</v>
      </c>
      <c r="F190" s="13" t="s">
        <v>1778</v>
      </c>
      <c r="G190" t="s">
        <v>1779</v>
      </c>
      <c r="H190" t="s">
        <v>29</v>
      </c>
      <c r="I190" s="13" t="s">
        <v>34</v>
      </c>
      <c r="J190" s="13"/>
      <c r="K190" t="s">
        <v>422</v>
      </c>
      <c r="L190" s="52">
        <v>45469</v>
      </c>
      <c r="M190" s="13"/>
      <c r="S190" s="38" t="s">
        <v>1780</v>
      </c>
      <c r="T190" t="s">
        <v>1514</v>
      </c>
      <c r="U190" s="54">
        <v>4515</v>
      </c>
      <c r="V190" s="54">
        <f>821+1900</f>
        <v>2721</v>
      </c>
      <c r="W190" t="s">
        <v>1555</v>
      </c>
      <c r="X190">
        <v>328</v>
      </c>
      <c r="Y190" t="s">
        <v>1591</v>
      </c>
      <c r="Z190" s="54">
        <f>328+23.6+1300.4+23.6+10.76</f>
        <v>1686.36</v>
      </c>
      <c r="AA190" s="81">
        <f t="shared" ref="AA190:AA195" si="11">V190+X190-Z190</f>
        <v>1362.64</v>
      </c>
      <c r="AC190" s="106">
        <f t="shared" ref="AC190:AC191" si="12">IF(J190="YES",0,1)</f>
        <v>1</v>
      </c>
      <c r="AD190"/>
    </row>
    <row r="191" spans="1:30" x14ac:dyDescent="0.25">
      <c r="A191" t="s">
        <v>96</v>
      </c>
      <c r="B191" s="41">
        <v>157</v>
      </c>
      <c r="C191" t="s">
        <v>1781</v>
      </c>
      <c r="D191" t="s">
        <v>1782</v>
      </c>
      <c r="E191" s="13" t="s">
        <v>1716</v>
      </c>
      <c r="F191" s="13" t="s">
        <v>1783</v>
      </c>
      <c r="G191" t="s">
        <v>366</v>
      </c>
      <c r="H191" t="s">
        <v>29</v>
      </c>
      <c r="I191" s="13" t="s">
        <v>30</v>
      </c>
      <c r="J191" s="13"/>
      <c r="L191" s="52">
        <v>45463</v>
      </c>
      <c r="M191" s="13"/>
      <c r="S191" s="38" t="s">
        <v>1780</v>
      </c>
      <c r="T191" t="s">
        <v>1784</v>
      </c>
      <c r="U191" s="54">
        <v>3237</v>
      </c>
      <c r="V191" s="54">
        <f>450+887</f>
        <v>1337</v>
      </c>
      <c r="W191" t="s">
        <v>1648</v>
      </c>
      <c r="X191">
        <v>1900</v>
      </c>
      <c r="Y191" t="s">
        <v>1785</v>
      </c>
      <c r="Z191" s="54">
        <f>311.8+1227.05+23.6</f>
        <v>1562.4499999999998</v>
      </c>
      <c r="AA191" s="81">
        <f t="shared" si="11"/>
        <v>1674.5500000000002</v>
      </c>
      <c r="AC191" s="106">
        <f t="shared" si="12"/>
        <v>1</v>
      </c>
      <c r="AD191"/>
    </row>
    <row r="192" spans="1:30" x14ac:dyDescent="0.25">
      <c r="A192" t="s">
        <v>96</v>
      </c>
      <c r="B192" s="41">
        <v>90</v>
      </c>
      <c r="C192" t="s">
        <v>1786</v>
      </c>
      <c r="D192" t="s">
        <v>1787</v>
      </c>
      <c r="E192" s="13" t="s">
        <v>1361</v>
      </c>
      <c r="F192" s="13" t="s">
        <v>1788</v>
      </c>
      <c r="G192" t="s">
        <v>241</v>
      </c>
      <c r="H192" t="s">
        <v>29</v>
      </c>
      <c r="I192" s="13" t="s">
        <v>30</v>
      </c>
      <c r="J192" s="75" t="s">
        <v>103</v>
      </c>
      <c r="K192" t="s">
        <v>31</v>
      </c>
      <c r="L192" s="161">
        <v>45470</v>
      </c>
      <c r="M192" s="13"/>
      <c r="S192" s="38" t="s">
        <v>1789</v>
      </c>
      <c r="T192" t="s">
        <v>1790</v>
      </c>
      <c r="U192" s="54">
        <v>2440</v>
      </c>
      <c r="V192" s="54">
        <v>450</v>
      </c>
      <c r="W192" t="s">
        <v>1791</v>
      </c>
      <c r="X192">
        <v>1990</v>
      </c>
      <c r="Y192" t="s">
        <v>1385</v>
      </c>
      <c r="Z192" s="54">
        <f>125.13+1226.5+38.5</f>
        <v>1390.13</v>
      </c>
      <c r="AA192" s="81">
        <f t="shared" si="11"/>
        <v>1049.8699999999999</v>
      </c>
      <c r="AC192" s="106">
        <f>IF(J192="YES",0,1)</f>
        <v>0</v>
      </c>
      <c r="AD192"/>
    </row>
    <row r="193" spans="1:34" x14ac:dyDescent="0.25">
      <c r="A193" t="s">
        <v>45</v>
      </c>
      <c r="B193" s="41">
        <v>9274</v>
      </c>
      <c r="C193" t="s">
        <v>1792</v>
      </c>
      <c r="D193" t="s">
        <v>1793</v>
      </c>
      <c r="E193" s="13" t="s">
        <v>116</v>
      </c>
      <c r="F193" s="13" t="s">
        <v>1794</v>
      </c>
      <c r="G193" t="s">
        <v>58</v>
      </c>
      <c r="H193" t="s">
        <v>29</v>
      </c>
      <c r="I193" s="13" t="s">
        <v>30</v>
      </c>
      <c r="J193" s="75" t="s">
        <v>103</v>
      </c>
      <c r="K193" t="s">
        <v>31</v>
      </c>
      <c r="L193" s="161">
        <v>45470</v>
      </c>
      <c r="M193" s="13"/>
      <c r="S193" s="38" t="s">
        <v>1795</v>
      </c>
      <c r="T193" s="62" t="s">
        <v>1631</v>
      </c>
      <c r="U193" s="54">
        <v>2878.5</v>
      </c>
      <c r="V193" s="54">
        <f>1314+1302</f>
        <v>2616</v>
      </c>
      <c r="W193" t="s">
        <v>1796</v>
      </c>
      <c r="X193">
        <f>214.5+1350</f>
        <v>1564.5</v>
      </c>
      <c r="Y193" t="s">
        <v>1797</v>
      </c>
      <c r="Z193" s="54">
        <f>675.8+38.5+214.7+1279.31+165</f>
        <v>2373.31</v>
      </c>
      <c r="AA193" s="81">
        <f t="shared" si="11"/>
        <v>1807.19</v>
      </c>
      <c r="AC193" s="106">
        <f>IF(J193="YES",0,1)</f>
        <v>0</v>
      </c>
      <c r="AD193"/>
    </row>
    <row r="194" spans="1:34" x14ac:dyDescent="0.25">
      <c r="A194" t="s">
        <v>96</v>
      </c>
      <c r="B194" s="41">
        <v>162</v>
      </c>
      <c r="C194" t="s">
        <v>1798</v>
      </c>
      <c r="D194" t="s">
        <v>1799</v>
      </c>
      <c r="E194" s="13" t="s">
        <v>181</v>
      </c>
      <c r="F194" s="13" t="s">
        <v>1800</v>
      </c>
      <c r="G194" t="s">
        <v>1801</v>
      </c>
      <c r="H194" t="s">
        <v>29</v>
      </c>
      <c r="I194" s="13" t="s">
        <v>30</v>
      </c>
      <c r="J194" s="13"/>
      <c r="L194" s="52">
        <v>45470</v>
      </c>
      <c r="M194" s="13"/>
      <c r="S194" s="38" t="s">
        <v>1802</v>
      </c>
      <c r="T194" t="s">
        <v>1803</v>
      </c>
      <c r="U194" s="54">
        <v>2175</v>
      </c>
      <c r="V194" s="54">
        <v>480</v>
      </c>
      <c r="W194" t="s">
        <v>181</v>
      </c>
      <c r="X194">
        <v>1695</v>
      </c>
      <c r="Y194" t="s">
        <v>1795</v>
      </c>
      <c r="Z194" s="54">
        <f>1160.97+24.31</f>
        <v>1185.28</v>
      </c>
      <c r="AA194" s="81">
        <f t="shared" si="11"/>
        <v>989.72</v>
      </c>
      <c r="AC194" s="106">
        <v>1</v>
      </c>
      <c r="AD194"/>
    </row>
    <row r="195" spans="1:34" x14ac:dyDescent="0.25">
      <c r="A195" t="s">
        <v>96</v>
      </c>
      <c r="B195" s="41">
        <v>94</v>
      </c>
      <c r="C195" t="s">
        <v>1804</v>
      </c>
      <c r="D195" t="s">
        <v>1805</v>
      </c>
      <c r="E195" s="13" t="s">
        <v>1301</v>
      </c>
      <c r="F195" s="13" t="s">
        <v>1806</v>
      </c>
      <c r="G195" t="s">
        <v>1807</v>
      </c>
      <c r="H195" t="s">
        <v>29</v>
      </c>
      <c r="I195" s="13" t="s">
        <v>30</v>
      </c>
      <c r="J195" s="13" t="s">
        <v>103</v>
      </c>
      <c r="K195" t="s">
        <v>1808</v>
      </c>
      <c r="L195" s="52">
        <v>45470</v>
      </c>
      <c r="M195" s="13"/>
      <c r="S195" s="38" t="s">
        <v>1809</v>
      </c>
      <c r="T195" t="s">
        <v>1810</v>
      </c>
      <c r="U195" s="54">
        <v>2440</v>
      </c>
      <c r="V195" s="54">
        <v>2440</v>
      </c>
      <c r="W195" t="s">
        <v>1811</v>
      </c>
      <c r="X195">
        <v>737</v>
      </c>
      <c r="Y195" t="s">
        <v>1812</v>
      </c>
      <c r="Z195" s="54">
        <f>1262.37+311.8+23.6</f>
        <v>1597.7699999999998</v>
      </c>
      <c r="AA195" s="81">
        <f t="shared" si="11"/>
        <v>1579.2300000000002</v>
      </c>
      <c r="AC195" s="106">
        <f>IF(J195="YES",0,1)</f>
        <v>0</v>
      </c>
      <c r="AD195"/>
      <c r="AH195" s="154"/>
    </row>
    <row r="196" spans="1:34" x14ac:dyDescent="0.25">
      <c r="A196" s="62" t="s">
        <v>96</v>
      </c>
      <c r="B196" s="63">
        <v>142</v>
      </c>
      <c r="C196" s="62" t="s">
        <v>1813</v>
      </c>
      <c r="D196" s="62" t="s">
        <v>1814</v>
      </c>
      <c r="E196" s="65" t="s">
        <v>160</v>
      </c>
      <c r="F196" s="65" t="s">
        <v>1815</v>
      </c>
      <c r="G196" s="62" t="s">
        <v>1816</v>
      </c>
      <c r="H196" s="62" t="s">
        <v>29</v>
      </c>
      <c r="I196" s="65" t="s">
        <v>30</v>
      </c>
      <c r="J196" s="65"/>
      <c r="K196" s="62"/>
      <c r="L196" s="64">
        <v>45469</v>
      </c>
      <c r="M196" s="65"/>
      <c r="N196" s="65"/>
      <c r="O196" s="62"/>
      <c r="P196" s="66"/>
      <c r="Q196" s="66"/>
      <c r="R196" s="66"/>
      <c r="S196" s="66" t="s">
        <v>1817</v>
      </c>
      <c r="T196" s="62" t="s">
        <v>1818</v>
      </c>
      <c r="U196" s="68">
        <v>2250</v>
      </c>
      <c r="V196" s="68">
        <f>450+680</f>
        <v>1130</v>
      </c>
      <c r="W196" s="62" t="s">
        <v>1685</v>
      </c>
      <c r="X196" s="62">
        <v>1800</v>
      </c>
      <c r="Y196" s="62" t="s">
        <v>207</v>
      </c>
      <c r="Z196" s="68">
        <f>1160.75+23.6</f>
        <v>1184.3499999999999</v>
      </c>
      <c r="AA196" s="68">
        <f t="shared" ref="AA196" si="13">V196+X196-Z196</f>
        <v>1745.65</v>
      </c>
      <c r="AD196"/>
    </row>
    <row r="197" spans="1:34" x14ac:dyDescent="0.25">
      <c r="A197" t="s">
        <v>96</v>
      </c>
      <c r="B197" s="41">
        <v>25</v>
      </c>
      <c r="C197" t="s">
        <v>1819</v>
      </c>
      <c r="D197" t="s">
        <v>1820</v>
      </c>
      <c r="E197" s="13" t="s">
        <v>1040</v>
      </c>
      <c r="F197" s="13" t="s">
        <v>1821</v>
      </c>
      <c r="G197" t="s">
        <v>536</v>
      </c>
      <c r="H197" t="s">
        <v>29</v>
      </c>
      <c r="I197" s="13" t="s">
        <v>30</v>
      </c>
      <c r="J197" s="75" t="s">
        <v>103</v>
      </c>
      <c r="K197" t="s">
        <v>31</v>
      </c>
      <c r="L197" s="161">
        <v>45467</v>
      </c>
      <c r="M197" s="13"/>
      <c r="S197" s="38" t="s">
        <v>1822</v>
      </c>
      <c r="T197" t="s">
        <v>1823</v>
      </c>
      <c r="U197" s="54">
        <v>2383</v>
      </c>
      <c r="V197" s="54">
        <v>2383</v>
      </c>
      <c r="W197" t="s">
        <v>1824</v>
      </c>
      <c r="Z197" s="54">
        <v>1695.57</v>
      </c>
      <c r="AA197" s="81">
        <f t="shared" ref="AA197:AA226" si="14">V197+X197-Z197</f>
        <v>687.43000000000006</v>
      </c>
      <c r="AC197" s="106">
        <f>IF(J197="YES",0,1)</f>
        <v>0</v>
      </c>
      <c r="AD197"/>
    </row>
    <row r="198" spans="1:34" x14ac:dyDescent="0.25">
      <c r="A198" t="s">
        <v>96</v>
      </c>
      <c r="B198" s="41">
        <v>75</v>
      </c>
      <c r="C198" t="s">
        <v>1825</v>
      </c>
      <c r="D198" t="s">
        <v>1826</v>
      </c>
      <c r="E198" s="13" t="s">
        <v>1149</v>
      </c>
      <c r="F198" s="13" t="s">
        <v>1827</v>
      </c>
      <c r="G198" t="s">
        <v>1828</v>
      </c>
      <c r="H198" t="s">
        <v>29</v>
      </c>
      <c r="I198" s="13" t="s">
        <v>30</v>
      </c>
      <c r="J198" s="75" t="s">
        <v>103</v>
      </c>
      <c r="K198" t="s">
        <v>490</v>
      </c>
      <c r="L198" s="161">
        <v>45440</v>
      </c>
      <c r="M198" s="13"/>
      <c r="S198" s="38" t="s">
        <v>1829</v>
      </c>
      <c r="T198" t="s">
        <v>1830</v>
      </c>
      <c r="U198" s="54">
        <v>2932.5</v>
      </c>
      <c r="X198">
        <v>2200</v>
      </c>
      <c r="Y198" t="s">
        <v>1154</v>
      </c>
      <c r="Z198" s="54">
        <f>23.6+1537.24+23.6</f>
        <v>1584.4399999999998</v>
      </c>
      <c r="AA198" s="81">
        <f t="shared" si="14"/>
        <v>615.56000000000017</v>
      </c>
      <c r="AC198" s="106">
        <f>IF(J198="YES",0,1)</f>
        <v>0</v>
      </c>
      <c r="AD198"/>
    </row>
    <row r="199" spans="1:34" x14ac:dyDescent="0.25">
      <c r="A199" t="s">
        <v>96</v>
      </c>
      <c r="B199" s="41">
        <v>158</v>
      </c>
      <c r="C199" t="s">
        <v>1831</v>
      </c>
      <c r="E199" s="13" t="s">
        <v>1550</v>
      </c>
      <c r="F199" s="13" t="s">
        <v>1832</v>
      </c>
      <c r="G199" t="s">
        <v>1833</v>
      </c>
      <c r="H199" t="s">
        <v>29</v>
      </c>
      <c r="I199" s="13" t="s">
        <v>30</v>
      </c>
      <c r="J199" s="13" t="s">
        <v>103</v>
      </c>
      <c r="L199" s="52">
        <v>45470</v>
      </c>
      <c r="M199" s="13"/>
      <c r="S199" s="38" t="s">
        <v>1834</v>
      </c>
      <c r="T199" t="s">
        <v>1835</v>
      </c>
      <c r="U199" s="54">
        <v>2250</v>
      </c>
      <c r="V199" s="54">
        <v>450</v>
      </c>
      <c r="W199" t="s">
        <v>1550</v>
      </c>
      <c r="X199">
        <v>1800</v>
      </c>
      <c r="Y199" t="s">
        <v>1630</v>
      </c>
      <c r="Z199" s="54">
        <f>1439+23.6</f>
        <v>1462.6</v>
      </c>
      <c r="AA199" s="81">
        <f t="shared" si="14"/>
        <v>787.40000000000009</v>
      </c>
      <c r="AC199" s="106">
        <f>IF(J199="YES",0,1)</f>
        <v>0</v>
      </c>
      <c r="AD199"/>
    </row>
    <row r="200" spans="1:34" x14ac:dyDescent="0.25">
      <c r="A200" t="s">
        <v>45</v>
      </c>
      <c r="B200" s="41">
        <v>9317</v>
      </c>
      <c r="C200" t="s">
        <v>1836</v>
      </c>
      <c r="D200" t="s">
        <v>1837</v>
      </c>
      <c r="E200" s="13" t="s">
        <v>1838</v>
      </c>
      <c r="F200" s="13" t="s">
        <v>1839</v>
      </c>
      <c r="G200" t="s">
        <v>803</v>
      </c>
      <c r="H200" t="s">
        <v>37</v>
      </c>
      <c r="I200" s="13" t="s">
        <v>30</v>
      </c>
      <c r="J200" s="13"/>
      <c r="K200" t="s">
        <v>803</v>
      </c>
      <c r="L200" s="52" t="s">
        <v>53</v>
      </c>
      <c r="M200" s="13"/>
      <c r="S200" s="38" t="s">
        <v>1834</v>
      </c>
      <c r="U200" s="54">
        <v>1655</v>
      </c>
      <c r="V200" s="54">
        <v>1655</v>
      </c>
      <c r="W200" t="s">
        <v>1840</v>
      </c>
      <c r="Z200" s="54">
        <f>24.31+1154.26</f>
        <v>1178.57</v>
      </c>
      <c r="AA200" s="81">
        <f t="shared" si="14"/>
        <v>476.43000000000006</v>
      </c>
      <c r="AC200" s="106">
        <f>IF(J200="YES",0,1)</f>
        <v>1</v>
      </c>
      <c r="AD200"/>
    </row>
    <row r="201" spans="1:34" x14ac:dyDescent="0.25">
      <c r="A201" t="s">
        <v>96</v>
      </c>
      <c r="B201" s="41">
        <v>179</v>
      </c>
      <c r="C201" t="s">
        <v>1841</v>
      </c>
      <c r="D201" t="s">
        <v>1842</v>
      </c>
      <c r="E201" s="13" t="s">
        <v>1705</v>
      </c>
      <c r="F201" s="13" t="s">
        <v>1843</v>
      </c>
      <c r="G201" t="s">
        <v>476</v>
      </c>
      <c r="H201" t="s">
        <v>1181</v>
      </c>
      <c r="I201" s="13" t="s">
        <v>30</v>
      </c>
      <c r="J201" s="13"/>
      <c r="K201" t="s">
        <v>31</v>
      </c>
      <c r="L201" s="52" t="s">
        <v>53</v>
      </c>
      <c r="M201" s="13"/>
      <c r="S201" s="38" t="s">
        <v>1844</v>
      </c>
      <c r="U201" s="54">
        <f>5359-1050</f>
        <v>4309</v>
      </c>
      <c r="V201" s="54">
        <v>450</v>
      </c>
      <c r="W201" t="s">
        <v>1714</v>
      </c>
      <c r="X201">
        <f>874+2000</f>
        <v>2874</v>
      </c>
      <c r="Y201" t="s">
        <v>1795</v>
      </c>
      <c r="Z201" s="54">
        <f>640.4+1414.57+24.31</f>
        <v>2079.2799999999997</v>
      </c>
      <c r="AA201" s="81">
        <f t="shared" si="14"/>
        <v>1244.7200000000003</v>
      </c>
      <c r="AC201" s="106">
        <f>IF(J201="YES",0,1)</f>
        <v>1</v>
      </c>
      <c r="AD201"/>
    </row>
    <row r="202" spans="1:34" x14ac:dyDescent="0.25">
      <c r="A202" t="s">
        <v>96</v>
      </c>
      <c r="B202" s="41">
        <v>154</v>
      </c>
      <c r="C202" t="s">
        <v>1845</v>
      </c>
      <c r="D202" t="s">
        <v>1846</v>
      </c>
      <c r="E202" s="13" t="s">
        <v>174</v>
      </c>
      <c r="F202" s="13" t="s">
        <v>1847</v>
      </c>
      <c r="G202" t="s">
        <v>1848</v>
      </c>
      <c r="H202" t="s">
        <v>29</v>
      </c>
      <c r="I202" s="13" t="s">
        <v>30</v>
      </c>
      <c r="J202" s="13"/>
      <c r="K202" t="s">
        <v>1848</v>
      </c>
      <c r="L202" s="52">
        <v>45469</v>
      </c>
      <c r="M202" s="13"/>
      <c r="S202" s="38" t="s">
        <v>1849</v>
      </c>
      <c r="T202" t="s">
        <v>1850</v>
      </c>
      <c r="U202" s="54">
        <v>3458</v>
      </c>
      <c r="V202" s="54">
        <f>450+1058</f>
        <v>1508</v>
      </c>
      <c r="W202" t="s">
        <v>1223</v>
      </c>
      <c r="X202">
        <f>787+1950</f>
        <v>2737</v>
      </c>
      <c r="Y202" t="s">
        <v>1749</v>
      </c>
      <c r="Z202" s="54">
        <f>1267.76+414+311.8+23.6+15.3</f>
        <v>2032.4599999999998</v>
      </c>
      <c r="AA202" s="81">
        <f t="shared" si="14"/>
        <v>2212.54</v>
      </c>
      <c r="AC202" s="106">
        <v>1</v>
      </c>
      <c r="AD202"/>
    </row>
    <row r="203" spans="1:34" x14ac:dyDescent="0.25">
      <c r="A203" t="s">
        <v>96</v>
      </c>
      <c r="B203" s="41">
        <v>111</v>
      </c>
      <c r="C203" t="s">
        <v>1851</v>
      </c>
      <c r="D203" t="s">
        <v>1852</v>
      </c>
      <c r="E203" s="52" t="s">
        <v>1853</v>
      </c>
      <c r="F203" s="13" t="s">
        <v>1854</v>
      </c>
      <c r="G203" t="s">
        <v>822</v>
      </c>
      <c r="H203" t="s">
        <v>29</v>
      </c>
      <c r="I203" s="13" t="s">
        <v>34</v>
      </c>
      <c r="J203" s="13"/>
      <c r="K203" t="s">
        <v>67</v>
      </c>
      <c r="L203" s="52">
        <v>45463</v>
      </c>
      <c r="M203" s="13"/>
      <c r="S203" s="38" t="s">
        <v>1503</v>
      </c>
      <c r="T203" t="s">
        <v>1855</v>
      </c>
      <c r="U203" s="54">
        <v>5115</v>
      </c>
      <c r="V203" s="54">
        <f>450+1404+950</f>
        <v>2804</v>
      </c>
      <c r="W203" t="s">
        <v>1856</v>
      </c>
      <c r="X203">
        <v>2490</v>
      </c>
      <c r="Y203" t="s">
        <v>1809</v>
      </c>
      <c r="Z203" s="54">
        <f>1302.4+39.5+675.75+23.6</f>
        <v>2041.25</v>
      </c>
      <c r="AA203" s="81">
        <f t="shared" si="14"/>
        <v>3252.75</v>
      </c>
      <c r="AC203" s="106">
        <f>IF(J203="YES",0,1)</f>
        <v>1</v>
      </c>
      <c r="AD203"/>
    </row>
    <row r="204" spans="1:34" x14ac:dyDescent="0.25">
      <c r="A204" t="s">
        <v>96</v>
      </c>
      <c r="B204" s="41">
        <v>132</v>
      </c>
      <c r="C204" t="s">
        <v>1857</v>
      </c>
      <c r="D204" t="s">
        <v>1858</v>
      </c>
      <c r="E204" s="13" t="s">
        <v>1577</v>
      </c>
      <c r="F204" s="13" t="s">
        <v>1859</v>
      </c>
      <c r="G204" t="s">
        <v>459</v>
      </c>
      <c r="H204" t="s">
        <v>29</v>
      </c>
      <c r="I204" s="13" t="s">
        <v>30</v>
      </c>
      <c r="J204" s="13"/>
      <c r="K204" t="s">
        <v>31</v>
      </c>
      <c r="L204" s="52">
        <v>45476</v>
      </c>
      <c r="M204" s="13"/>
      <c r="S204" s="38" t="s">
        <v>1860</v>
      </c>
      <c r="T204" t="s">
        <v>1861</v>
      </c>
      <c r="U204" s="54">
        <v>4857</v>
      </c>
      <c r="V204" s="54">
        <f>450+1824</f>
        <v>2274</v>
      </c>
      <c r="W204" t="s">
        <v>1580</v>
      </c>
      <c r="X204">
        <f>683+1900</f>
        <v>2583</v>
      </c>
      <c r="Y204" t="s">
        <v>1795</v>
      </c>
      <c r="Z204" s="54">
        <f>320.2+1224.72+23.6+351.72</f>
        <v>1920.24</v>
      </c>
      <c r="AA204" s="81">
        <f t="shared" si="14"/>
        <v>2936.76</v>
      </c>
      <c r="AC204" s="106">
        <v>1</v>
      </c>
      <c r="AD204"/>
    </row>
    <row r="205" spans="1:34" x14ac:dyDescent="0.25">
      <c r="A205" t="s">
        <v>96</v>
      </c>
      <c r="B205" s="41">
        <v>85</v>
      </c>
      <c r="C205" t="s">
        <v>1862</v>
      </c>
      <c r="D205" t="s">
        <v>1863</v>
      </c>
      <c r="E205" s="13" t="s">
        <v>1864</v>
      </c>
      <c r="F205" s="13" t="s">
        <v>1865</v>
      </c>
      <c r="G205" t="s">
        <v>1866</v>
      </c>
      <c r="H205" t="s">
        <v>29</v>
      </c>
      <c r="I205" s="13" t="s">
        <v>30</v>
      </c>
      <c r="J205" s="75"/>
      <c r="K205" t="s">
        <v>599</v>
      </c>
      <c r="L205" s="161">
        <v>45470</v>
      </c>
      <c r="M205" s="13"/>
      <c r="S205" s="38" t="s">
        <v>1867</v>
      </c>
      <c r="T205" t="s">
        <v>1868</v>
      </c>
      <c r="U205" s="54">
        <v>5051</v>
      </c>
      <c r="V205" s="54">
        <f>450+1014+1350</f>
        <v>2814</v>
      </c>
      <c r="W205" t="s">
        <v>1396</v>
      </c>
      <c r="X205">
        <f>1650+467</f>
        <v>2117</v>
      </c>
      <c r="Y205" t="s">
        <v>1780</v>
      </c>
      <c r="Z205" s="54">
        <f>750+1511.29+16.14+461.1+320.25+200+23.6</f>
        <v>3282.3799999999997</v>
      </c>
      <c r="AA205" s="81">
        <f t="shared" si="14"/>
        <v>1648.6200000000003</v>
      </c>
      <c r="AC205" s="106">
        <v>1</v>
      </c>
      <c r="AD205"/>
    </row>
    <row r="206" spans="1:34" x14ac:dyDescent="0.25">
      <c r="A206" t="s">
        <v>96</v>
      </c>
      <c r="B206" s="41">
        <v>110</v>
      </c>
      <c r="C206" t="s">
        <v>1869</v>
      </c>
      <c r="D206" t="s">
        <v>1870</v>
      </c>
      <c r="E206" s="52">
        <v>45330</v>
      </c>
      <c r="F206" s="13" t="s">
        <v>1871</v>
      </c>
      <c r="G206" t="s">
        <v>1872</v>
      </c>
      <c r="H206" t="s">
        <v>29</v>
      </c>
      <c r="I206" s="13" t="s">
        <v>30</v>
      </c>
      <c r="J206" s="13"/>
      <c r="K206" t="s">
        <v>1230</v>
      </c>
      <c r="L206" s="52">
        <v>45504</v>
      </c>
      <c r="M206" s="13"/>
      <c r="S206" s="38" t="s">
        <v>1867</v>
      </c>
      <c r="T206" t="s">
        <v>1873</v>
      </c>
      <c r="U206" s="54">
        <f>2540+1404</f>
        <v>3944</v>
      </c>
      <c r="V206" s="54">
        <f>530+1404</f>
        <v>1934</v>
      </c>
      <c r="W206" s="38">
        <v>45569</v>
      </c>
      <c r="X206">
        <v>2090</v>
      </c>
      <c r="Y206" t="s">
        <v>1874</v>
      </c>
      <c r="Z206" s="54">
        <f>675.75+1299.85+23.6+23.6</f>
        <v>2022.7999999999997</v>
      </c>
      <c r="AA206" s="81">
        <f t="shared" si="14"/>
        <v>2001.2000000000003</v>
      </c>
      <c r="AC206" s="106">
        <v>1</v>
      </c>
      <c r="AD206"/>
    </row>
    <row r="207" spans="1:34" x14ac:dyDescent="0.25">
      <c r="A207" s="62" t="s">
        <v>45</v>
      </c>
      <c r="B207" s="63">
        <v>9323</v>
      </c>
      <c r="C207" s="62" t="s">
        <v>1875</v>
      </c>
      <c r="D207" s="62" t="s">
        <v>1876</v>
      </c>
      <c r="E207" s="65" t="s">
        <v>1877</v>
      </c>
      <c r="F207" s="65" t="s">
        <v>1878</v>
      </c>
      <c r="G207" s="62" t="s">
        <v>860</v>
      </c>
      <c r="H207" s="62" t="s">
        <v>29</v>
      </c>
      <c r="I207" s="65" t="s">
        <v>30</v>
      </c>
      <c r="J207" s="65"/>
      <c r="K207" s="62" t="s">
        <v>31</v>
      </c>
      <c r="L207" s="64" t="s">
        <v>53</v>
      </c>
      <c r="M207" s="65"/>
      <c r="N207" s="65"/>
      <c r="O207" s="62"/>
      <c r="P207" s="66"/>
      <c r="Q207" s="66"/>
      <c r="R207" s="66"/>
      <c r="S207" s="66" t="s">
        <v>1879</v>
      </c>
      <c r="T207" s="62"/>
      <c r="U207" s="68">
        <v>1805</v>
      </c>
      <c r="V207" s="68">
        <v>460</v>
      </c>
      <c r="W207" s="62" t="s">
        <v>1809</v>
      </c>
      <c r="X207" s="62">
        <v>1345</v>
      </c>
      <c r="Y207" s="62" t="s">
        <v>1880</v>
      </c>
      <c r="Z207" s="68">
        <f>1116.73+24.31</f>
        <v>1141.04</v>
      </c>
      <c r="AA207" s="68">
        <f t="shared" si="14"/>
        <v>663.96</v>
      </c>
      <c r="AD207"/>
    </row>
    <row r="208" spans="1:34" x14ac:dyDescent="0.25">
      <c r="A208" s="72" t="s">
        <v>96</v>
      </c>
      <c r="B208" s="73">
        <v>72</v>
      </c>
      <c r="C208" s="72" t="s">
        <v>1881</v>
      </c>
      <c r="D208" s="72" t="s">
        <v>1882</v>
      </c>
      <c r="E208" s="75" t="s">
        <v>1327</v>
      </c>
      <c r="F208" s="75" t="s">
        <v>1883</v>
      </c>
      <c r="G208" s="72" t="s">
        <v>1828</v>
      </c>
      <c r="H208" s="72" t="s">
        <v>29</v>
      </c>
      <c r="I208" s="75" t="s">
        <v>34</v>
      </c>
      <c r="J208" s="75"/>
      <c r="K208" s="72" t="s">
        <v>1520</v>
      </c>
      <c r="L208" s="160">
        <v>45470</v>
      </c>
      <c r="M208" s="75"/>
      <c r="N208" s="75"/>
      <c r="O208" s="72"/>
      <c r="P208" s="76"/>
      <c r="Q208" s="76"/>
      <c r="R208" s="76"/>
      <c r="S208" s="76" t="s">
        <v>1884</v>
      </c>
      <c r="T208" s="72" t="s">
        <v>1885</v>
      </c>
      <c r="U208" s="81">
        <v>5343</v>
      </c>
      <c r="V208" s="81">
        <f>3164</f>
        <v>3164</v>
      </c>
      <c r="W208" s="72" t="s">
        <v>1145</v>
      </c>
      <c r="X208" s="72">
        <f>708+271</f>
        <v>979</v>
      </c>
      <c r="Y208" s="72" t="s">
        <v>1886</v>
      </c>
      <c r="Z208" s="81">
        <f>1386.75+200+1589.81+23.6+7.64</f>
        <v>3207.7999999999997</v>
      </c>
      <c r="AA208" s="81">
        <f t="shared" si="14"/>
        <v>935.20000000000027</v>
      </c>
      <c r="AD208"/>
    </row>
    <row r="209" spans="1:30" x14ac:dyDescent="0.25">
      <c r="A209" s="62" t="s">
        <v>1887</v>
      </c>
      <c r="B209" s="63">
        <v>188</v>
      </c>
      <c r="C209" s="62" t="s">
        <v>1888</v>
      </c>
      <c r="D209" s="62" t="s">
        <v>1889</v>
      </c>
      <c r="E209" s="65" t="s">
        <v>1780</v>
      </c>
      <c r="F209" s="65" t="s">
        <v>1890</v>
      </c>
      <c r="G209" s="62" t="s">
        <v>591</v>
      </c>
      <c r="H209" s="62" t="s">
        <v>29</v>
      </c>
      <c r="I209" s="65" t="s">
        <v>30</v>
      </c>
      <c r="J209" s="65"/>
      <c r="K209" s="62" t="s">
        <v>31</v>
      </c>
      <c r="L209" s="64" t="s">
        <v>53</v>
      </c>
      <c r="M209" s="65"/>
      <c r="N209" s="65"/>
      <c r="O209" s="62"/>
      <c r="P209" s="66"/>
      <c r="Q209" s="66"/>
      <c r="R209" s="66"/>
      <c r="S209" s="66" t="s">
        <v>1891</v>
      </c>
      <c r="T209" s="62"/>
      <c r="U209" s="68">
        <v>3985</v>
      </c>
      <c r="V209" s="68">
        <f>471</f>
        <v>471</v>
      </c>
      <c r="W209" s="62" t="s">
        <v>1780</v>
      </c>
      <c r="X209" s="62">
        <f>371+1458</f>
        <v>1829</v>
      </c>
      <c r="Y209" s="62" t="s">
        <v>1605</v>
      </c>
      <c r="Z209" s="68">
        <f>11.2+1291.72+15.3+24.31</f>
        <v>1342.53</v>
      </c>
      <c r="AA209" s="68">
        <f t="shared" si="14"/>
        <v>957.47</v>
      </c>
      <c r="AD209"/>
    </row>
    <row r="210" spans="1:30" x14ac:dyDescent="0.25">
      <c r="A210" t="s">
        <v>45</v>
      </c>
      <c r="B210" s="41">
        <v>9287</v>
      </c>
      <c r="C210" t="s">
        <v>1892</v>
      </c>
      <c r="D210" t="s">
        <v>1893</v>
      </c>
      <c r="E210" s="13" t="s">
        <v>1310</v>
      </c>
      <c r="F210" s="13" t="s">
        <v>1894</v>
      </c>
      <c r="G210" t="s">
        <v>747</v>
      </c>
      <c r="H210" t="s">
        <v>29</v>
      </c>
      <c r="I210" s="65" t="s">
        <v>30</v>
      </c>
      <c r="J210" s="13"/>
      <c r="K210" t="s">
        <v>31</v>
      </c>
      <c r="L210" s="52">
        <v>45467</v>
      </c>
      <c r="M210" s="13"/>
      <c r="S210" s="38" t="s">
        <v>1895</v>
      </c>
      <c r="T210" s="62" t="s">
        <v>1896</v>
      </c>
      <c r="U210" s="54">
        <v>2885</v>
      </c>
      <c r="V210" s="54">
        <f>1314+437</f>
        <v>1751</v>
      </c>
      <c r="W210" t="s">
        <v>1532</v>
      </c>
      <c r="X210">
        <f>91+1450</f>
        <v>1541</v>
      </c>
      <c r="Y210" t="s">
        <v>1879</v>
      </c>
      <c r="Z210" s="54">
        <f>65.3+1157.24+65.3+694+23.6</f>
        <v>2005.4399999999998</v>
      </c>
      <c r="AA210" s="81">
        <f t="shared" si="14"/>
        <v>1286.5600000000002</v>
      </c>
      <c r="AC210" s="106">
        <f>IF(J210="YES",0,1)</f>
        <v>1</v>
      </c>
      <c r="AD210"/>
    </row>
    <row r="211" spans="1:30" x14ac:dyDescent="0.25">
      <c r="A211" t="s">
        <v>96</v>
      </c>
      <c r="B211" s="41">
        <v>194</v>
      </c>
      <c r="C211" t="s">
        <v>1897</v>
      </c>
      <c r="D211" t="s">
        <v>1898</v>
      </c>
      <c r="E211" s="13" t="s">
        <v>1899</v>
      </c>
      <c r="F211" s="13" t="s">
        <v>1900</v>
      </c>
      <c r="G211" t="s">
        <v>1901</v>
      </c>
      <c r="H211" t="s">
        <v>29</v>
      </c>
      <c r="I211" s="65" t="s">
        <v>30</v>
      </c>
      <c r="J211" s="13"/>
      <c r="K211" t="s">
        <v>1902</v>
      </c>
      <c r="L211" s="52" t="s">
        <v>53</v>
      </c>
      <c r="M211" s="13"/>
      <c r="S211" s="38" t="s">
        <v>1903</v>
      </c>
      <c r="U211" s="54">
        <f>2155+646</f>
        <v>2801</v>
      </c>
      <c r="V211" s="54">
        <v>512</v>
      </c>
      <c r="W211" t="s">
        <v>1904</v>
      </c>
      <c r="X211">
        <v>1643</v>
      </c>
      <c r="Y211" t="s">
        <v>1822</v>
      </c>
      <c r="Z211" s="54">
        <f>1293.39+24.31</f>
        <v>1317.7</v>
      </c>
      <c r="AA211" s="81">
        <f t="shared" si="14"/>
        <v>837.3</v>
      </c>
      <c r="AC211" s="106">
        <f>IF(J211="YES",0,1)</f>
        <v>1</v>
      </c>
      <c r="AD211"/>
    </row>
    <row r="212" spans="1:30" x14ac:dyDescent="0.25">
      <c r="A212" t="s">
        <v>45</v>
      </c>
      <c r="B212" s="41">
        <v>9318</v>
      </c>
      <c r="C212" t="s">
        <v>1905</v>
      </c>
      <c r="D212" t="s">
        <v>1906</v>
      </c>
      <c r="E212" s="52">
        <v>45512</v>
      </c>
      <c r="F212" s="13" t="s">
        <v>1907</v>
      </c>
      <c r="G212" t="s">
        <v>840</v>
      </c>
      <c r="H212" t="s">
        <v>37</v>
      </c>
      <c r="I212" s="13" t="s">
        <v>30</v>
      </c>
      <c r="J212" s="13"/>
      <c r="K212" t="s">
        <v>31</v>
      </c>
      <c r="L212" s="52">
        <v>45511</v>
      </c>
      <c r="M212" s="13"/>
      <c r="S212" s="38" t="s">
        <v>1768</v>
      </c>
      <c r="T212" t="s">
        <v>1908</v>
      </c>
      <c r="U212" s="54">
        <v>2640</v>
      </c>
      <c r="V212" s="54">
        <v>445</v>
      </c>
      <c r="W212" t="s">
        <v>1909</v>
      </c>
      <c r="X212">
        <v>1210</v>
      </c>
      <c r="Y212" t="s">
        <v>1884</v>
      </c>
      <c r="Z212" s="54">
        <f>5.6+1155.65+24.31</f>
        <v>1185.56</v>
      </c>
      <c r="AA212" s="81">
        <f t="shared" si="14"/>
        <v>469.44000000000005</v>
      </c>
      <c r="AC212" s="106">
        <v>1</v>
      </c>
      <c r="AD212"/>
    </row>
    <row r="213" spans="1:30" x14ac:dyDescent="0.25">
      <c r="A213" t="s">
        <v>96</v>
      </c>
      <c r="B213" s="41">
        <v>185</v>
      </c>
      <c r="C213" t="s">
        <v>1910</v>
      </c>
      <c r="D213" t="s">
        <v>1911</v>
      </c>
      <c r="E213" s="13" t="s">
        <v>1838</v>
      </c>
      <c r="F213" s="13" t="s">
        <v>1912</v>
      </c>
      <c r="G213" t="s">
        <v>1329</v>
      </c>
      <c r="H213" t="s">
        <v>29</v>
      </c>
      <c r="I213" s="13" t="s">
        <v>34</v>
      </c>
      <c r="J213" s="13"/>
      <c r="K213" t="s">
        <v>1002</v>
      </c>
      <c r="L213" s="52" t="s">
        <v>53</v>
      </c>
      <c r="M213" s="13"/>
      <c r="S213" s="38" t="s">
        <v>1768</v>
      </c>
      <c r="U213" s="54">
        <f>1855+1235</f>
        <v>3090</v>
      </c>
      <c r="V213" s="54">
        <f>200+511</f>
        <v>711</v>
      </c>
      <c r="W213" t="s">
        <v>1909</v>
      </c>
      <c r="X213">
        <v>1344</v>
      </c>
      <c r="Y213" t="s">
        <v>1913</v>
      </c>
      <c r="Z213" s="54">
        <f>920.67+167+320.2+24.31</f>
        <v>1432.18</v>
      </c>
      <c r="AA213" s="81">
        <f t="shared" si="14"/>
        <v>622.81999999999994</v>
      </c>
      <c r="AC213" s="106">
        <v>1</v>
      </c>
      <c r="AD213"/>
    </row>
    <row r="214" spans="1:30" x14ac:dyDescent="0.25">
      <c r="A214" t="s">
        <v>96</v>
      </c>
      <c r="B214" s="41">
        <v>166</v>
      </c>
      <c r="C214" t="s">
        <v>1914</v>
      </c>
      <c r="D214" t="s">
        <v>1915</v>
      </c>
      <c r="E214" s="52" t="s">
        <v>189</v>
      </c>
      <c r="F214" s="13" t="s">
        <v>1916</v>
      </c>
      <c r="G214" t="s">
        <v>1917</v>
      </c>
      <c r="H214" t="s">
        <v>29</v>
      </c>
      <c r="I214" s="13" t="s">
        <v>30</v>
      </c>
      <c r="J214" s="13"/>
      <c r="K214" t="s">
        <v>490</v>
      </c>
      <c r="L214" s="52">
        <v>45464</v>
      </c>
      <c r="M214" s="13"/>
      <c r="S214" s="38" t="s">
        <v>1768</v>
      </c>
      <c r="T214" t="s">
        <v>1918</v>
      </c>
      <c r="U214" s="54">
        <v>2050</v>
      </c>
      <c r="V214" s="54">
        <f>455+587</f>
        <v>1042</v>
      </c>
      <c r="W214" t="s">
        <v>1630</v>
      </c>
      <c r="X214">
        <v>1008</v>
      </c>
      <c r="Y214" t="s">
        <v>1919</v>
      </c>
      <c r="Z214" s="54">
        <f>311.8+1224.77+23.6+5.38</f>
        <v>1565.55</v>
      </c>
      <c r="AA214" s="81">
        <f t="shared" si="14"/>
        <v>484.45000000000005</v>
      </c>
      <c r="AC214" s="106">
        <f>IF(J214="YES",0,1)</f>
        <v>1</v>
      </c>
      <c r="AD214"/>
    </row>
    <row r="215" spans="1:30" x14ac:dyDescent="0.25">
      <c r="A215" t="s">
        <v>96</v>
      </c>
      <c r="B215" s="41">
        <v>153</v>
      </c>
      <c r="C215" t="s">
        <v>1920</v>
      </c>
      <c r="D215" t="s">
        <v>1921</v>
      </c>
      <c r="E215" s="13" t="s">
        <v>174</v>
      </c>
      <c r="F215" s="13" t="s">
        <v>1922</v>
      </c>
      <c r="G215" t="s">
        <v>1923</v>
      </c>
      <c r="H215" t="s">
        <v>29</v>
      </c>
      <c r="I215" s="13" t="s">
        <v>34</v>
      </c>
      <c r="J215" s="13"/>
      <c r="K215" t="s">
        <v>1924</v>
      </c>
      <c r="L215" s="52">
        <v>45462</v>
      </c>
      <c r="M215" s="13"/>
      <c r="S215" s="38" t="s">
        <v>1925</v>
      </c>
      <c r="T215" t="s">
        <v>1926</v>
      </c>
      <c r="U215" s="54">
        <v>3984</v>
      </c>
      <c r="V215" s="54">
        <f>450+1664</f>
        <v>2114</v>
      </c>
      <c r="W215" t="s">
        <v>1927</v>
      </c>
      <c r="X215">
        <v>862.7</v>
      </c>
      <c r="Y215" t="s">
        <v>1904</v>
      </c>
      <c r="Z215" s="54">
        <f>1232.3+1107.3+1357.41-1107.3+23.6+5.38</f>
        <v>2618.69</v>
      </c>
      <c r="AA215" s="81">
        <f t="shared" si="14"/>
        <v>358.00999999999976</v>
      </c>
      <c r="AC215" s="106">
        <v>1</v>
      </c>
      <c r="AD215"/>
    </row>
    <row r="216" spans="1:30" x14ac:dyDescent="0.25">
      <c r="A216" t="s">
        <v>96</v>
      </c>
      <c r="B216" s="41">
        <v>163</v>
      </c>
      <c r="C216" t="s">
        <v>1928</v>
      </c>
      <c r="D216" t="s">
        <v>1929</v>
      </c>
      <c r="E216" s="13" t="s">
        <v>189</v>
      </c>
      <c r="F216" s="13" t="s">
        <v>1930</v>
      </c>
      <c r="G216" t="s">
        <v>1931</v>
      </c>
      <c r="H216" t="s">
        <v>29</v>
      </c>
      <c r="I216" s="13" t="s">
        <v>34</v>
      </c>
      <c r="J216" s="13"/>
      <c r="K216" t="s">
        <v>1230</v>
      </c>
      <c r="L216" s="52">
        <v>45469</v>
      </c>
      <c r="M216" s="13"/>
      <c r="S216" s="38" t="s">
        <v>1932</v>
      </c>
      <c r="T216" t="s">
        <v>1933</v>
      </c>
      <c r="U216" s="54">
        <v>3314</v>
      </c>
      <c r="V216" s="54">
        <f>440+1014</f>
        <v>1454</v>
      </c>
      <c r="W216" t="s">
        <v>1934</v>
      </c>
      <c r="X216">
        <v>1860</v>
      </c>
      <c r="Y216" t="s">
        <v>1849</v>
      </c>
      <c r="Z216" s="54">
        <f>694+1459.09+23.6</f>
        <v>2176.69</v>
      </c>
      <c r="AA216" s="81">
        <f t="shared" si="14"/>
        <v>1137.31</v>
      </c>
      <c r="AC216" s="106">
        <v>1</v>
      </c>
      <c r="AD216"/>
    </row>
    <row r="217" spans="1:30" x14ac:dyDescent="0.25">
      <c r="A217" t="s">
        <v>96</v>
      </c>
      <c r="B217" s="41">
        <v>190</v>
      </c>
      <c r="C217" t="s">
        <v>1935</v>
      </c>
      <c r="D217" t="s">
        <v>1936</v>
      </c>
      <c r="E217" s="13" t="s">
        <v>1795</v>
      </c>
      <c r="F217" s="13" t="s">
        <v>1937</v>
      </c>
      <c r="G217" t="s">
        <v>1938</v>
      </c>
      <c r="H217" t="s">
        <v>29</v>
      </c>
      <c r="I217" s="13" t="s">
        <v>34</v>
      </c>
      <c r="J217" s="13"/>
      <c r="K217" t="s">
        <v>1939</v>
      </c>
      <c r="L217" s="52" t="s">
        <v>53</v>
      </c>
      <c r="M217" s="13"/>
      <c r="S217" s="38" t="s">
        <v>1932</v>
      </c>
      <c r="U217" s="54" t="s">
        <v>1940</v>
      </c>
      <c r="V217" s="54">
        <v>344.5</v>
      </c>
      <c r="W217" t="s">
        <v>1795</v>
      </c>
      <c r="Z217" s="54">
        <v>265</v>
      </c>
      <c r="AA217" s="81">
        <f t="shared" si="14"/>
        <v>79.5</v>
      </c>
      <c r="AC217" s="106">
        <v>1</v>
      </c>
      <c r="AD217"/>
    </row>
    <row r="218" spans="1:30" x14ac:dyDescent="0.25">
      <c r="A218" t="s">
        <v>96</v>
      </c>
      <c r="B218" s="41">
        <v>196</v>
      </c>
      <c r="C218" t="s">
        <v>1941</v>
      </c>
      <c r="D218" t="s">
        <v>1942</v>
      </c>
      <c r="E218" s="13" t="s">
        <v>1943</v>
      </c>
      <c r="F218" s="13" t="s">
        <v>1944</v>
      </c>
      <c r="G218" t="s">
        <v>1816</v>
      </c>
      <c r="H218" t="s">
        <v>29</v>
      </c>
      <c r="I218" s="13" t="s">
        <v>30</v>
      </c>
      <c r="J218" s="13"/>
      <c r="L218" s="52" t="s">
        <v>53</v>
      </c>
      <c r="M218" s="13"/>
      <c r="S218" s="38" t="s">
        <v>1945</v>
      </c>
      <c r="U218" s="54">
        <v>2505</v>
      </c>
      <c r="V218" s="54">
        <f>434+646</f>
        <v>1080</v>
      </c>
      <c r="W218" t="s">
        <v>1879</v>
      </c>
      <c r="X218">
        <f>2655-434</f>
        <v>2221</v>
      </c>
      <c r="Y218" t="s">
        <v>1925</v>
      </c>
      <c r="Z218" s="54">
        <f>320.2+1715.12+29.91</f>
        <v>2065.23</v>
      </c>
      <c r="AA218" s="81">
        <f t="shared" si="14"/>
        <v>1235.77</v>
      </c>
      <c r="AC218" s="106">
        <v>1</v>
      </c>
      <c r="AD218"/>
    </row>
    <row r="219" spans="1:30" x14ac:dyDescent="0.25">
      <c r="A219" s="62" t="s">
        <v>96</v>
      </c>
      <c r="B219" s="63">
        <v>200</v>
      </c>
      <c r="C219" s="62" t="s">
        <v>1946</v>
      </c>
      <c r="D219" s="62" t="s">
        <v>1947</v>
      </c>
      <c r="E219" s="65" t="s">
        <v>1884</v>
      </c>
      <c r="F219" s="65" t="s">
        <v>1948</v>
      </c>
      <c r="G219" s="62" t="s">
        <v>1949</v>
      </c>
      <c r="H219" s="62" t="s">
        <v>30</v>
      </c>
      <c r="I219" s="65" t="s">
        <v>30</v>
      </c>
      <c r="J219" s="65"/>
      <c r="K219" s="62" t="s">
        <v>1950</v>
      </c>
      <c r="L219" s="64" t="s">
        <v>53</v>
      </c>
      <c r="M219" s="65"/>
      <c r="N219" s="65"/>
      <c r="O219" s="62"/>
      <c r="P219" s="66"/>
      <c r="Q219" s="66"/>
      <c r="R219" s="66"/>
      <c r="S219" s="66" t="s">
        <v>1951</v>
      </c>
      <c r="T219" s="62"/>
      <c r="U219" s="68">
        <f>1930+171</f>
        <v>2101</v>
      </c>
      <c r="V219" s="68">
        <v>472</v>
      </c>
      <c r="W219" s="62" t="s">
        <v>1884</v>
      </c>
      <c r="X219" s="62">
        <v>1458</v>
      </c>
      <c r="Y219" s="62" t="s">
        <v>1932</v>
      </c>
      <c r="Z219" s="68">
        <f>1160.44+24.31</f>
        <v>1184.75</v>
      </c>
      <c r="AA219" s="68">
        <f t="shared" si="14"/>
        <v>745.25</v>
      </c>
      <c r="AD219"/>
    </row>
    <row r="220" spans="1:30" x14ac:dyDescent="0.25">
      <c r="A220" t="s">
        <v>96</v>
      </c>
      <c r="B220" s="41">
        <v>127</v>
      </c>
      <c r="C220" t="s">
        <v>1952</v>
      </c>
      <c r="D220" t="s">
        <v>1953</v>
      </c>
      <c r="E220" s="13" t="s">
        <v>1954</v>
      </c>
      <c r="F220" s="13" t="s">
        <v>1955</v>
      </c>
      <c r="G220" t="s">
        <v>1956</v>
      </c>
      <c r="H220" t="s">
        <v>29</v>
      </c>
      <c r="I220" s="13" t="s">
        <v>34</v>
      </c>
      <c r="J220" s="13"/>
      <c r="K220" t="s">
        <v>1848</v>
      </c>
      <c r="L220" s="52">
        <v>45461</v>
      </c>
      <c r="M220" s="13"/>
      <c r="S220" s="38" t="s">
        <v>1957</v>
      </c>
      <c r="T220" t="s">
        <v>1958</v>
      </c>
      <c r="U220" s="54">
        <v>3664</v>
      </c>
      <c r="V220" s="54">
        <f>450+1214</f>
        <v>1664</v>
      </c>
      <c r="W220" t="s">
        <v>1740</v>
      </c>
      <c r="X220">
        <v>902</v>
      </c>
      <c r="Y220" t="s">
        <v>1754</v>
      </c>
      <c r="Z220" s="54">
        <f>675.8+509.95+7.26+23.6</f>
        <v>1216.6099999999999</v>
      </c>
      <c r="AA220" s="81">
        <f t="shared" si="14"/>
        <v>1349.39</v>
      </c>
      <c r="AC220" s="106">
        <f>IF(J220="YES",0,1)</f>
        <v>1</v>
      </c>
      <c r="AD220"/>
    </row>
    <row r="221" spans="1:30" x14ac:dyDescent="0.25">
      <c r="A221" t="s">
        <v>45</v>
      </c>
      <c r="B221" s="41">
        <v>9307</v>
      </c>
      <c r="C221" t="s">
        <v>1959</v>
      </c>
      <c r="D221" t="s">
        <v>1960</v>
      </c>
      <c r="E221" s="13" t="s">
        <v>1648</v>
      </c>
      <c r="F221" s="13" t="s">
        <v>1961</v>
      </c>
      <c r="G221" t="s">
        <v>1962</v>
      </c>
      <c r="H221" t="s">
        <v>29</v>
      </c>
      <c r="I221" s="13" t="s">
        <v>34</v>
      </c>
      <c r="J221" s="13"/>
      <c r="K221" t="s">
        <v>111</v>
      </c>
      <c r="L221" s="52">
        <v>45470</v>
      </c>
      <c r="M221" s="13"/>
      <c r="S221" s="38" t="s">
        <v>1957</v>
      </c>
      <c r="T221" s="62" t="s">
        <v>1963</v>
      </c>
      <c r="U221" s="54">
        <v>2785</v>
      </c>
      <c r="V221" s="54">
        <v>1474</v>
      </c>
      <c r="W221" t="s">
        <v>1648</v>
      </c>
      <c r="X221">
        <v>1311</v>
      </c>
      <c r="Y221" t="s">
        <v>90</v>
      </c>
      <c r="Z221" s="54">
        <f>694+24.31+1122.11</f>
        <v>1840.4199999999998</v>
      </c>
      <c r="AA221" s="81">
        <f t="shared" si="14"/>
        <v>944.58000000000015</v>
      </c>
      <c r="AC221" s="106">
        <f>IF(J221="YES",0,1)</f>
        <v>1</v>
      </c>
      <c r="AD221"/>
    </row>
    <row r="222" spans="1:30" x14ac:dyDescent="0.25">
      <c r="A222" t="s">
        <v>96</v>
      </c>
      <c r="B222" s="41">
        <v>97</v>
      </c>
      <c r="C222" t="s">
        <v>1964</v>
      </c>
      <c r="D222" t="s">
        <v>1965</v>
      </c>
      <c r="E222" s="52" t="s">
        <v>1966</v>
      </c>
      <c r="F222" s="13" t="s">
        <v>1967</v>
      </c>
      <c r="G222" t="s">
        <v>1968</v>
      </c>
      <c r="H222" t="s">
        <v>29</v>
      </c>
      <c r="I222" s="13" t="s">
        <v>30</v>
      </c>
      <c r="J222" s="13" t="s">
        <v>103</v>
      </c>
      <c r="K222" t="s">
        <v>429</v>
      </c>
      <c r="L222" s="52">
        <v>45470</v>
      </c>
      <c r="M222" s="13"/>
      <c r="S222" s="38" t="s">
        <v>1211</v>
      </c>
      <c r="T222" t="s">
        <v>1969</v>
      </c>
      <c r="U222" s="54">
        <v>4902</v>
      </c>
      <c r="V222" s="54">
        <v>1187</v>
      </c>
      <c r="W222" t="s">
        <v>1545</v>
      </c>
      <c r="X222">
        <f>2580+2040</f>
        <v>4620</v>
      </c>
      <c r="Y222" t="s">
        <v>1489</v>
      </c>
      <c r="Z222" s="54">
        <f>1226.06+149.4+23.6+311.8</f>
        <v>1710.86</v>
      </c>
      <c r="AA222" s="81">
        <f t="shared" si="14"/>
        <v>4096.1400000000003</v>
      </c>
      <c r="AC222" s="106">
        <v>1</v>
      </c>
      <c r="AD222"/>
    </row>
    <row r="223" spans="1:30" x14ac:dyDescent="0.25">
      <c r="A223" t="s">
        <v>96</v>
      </c>
      <c r="B223" s="41">
        <v>175</v>
      </c>
      <c r="C223" t="s">
        <v>1970</v>
      </c>
      <c r="D223" t="s">
        <v>1971</v>
      </c>
      <c r="E223" s="13" t="s">
        <v>1657</v>
      </c>
      <c r="F223" s="13" t="s">
        <v>1972</v>
      </c>
      <c r="G223" t="s">
        <v>1973</v>
      </c>
      <c r="H223" t="s">
        <v>29</v>
      </c>
      <c r="I223" s="13" t="s">
        <v>30</v>
      </c>
      <c r="J223" s="13"/>
      <c r="K223" t="s">
        <v>1974</v>
      </c>
      <c r="L223" s="52">
        <v>45469</v>
      </c>
      <c r="M223" s="13"/>
      <c r="S223" s="38" t="s">
        <v>1975</v>
      </c>
      <c r="T223" t="s">
        <v>194</v>
      </c>
      <c r="U223" s="54">
        <v>3062</v>
      </c>
      <c r="V223" s="54">
        <v>500</v>
      </c>
      <c r="W223" t="s">
        <v>1657</v>
      </c>
      <c r="X223">
        <v>1675</v>
      </c>
      <c r="Y223" t="s">
        <v>1822</v>
      </c>
      <c r="Z223" s="54">
        <f>24.31+1158</f>
        <v>1182.31</v>
      </c>
      <c r="AA223" s="81">
        <f t="shared" si="14"/>
        <v>992.69</v>
      </c>
      <c r="AC223" s="106">
        <f>IF(J223="YES",0,1)</f>
        <v>1</v>
      </c>
      <c r="AD223"/>
    </row>
    <row r="224" spans="1:30" x14ac:dyDescent="0.25">
      <c r="A224" t="s">
        <v>96</v>
      </c>
      <c r="B224" s="41">
        <v>211</v>
      </c>
      <c r="C224" t="s">
        <v>1976</v>
      </c>
      <c r="D224" t="s">
        <v>1735</v>
      </c>
      <c r="E224" s="13" t="s">
        <v>1977</v>
      </c>
      <c r="F224" s="13" t="s">
        <v>1978</v>
      </c>
      <c r="H224" t="s">
        <v>1979</v>
      </c>
      <c r="I224" s="13" t="s">
        <v>30</v>
      </c>
      <c r="J224" s="13"/>
      <c r="K224" t="s">
        <v>1974</v>
      </c>
      <c r="L224" s="52" t="s">
        <v>53</v>
      </c>
      <c r="M224" s="13"/>
      <c r="S224" s="38" t="s">
        <v>1980</v>
      </c>
      <c r="U224" s="54">
        <v>1630.49</v>
      </c>
      <c r="V224" s="54">
        <v>1630.49</v>
      </c>
      <c r="W224" t="s">
        <v>213</v>
      </c>
      <c r="Z224" s="54">
        <v>1014.53</v>
      </c>
      <c r="AA224" s="81">
        <f t="shared" si="14"/>
        <v>615.96</v>
      </c>
      <c r="AC224" s="106">
        <f>IF(J224="YES",0,1)</f>
        <v>1</v>
      </c>
      <c r="AD224"/>
    </row>
    <row r="225" spans="1:30" x14ac:dyDescent="0.25">
      <c r="A225" t="s">
        <v>96</v>
      </c>
      <c r="B225" s="41">
        <v>215</v>
      </c>
      <c r="C225" t="s">
        <v>1981</v>
      </c>
      <c r="D225" t="s">
        <v>1982</v>
      </c>
      <c r="E225" s="13" t="s">
        <v>1983</v>
      </c>
      <c r="F225" s="13" t="s">
        <v>1984</v>
      </c>
      <c r="G225" t="s">
        <v>686</v>
      </c>
      <c r="H225" t="s">
        <v>374</v>
      </c>
      <c r="I225" s="13" t="s">
        <v>30</v>
      </c>
      <c r="J225" s="13"/>
      <c r="K225" t="s">
        <v>31</v>
      </c>
      <c r="L225" s="52" t="s">
        <v>53</v>
      </c>
      <c r="M225" s="13"/>
      <c r="S225" s="38" t="s">
        <v>1980</v>
      </c>
      <c r="U225" s="54">
        <v>1855</v>
      </c>
      <c r="V225" s="54">
        <v>434</v>
      </c>
      <c r="W225" t="s">
        <v>1983</v>
      </c>
      <c r="X225">
        <v>1421</v>
      </c>
      <c r="Y225" t="s">
        <v>1985</v>
      </c>
      <c r="Z225" s="54">
        <f>5.6+5.6+24.31+1161.07</f>
        <v>1196.58</v>
      </c>
      <c r="AA225" s="81">
        <f t="shared" si="14"/>
        <v>658.42000000000007</v>
      </c>
      <c r="AC225" s="106">
        <f>IF(J225="YES",0,1)</f>
        <v>1</v>
      </c>
      <c r="AD225"/>
    </row>
    <row r="226" spans="1:30" x14ac:dyDescent="0.25">
      <c r="A226" t="s">
        <v>45</v>
      </c>
      <c r="B226" s="41">
        <v>9327</v>
      </c>
      <c r="C226" t="s">
        <v>1986</v>
      </c>
      <c r="D226" t="s">
        <v>1987</v>
      </c>
      <c r="E226" s="13" t="s">
        <v>1988</v>
      </c>
      <c r="F226" s="13" t="s">
        <v>1989</v>
      </c>
      <c r="G226" t="s">
        <v>1174</v>
      </c>
      <c r="H226" t="s">
        <v>29</v>
      </c>
      <c r="I226" s="13" t="s">
        <v>30</v>
      </c>
      <c r="J226" s="13"/>
      <c r="K226" t="s">
        <v>31</v>
      </c>
      <c r="L226" s="161">
        <v>45576</v>
      </c>
      <c r="M226" s="13"/>
      <c r="S226" s="38" t="s">
        <v>1990</v>
      </c>
      <c r="T226" t="s">
        <v>1969</v>
      </c>
      <c r="U226" s="54">
        <v>1806</v>
      </c>
      <c r="V226" s="54">
        <v>1805</v>
      </c>
      <c r="W226" t="s">
        <v>1988</v>
      </c>
      <c r="Z226" s="54">
        <f>5.6+5.6+24.31+1109.48</f>
        <v>1144.99</v>
      </c>
      <c r="AA226" s="81">
        <f t="shared" si="14"/>
        <v>660.01</v>
      </c>
      <c r="AC226" s="106">
        <f t="shared" ref="AC226" si="15">IF(J226="YES",0,1)</f>
        <v>1</v>
      </c>
      <c r="AD226"/>
    </row>
    <row r="227" spans="1:30" x14ac:dyDescent="0.25">
      <c r="A227" t="s">
        <v>96</v>
      </c>
      <c r="B227" s="41">
        <v>220</v>
      </c>
      <c r="C227" t="s">
        <v>1991</v>
      </c>
      <c r="D227" t="s">
        <v>1992</v>
      </c>
      <c r="E227" s="13" t="s">
        <v>232</v>
      </c>
      <c r="F227" s="13" t="s">
        <v>1993</v>
      </c>
      <c r="G227" t="s">
        <v>1666</v>
      </c>
      <c r="H227" t="s">
        <v>29</v>
      </c>
      <c r="I227" s="13" t="s">
        <v>30</v>
      </c>
      <c r="J227" s="13"/>
      <c r="K227" t="s">
        <v>127</v>
      </c>
      <c r="L227" s="52" t="s">
        <v>53</v>
      </c>
      <c r="M227" s="13"/>
      <c r="S227" s="38" t="s">
        <v>1994</v>
      </c>
      <c r="U227" s="54">
        <v>2576</v>
      </c>
      <c r="V227" s="54">
        <v>434</v>
      </c>
      <c r="W227" t="s">
        <v>1983</v>
      </c>
      <c r="X227">
        <v>1496</v>
      </c>
      <c r="Y227" t="s">
        <v>1995</v>
      </c>
      <c r="Z227" s="54">
        <f>5.6+5.6+24.31+1160.01</f>
        <v>1195.52</v>
      </c>
      <c r="AA227" s="81">
        <f t="shared" ref="AA227" si="16">V227+X227-Z227</f>
        <v>734.48</v>
      </c>
      <c r="AC227" s="106">
        <f>IF(J227="YES",0,1)</f>
        <v>1</v>
      </c>
      <c r="AD227"/>
    </row>
    <row r="228" spans="1:30" x14ac:dyDescent="0.25">
      <c r="A228" t="s">
        <v>96</v>
      </c>
      <c r="B228" s="41">
        <v>146</v>
      </c>
      <c r="C228" t="s">
        <v>1996</v>
      </c>
      <c r="D228" t="s">
        <v>1997</v>
      </c>
      <c r="E228" s="13" t="s">
        <v>1501</v>
      </c>
      <c r="F228" s="13" t="s">
        <v>1998</v>
      </c>
      <c r="G228" t="s">
        <v>1999</v>
      </c>
      <c r="H228" t="s">
        <v>29</v>
      </c>
      <c r="I228" s="13" t="s">
        <v>30</v>
      </c>
      <c r="J228" s="13"/>
      <c r="K228" t="s">
        <v>38</v>
      </c>
      <c r="L228" s="52">
        <v>45463</v>
      </c>
      <c r="M228" s="13"/>
      <c r="S228" s="38" t="s">
        <v>2000</v>
      </c>
      <c r="T228" t="s">
        <v>2001</v>
      </c>
      <c r="U228" s="54">
        <v>2721</v>
      </c>
      <c r="V228" s="54">
        <f>2250+450</f>
        <v>2700</v>
      </c>
      <c r="W228" t="s">
        <v>2002</v>
      </c>
      <c r="X228">
        <v>2000</v>
      </c>
      <c r="Y228" t="s">
        <v>2003</v>
      </c>
      <c r="Z228" s="54">
        <f>1457.5+23.6+15.3+1358.35</f>
        <v>2854.75</v>
      </c>
      <c r="AA228" s="81">
        <f>V228+X228-Z228</f>
        <v>1845.25</v>
      </c>
      <c r="AC228" s="106">
        <v>1</v>
      </c>
      <c r="AD228"/>
    </row>
    <row r="229" spans="1:30" x14ac:dyDescent="0.25">
      <c r="A229" t="s">
        <v>96</v>
      </c>
      <c r="B229" s="41">
        <v>210</v>
      </c>
      <c r="C229" t="s">
        <v>2004</v>
      </c>
      <c r="D229" t="s">
        <v>2005</v>
      </c>
      <c r="E229" s="13" t="s">
        <v>1977</v>
      </c>
      <c r="F229" s="13" t="s">
        <v>2006</v>
      </c>
      <c r="G229" t="s">
        <v>215</v>
      </c>
      <c r="H229" t="s">
        <v>29</v>
      </c>
      <c r="I229" s="13" t="s">
        <v>30</v>
      </c>
      <c r="J229" s="13"/>
      <c r="K229" t="s">
        <v>38</v>
      </c>
      <c r="L229" s="52" t="s">
        <v>53</v>
      </c>
      <c r="M229" s="13"/>
      <c r="S229" s="38" t="s">
        <v>2007</v>
      </c>
      <c r="U229" s="54">
        <v>2155</v>
      </c>
      <c r="V229" s="54">
        <v>453</v>
      </c>
      <c r="W229" t="s">
        <v>1945</v>
      </c>
      <c r="X229">
        <v>1702</v>
      </c>
      <c r="Y229" t="s">
        <v>1985</v>
      </c>
      <c r="Z229" s="54">
        <f>24.31+1266.45</f>
        <v>1290.76</v>
      </c>
      <c r="AA229" s="81">
        <f>V229+X229-Z229</f>
        <v>864.24</v>
      </c>
      <c r="AC229" s="106">
        <v>1</v>
      </c>
      <c r="AD229"/>
    </row>
    <row r="230" spans="1:30" x14ac:dyDescent="0.25">
      <c r="A230" t="s">
        <v>45</v>
      </c>
      <c r="B230" s="41">
        <v>9313</v>
      </c>
      <c r="C230" t="s">
        <v>2008</v>
      </c>
      <c r="D230" t="s">
        <v>2009</v>
      </c>
      <c r="E230" s="13" t="s">
        <v>1739</v>
      </c>
      <c r="F230" s="13" t="s">
        <v>2010</v>
      </c>
      <c r="G230" t="s">
        <v>1534</v>
      </c>
      <c r="H230" t="s">
        <v>37</v>
      </c>
      <c r="I230" s="13" t="s">
        <v>30</v>
      </c>
      <c r="J230" s="13"/>
      <c r="K230" t="s">
        <v>2011</v>
      </c>
      <c r="L230" s="52" t="s">
        <v>53</v>
      </c>
      <c r="M230" s="13"/>
      <c r="S230" s="38" t="s">
        <v>1590</v>
      </c>
      <c r="U230" s="54">
        <v>3147</v>
      </c>
      <c r="V230" s="54">
        <f>444+375.55</f>
        <v>819.55</v>
      </c>
      <c r="W230" t="s">
        <v>2012</v>
      </c>
      <c r="X230">
        <v>1431</v>
      </c>
      <c r="Y230" t="s">
        <v>1990</v>
      </c>
      <c r="Z230" s="54">
        <f>270+24.31+1273.81</f>
        <v>1568.12</v>
      </c>
      <c r="AA230" s="81">
        <f>V230+X230-Z230</f>
        <v>682.43000000000029</v>
      </c>
      <c r="AD230"/>
    </row>
    <row r="231" spans="1:30" x14ac:dyDescent="0.25">
      <c r="A231" t="s">
        <v>96</v>
      </c>
      <c r="B231" s="41">
        <v>182</v>
      </c>
      <c r="C231" t="s">
        <v>2013</v>
      </c>
      <c r="D231" t="s">
        <v>2014</v>
      </c>
      <c r="E231" s="13" t="s">
        <v>2002</v>
      </c>
      <c r="F231" s="13" t="s">
        <v>2015</v>
      </c>
      <c r="G231" t="s">
        <v>831</v>
      </c>
      <c r="H231" t="s">
        <v>29</v>
      </c>
      <c r="I231" s="13" t="s">
        <v>34</v>
      </c>
      <c r="J231" s="13"/>
      <c r="K231" t="s">
        <v>2016</v>
      </c>
      <c r="L231" s="52" t="s">
        <v>53</v>
      </c>
      <c r="M231" s="13"/>
      <c r="S231" s="38" t="s">
        <v>2017</v>
      </c>
      <c r="U231" s="54">
        <f>3423-252</f>
        <v>3171</v>
      </c>
      <c r="V231" s="54">
        <f>432+462</f>
        <v>894</v>
      </c>
      <c r="W231" t="s">
        <v>2018</v>
      </c>
      <c r="X231">
        <f>1568</f>
        <v>1568</v>
      </c>
      <c r="Y231" t="s">
        <v>2019</v>
      </c>
      <c r="Z231" s="54">
        <f>320.2+24.31+1410.18</f>
        <v>1754.69</v>
      </c>
      <c r="AA231" s="81">
        <f>V231+X231-Z231</f>
        <v>707.31</v>
      </c>
      <c r="AD231"/>
    </row>
    <row r="232" spans="1:30" x14ac:dyDescent="0.25">
      <c r="A232" t="s">
        <v>45</v>
      </c>
      <c r="B232" s="41">
        <v>9303</v>
      </c>
      <c r="C232" t="s">
        <v>2020</v>
      </c>
      <c r="D232" t="s">
        <v>2021</v>
      </c>
      <c r="E232" s="13" t="s">
        <v>1927</v>
      </c>
      <c r="F232" s="13" t="s">
        <v>2022</v>
      </c>
      <c r="G232" t="s">
        <v>2023</v>
      </c>
      <c r="H232" t="s">
        <v>29</v>
      </c>
      <c r="I232" s="13" t="s">
        <v>34</v>
      </c>
      <c r="J232" s="13"/>
      <c r="L232" s="52">
        <v>45470</v>
      </c>
      <c r="M232" s="13"/>
      <c r="S232" s="38" t="s">
        <v>2017</v>
      </c>
      <c r="T232" s="62" t="s">
        <v>2024</v>
      </c>
      <c r="U232" s="54">
        <v>2710</v>
      </c>
      <c r="V232" s="54">
        <f>470+985</f>
        <v>1455</v>
      </c>
      <c r="W232" t="s">
        <v>1630</v>
      </c>
      <c r="X232">
        <v>1255</v>
      </c>
      <c r="Y232" t="s">
        <v>1895</v>
      </c>
      <c r="Z232" s="54">
        <f>461.1+23.6+1069.76</f>
        <v>1554.46</v>
      </c>
      <c r="AA232" s="81">
        <f>V232+X232-Z232</f>
        <v>1155.54</v>
      </c>
      <c r="AD232"/>
    </row>
    <row r="233" spans="1:30" x14ac:dyDescent="0.25">
      <c r="A233" s="62" t="s">
        <v>45</v>
      </c>
      <c r="B233" s="63">
        <v>2</v>
      </c>
      <c r="C233" s="62" t="s">
        <v>2025</v>
      </c>
      <c r="D233" s="62" t="s">
        <v>2026</v>
      </c>
      <c r="E233" s="65" t="s">
        <v>2027</v>
      </c>
      <c r="F233" s="65" t="s">
        <v>2028</v>
      </c>
      <c r="G233" s="62" t="s">
        <v>747</v>
      </c>
      <c r="H233" s="62" t="s">
        <v>37</v>
      </c>
      <c r="I233" s="65" t="s">
        <v>30</v>
      </c>
      <c r="J233" s="65"/>
      <c r="K233" s="62" t="s">
        <v>31</v>
      </c>
      <c r="L233" s="64" t="s">
        <v>53</v>
      </c>
      <c r="M233" s="65"/>
      <c r="N233" s="65"/>
      <c r="O233" s="62"/>
      <c r="P233" s="66"/>
      <c r="Q233" s="66"/>
      <c r="R233" s="66"/>
      <c r="S233" s="66" t="s">
        <v>2029</v>
      </c>
      <c r="T233" s="62"/>
      <c r="U233" s="68"/>
      <c r="V233" s="68">
        <v>446</v>
      </c>
      <c r="W233" s="62" t="s">
        <v>1849</v>
      </c>
      <c r="X233" s="62">
        <v>1655</v>
      </c>
      <c r="Y233" s="62" t="s">
        <v>2030</v>
      </c>
      <c r="Z233" s="68">
        <f>320.2+24.31+1154.12</f>
        <v>1498.6299999999999</v>
      </c>
      <c r="AA233" s="68">
        <f t="shared" ref="AA233" si="17">V233+X233-Z233</f>
        <v>602.37000000000012</v>
      </c>
      <c r="AD233"/>
    </row>
    <row r="234" spans="1:30" x14ac:dyDescent="0.25">
      <c r="A234" s="62" t="s">
        <v>96</v>
      </c>
      <c r="B234" s="63">
        <v>170</v>
      </c>
      <c r="C234" s="62" t="s">
        <v>2031</v>
      </c>
      <c r="D234" s="62" t="s">
        <v>2032</v>
      </c>
      <c r="E234" s="65" t="s">
        <v>1625</v>
      </c>
      <c r="F234" s="65" t="s">
        <v>2033</v>
      </c>
      <c r="G234" s="62" t="s">
        <v>2034</v>
      </c>
      <c r="H234" s="62" t="s">
        <v>29</v>
      </c>
      <c r="I234" s="65" t="s">
        <v>30</v>
      </c>
      <c r="J234" s="65"/>
      <c r="K234" s="62" t="s">
        <v>1307</v>
      </c>
      <c r="L234" s="64">
        <v>45470</v>
      </c>
      <c r="M234" s="65"/>
      <c r="N234" s="65"/>
      <c r="O234" s="62"/>
      <c r="P234" s="66"/>
      <c r="Q234" s="66"/>
      <c r="R234" s="66"/>
      <c r="S234" s="66" t="s">
        <v>2035</v>
      </c>
      <c r="T234" s="62" t="s">
        <v>1933</v>
      </c>
      <c r="U234" s="68">
        <v>3337</v>
      </c>
      <c r="V234" s="68">
        <f>470+887</f>
        <v>1357</v>
      </c>
      <c r="W234" s="62" t="s">
        <v>2036</v>
      </c>
      <c r="X234" s="62">
        <v>1980</v>
      </c>
      <c r="Y234" s="62" t="s">
        <v>2000</v>
      </c>
      <c r="Z234" s="68">
        <f>7.8+23.6+1302.57</f>
        <v>1333.97</v>
      </c>
      <c r="AA234" s="68">
        <f>V234+X234-Z234</f>
        <v>2003.03</v>
      </c>
      <c r="AD234"/>
    </row>
    <row r="235" spans="1:30" x14ac:dyDescent="0.25">
      <c r="A235" s="62" t="s">
        <v>96</v>
      </c>
      <c r="B235" s="63">
        <v>224</v>
      </c>
      <c r="C235" s="62" t="s">
        <v>2037</v>
      </c>
      <c r="D235" s="62" t="s">
        <v>2038</v>
      </c>
      <c r="E235" s="65" t="s">
        <v>2039</v>
      </c>
      <c r="F235" s="65" t="s">
        <v>2040</v>
      </c>
      <c r="G235" s="62" t="s">
        <v>2041</v>
      </c>
      <c r="H235" s="62" t="s">
        <v>37</v>
      </c>
      <c r="I235" s="65" t="s">
        <v>30</v>
      </c>
      <c r="J235" s="65"/>
      <c r="K235" s="62" t="s">
        <v>127</v>
      </c>
      <c r="L235" s="64" t="s">
        <v>53</v>
      </c>
      <c r="M235" s="65"/>
      <c r="N235" s="65"/>
      <c r="O235" s="62"/>
      <c r="P235" s="66"/>
      <c r="Q235" s="66"/>
      <c r="R235" s="66"/>
      <c r="S235" s="66" t="s">
        <v>2042</v>
      </c>
      <c r="T235" s="62"/>
      <c r="U235" s="68">
        <v>1750</v>
      </c>
      <c r="V235" s="68">
        <v>433</v>
      </c>
      <c r="W235" s="62" t="s">
        <v>232</v>
      </c>
      <c r="X235" s="62">
        <v>1325</v>
      </c>
      <c r="Y235" s="62" t="s">
        <v>2000</v>
      </c>
      <c r="Z235" s="68">
        <f>24.31+1159.12</f>
        <v>1183.4299999999998</v>
      </c>
      <c r="AA235" s="68">
        <f>V235+X235-Z235</f>
        <v>574.57000000000016</v>
      </c>
      <c r="AD235"/>
    </row>
    <row r="236" spans="1:30" x14ac:dyDescent="0.25">
      <c r="A236" t="s">
        <v>96</v>
      </c>
      <c r="B236" s="41">
        <v>202</v>
      </c>
      <c r="C236" t="s">
        <v>2043</v>
      </c>
      <c r="D236" t="s">
        <v>2044</v>
      </c>
      <c r="E236" s="13" t="s">
        <v>1884</v>
      </c>
      <c r="F236" s="13" t="s">
        <v>2045</v>
      </c>
      <c r="G236" t="s">
        <v>1021</v>
      </c>
      <c r="H236" t="s">
        <v>2046</v>
      </c>
      <c r="I236" s="13" t="s">
        <v>30</v>
      </c>
      <c r="J236" s="13"/>
      <c r="K236" t="s">
        <v>31</v>
      </c>
      <c r="L236" s="52" t="s">
        <v>53</v>
      </c>
      <c r="M236" s="13"/>
      <c r="S236" s="38" t="s">
        <v>2047</v>
      </c>
      <c r="U236" s="54">
        <f>1235+3057.5</f>
        <v>4292.5</v>
      </c>
      <c r="V236" s="54">
        <v>488</v>
      </c>
      <c r="W236" t="s">
        <v>1884</v>
      </c>
      <c r="X236">
        <v>2569.5</v>
      </c>
      <c r="Y236" t="s">
        <v>2048</v>
      </c>
      <c r="Z236" s="54">
        <f>29.91+5.6+1532.3</f>
        <v>1567.81</v>
      </c>
      <c r="AA236" s="81">
        <f>V236+X236-Z236</f>
        <v>1489.69</v>
      </c>
      <c r="AC236" s="106">
        <f>IF(J236="YES",0,1)</f>
        <v>1</v>
      </c>
      <c r="AD236"/>
    </row>
    <row r="237" spans="1:30" x14ac:dyDescent="0.25">
      <c r="A237" t="s">
        <v>45</v>
      </c>
      <c r="B237" s="41">
        <v>9309</v>
      </c>
      <c r="C237" t="s">
        <v>2049</v>
      </c>
      <c r="D237" t="s">
        <v>2050</v>
      </c>
      <c r="E237" s="13" t="s">
        <v>1695</v>
      </c>
      <c r="F237" s="13" t="s">
        <v>2051</v>
      </c>
      <c r="G237" t="s">
        <v>2052</v>
      </c>
      <c r="H237" t="s">
        <v>29</v>
      </c>
      <c r="I237" s="13" t="s">
        <v>30</v>
      </c>
      <c r="J237" s="13"/>
      <c r="K237" t="s">
        <v>31</v>
      </c>
      <c r="L237" s="52" t="s">
        <v>53</v>
      </c>
      <c r="M237" s="13"/>
      <c r="S237" s="38" t="s">
        <v>2053</v>
      </c>
      <c r="U237" s="54">
        <v>3135</v>
      </c>
      <c r="V237" s="54">
        <f>450+864</f>
        <v>1314</v>
      </c>
      <c r="W237" t="s">
        <v>2054</v>
      </c>
      <c r="X237">
        <v>1700</v>
      </c>
      <c r="Y237" t="s">
        <v>1768</v>
      </c>
      <c r="Z237" s="54">
        <f>220.5+24.31+1249.34</f>
        <v>1494.1499999999999</v>
      </c>
      <c r="AA237" s="81">
        <f>V237+X237-Z237</f>
        <v>1519.8500000000001</v>
      </c>
      <c r="AC237" s="106">
        <f t="shared" ref="AC237" si="18">IF(J237="YES",0,1)</f>
        <v>1</v>
      </c>
      <c r="AD237"/>
    </row>
    <row r="238" spans="1:30" x14ac:dyDescent="0.25">
      <c r="A238" t="s">
        <v>96</v>
      </c>
      <c r="B238" s="41">
        <v>217</v>
      </c>
      <c r="C238" t="s">
        <v>2055</v>
      </c>
      <c r="D238" t="s">
        <v>2056</v>
      </c>
      <c r="E238" s="13" t="s">
        <v>2057</v>
      </c>
      <c r="F238" s="13" t="s">
        <v>2058</v>
      </c>
      <c r="G238" t="s">
        <v>506</v>
      </c>
      <c r="H238" t="s">
        <v>29</v>
      </c>
      <c r="I238" s="13" t="s">
        <v>30</v>
      </c>
      <c r="J238" s="13"/>
      <c r="K238" t="s">
        <v>31</v>
      </c>
      <c r="L238" s="52" t="s">
        <v>53</v>
      </c>
      <c r="M238" s="13"/>
      <c r="S238" s="38" t="s">
        <v>1337</v>
      </c>
      <c r="U238" s="54">
        <v>2974.75</v>
      </c>
      <c r="V238" s="54">
        <v>2974.75</v>
      </c>
      <c r="W238" t="s">
        <v>90</v>
      </c>
      <c r="Z238" s="54">
        <f>1754.11</f>
        <v>1754.11</v>
      </c>
      <c r="AA238" s="81">
        <f>V238+X238-Z238</f>
        <v>1220.6400000000001</v>
      </c>
      <c r="AC238" s="106">
        <f>IF(J238="YES",0,1)</f>
        <v>1</v>
      </c>
      <c r="AD238"/>
    </row>
    <row r="239" spans="1:30" x14ac:dyDescent="0.25">
      <c r="A239" t="s">
        <v>45</v>
      </c>
      <c r="B239" s="41">
        <v>9291</v>
      </c>
      <c r="C239" t="s">
        <v>2059</v>
      </c>
      <c r="D239" t="s">
        <v>2060</v>
      </c>
      <c r="E239" s="52" t="s">
        <v>1396</v>
      </c>
      <c r="F239" s="13" t="s">
        <v>2061</v>
      </c>
      <c r="G239" t="s">
        <v>765</v>
      </c>
      <c r="H239" t="s">
        <v>2062</v>
      </c>
      <c r="I239" s="13" t="s">
        <v>34</v>
      </c>
      <c r="J239" s="13"/>
      <c r="K239" t="s">
        <v>67</v>
      </c>
      <c r="L239" s="52">
        <v>45470</v>
      </c>
      <c r="M239" s="13"/>
      <c r="S239" s="38" t="s">
        <v>2063</v>
      </c>
      <c r="T239" s="62" t="s">
        <v>2064</v>
      </c>
      <c r="U239" s="54">
        <v>3285</v>
      </c>
      <c r="V239" s="54">
        <v>571</v>
      </c>
      <c r="W239" t="s">
        <v>1409</v>
      </c>
      <c r="X239">
        <v>1729</v>
      </c>
      <c r="Y239" t="s">
        <v>1501</v>
      </c>
      <c r="Z239" s="54">
        <f>23.6+31.24+1114.82</f>
        <v>1169.6599999999999</v>
      </c>
      <c r="AA239" s="81">
        <f t="shared" ref="AA239" si="19">V239+X239-Z239</f>
        <v>1130.3400000000001</v>
      </c>
      <c r="AC239" s="106">
        <f t="shared" ref="AC239" si="20">IF(J239="YES",0,1)</f>
        <v>1</v>
      </c>
      <c r="AD239"/>
    </row>
    <row r="240" spans="1:30" x14ac:dyDescent="0.25">
      <c r="A240" t="s">
        <v>96</v>
      </c>
      <c r="B240" s="41">
        <v>186</v>
      </c>
      <c r="C240" t="s">
        <v>2065</v>
      </c>
      <c r="D240" t="s">
        <v>1838</v>
      </c>
      <c r="E240" s="13" t="s">
        <v>1838</v>
      </c>
      <c r="F240" s="13" t="s">
        <v>2066</v>
      </c>
      <c r="G240" t="s">
        <v>2067</v>
      </c>
      <c r="H240" t="s">
        <v>29</v>
      </c>
      <c r="I240" s="13" t="s">
        <v>30</v>
      </c>
      <c r="J240" s="13"/>
      <c r="K240" t="s">
        <v>1200</v>
      </c>
      <c r="L240" s="52" t="s">
        <v>53</v>
      </c>
      <c r="M240" s="13"/>
      <c r="S240" s="38" t="s">
        <v>2068</v>
      </c>
      <c r="U240" s="54">
        <v>2155</v>
      </c>
      <c r="V240" s="54">
        <f>435</f>
        <v>435</v>
      </c>
      <c r="W240" t="s">
        <v>1838</v>
      </c>
      <c r="X240">
        <v>1958</v>
      </c>
      <c r="Y240" t="s">
        <v>2007</v>
      </c>
      <c r="Z240" s="54">
        <f>473.6+162.2+29.91+1264.01</f>
        <v>1929.7199999999998</v>
      </c>
      <c r="AA240" s="81">
        <f t="shared" ref="AA240:AA250" si="21">V240+X240-Z240</f>
        <v>463.2800000000002</v>
      </c>
      <c r="AC240" s="106">
        <v>1</v>
      </c>
      <c r="AD240"/>
    </row>
    <row r="241" spans="1:34" x14ac:dyDescent="0.25">
      <c r="A241" t="s">
        <v>96</v>
      </c>
      <c r="B241" s="41">
        <v>197</v>
      </c>
      <c r="C241" t="s">
        <v>2069</v>
      </c>
      <c r="D241" t="s">
        <v>2014</v>
      </c>
      <c r="E241" s="13" t="s">
        <v>2012</v>
      </c>
      <c r="F241" s="13" t="s">
        <v>2070</v>
      </c>
      <c r="G241" t="s">
        <v>917</v>
      </c>
      <c r="H241" t="s">
        <v>29</v>
      </c>
      <c r="I241" s="13" t="s">
        <v>30</v>
      </c>
      <c r="J241" s="13"/>
      <c r="K241" t="s">
        <v>67</v>
      </c>
      <c r="L241" s="52" t="s">
        <v>53</v>
      </c>
      <c r="M241" s="13"/>
      <c r="S241" s="38" t="s">
        <v>2071</v>
      </c>
      <c r="U241" s="54">
        <v>2000</v>
      </c>
      <c r="V241" s="54">
        <v>438</v>
      </c>
      <c r="W241" t="s">
        <v>1817</v>
      </c>
      <c r="X241">
        <v>1562</v>
      </c>
      <c r="Y241" t="s">
        <v>2072</v>
      </c>
      <c r="Z241" s="54">
        <f>24.31+1258.47</f>
        <v>1282.78</v>
      </c>
      <c r="AA241" s="81">
        <f t="shared" si="21"/>
        <v>717.22</v>
      </c>
      <c r="AC241" s="106">
        <v>1</v>
      </c>
      <c r="AD241"/>
    </row>
    <row r="242" spans="1:34" x14ac:dyDescent="0.25">
      <c r="A242" t="s">
        <v>2073</v>
      </c>
      <c r="B242" s="41">
        <v>122</v>
      </c>
      <c r="C242" t="s">
        <v>2074</v>
      </c>
      <c r="D242" t="s">
        <v>2075</v>
      </c>
      <c r="E242" s="13" t="s">
        <v>2076</v>
      </c>
      <c r="F242" s="13" t="s">
        <v>2077</v>
      </c>
      <c r="G242" t="s">
        <v>2078</v>
      </c>
      <c r="H242" t="s">
        <v>29</v>
      </c>
      <c r="I242" s="13" t="s">
        <v>34</v>
      </c>
      <c r="J242" s="13"/>
      <c r="L242" s="52">
        <v>45469</v>
      </c>
      <c r="M242" s="13"/>
      <c r="S242" s="38" t="s">
        <v>2079</v>
      </c>
      <c r="T242" t="s">
        <v>2080</v>
      </c>
      <c r="U242" s="54">
        <v>3564</v>
      </c>
      <c r="V242" s="54">
        <f>450+1314</f>
        <v>1764</v>
      </c>
      <c r="W242" t="s">
        <v>1456</v>
      </c>
      <c r="X242">
        <f>1800+874</f>
        <v>2674</v>
      </c>
      <c r="Y242" t="s">
        <v>2081</v>
      </c>
      <c r="Z242" s="54">
        <f>651.78-325.78+5.38+23.6+1228.68</f>
        <v>1583.66</v>
      </c>
      <c r="AA242" s="81">
        <f t="shared" si="21"/>
        <v>2854.34</v>
      </c>
      <c r="AC242" s="106">
        <v>1</v>
      </c>
      <c r="AD242"/>
    </row>
    <row r="243" spans="1:34" x14ac:dyDescent="0.25">
      <c r="A243" t="s">
        <v>96</v>
      </c>
      <c r="B243" s="41">
        <v>195</v>
      </c>
      <c r="C243" t="s">
        <v>2082</v>
      </c>
      <c r="D243" t="s">
        <v>2083</v>
      </c>
      <c r="E243" s="13" t="s">
        <v>1817</v>
      </c>
      <c r="F243" s="13" t="s">
        <v>2084</v>
      </c>
      <c r="G243" t="s">
        <v>149</v>
      </c>
      <c r="H243" t="s">
        <v>29</v>
      </c>
      <c r="I243" s="13" t="s">
        <v>30</v>
      </c>
      <c r="J243" s="13"/>
      <c r="K243" t="s">
        <v>31</v>
      </c>
      <c r="L243" s="52" t="s">
        <v>53</v>
      </c>
      <c r="M243" s="13"/>
      <c r="S243" s="38" t="s">
        <v>2079</v>
      </c>
      <c r="U243" s="54">
        <f>2005+646</f>
        <v>2651</v>
      </c>
      <c r="V243" s="54">
        <v>1046</v>
      </c>
      <c r="W243" t="s">
        <v>1880</v>
      </c>
      <c r="X243">
        <v>1605</v>
      </c>
      <c r="Y243" t="s">
        <v>1216</v>
      </c>
      <c r="Z243" s="54">
        <f>320.2-253.2+1226.86</f>
        <v>1293.8599999999999</v>
      </c>
      <c r="AA243" s="81">
        <f t="shared" si="21"/>
        <v>1357.14</v>
      </c>
      <c r="AC243" s="106">
        <v>1</v>
      </c>
      <c r="AD243"/>
    </row>
    <row r="244" spans="1:34" x14ac:dyDescent="0.25">
      <c r="A244" t="s">
        <v>96</v>
      </c>
      <c r="B244" s="41">
        <v>208</v>
      </c>
      <c r="C244" t="s">
        <v>2085</v>
      </c>
      <c r="D244" t="s">
        <v>2086</v>
      </c>
      <c r="E244" s="13" t="s">
        <v>213</v>
      </c>
      <c r="F244" s="13" t="s">
        <v>2087</v>
      </c>
      <c r="G244" t="s">
        <v>118</v>
      </c>
      <c r="H244" t="s">
        <v>29</v>
      </c>
      <c r="I244" s="13" t="s">
        <v>30</v>
      </c>
      <c r="J244" s="13"/>
      <c r="K244" t="s">
        <v>120</v>
      </c>
      <c r="L244" s="52" t="s">
        <v>53</v>
      </c>
      <c r="M244" s="13"/>
      <c r="S244" s="38" t="s">
        <v>2079</v>
      </c>
      <c r="U244" s="54">
        <f>1855+646</f>
        <v>2501</v>
      </c>
      <c r="V244" s="54">
        <f>422+646</f>
        <v>1068</v>
      </c>
      <c r="W244" t="s">
        <v>239</v>
      </c>
      <c r="X244">
        <v>1433</v>
      </c>
      <c r="Y244" t="s">
        <v>2088</v>
      </c>
      <c r="Z244" s="54">
        <f>320.2+5.6+5.6+24.31+1158.45</f>
        <v>1514.16</v>
      </c>
      <c r="AA244" s="81">
        <f t="shared" si="21"/>
        <v>986.83999999999992</v>
      </c>
      <c r="AC244" s="106">
        <v>1</v>
      </c>
      <c r="AD244"/>
    </row>
    <row r="245" spans="1:34" x14ac:dyDescent="0.25">
      <c r="A245" t="s">
        <v>96</v>
      </c>
      <c r="B245" s="41">
        <v>242</v>
      </c>
      <c r="C245" t="s">
        <v>2089</v>
      </c>
      <c r="D245" t="s">
        <v>2090</v>
      </c>
      <c r="E245" s="13" t="s">
        <v>2091</v>
      </c>
      <c r="F245" s="13" t="s">
        <v>2092</v>
      </c>
      <c r="G245" t="s">
        <v>714</v>
      </c>
      <c r="H245" t="s">
        <v>29</v>
      </c>
      <c r="I245" s="13" t="s">
        <v>30</v>
      </c>
      <c r="J245" s="13"/>
      <c r="K245" t="s">
        <v>303</v>
      </c>
      <c r="L245" s="52" t="s">
        <v>53</v>
      </c>
      <c r="M245" s="13"/>
      <c r="S245" s="38" t="s">
        <v>292</v>
      </c>
      <c r="U245" s="54">
        <v>1855</v>
      </c>
      <c r="V245" s="54">
        <f>433</f>
        <v>433</v>
      </c>
      <c r="W245" t="s">
        <v>2063</v>
      </c>
      <c r="X245">
        <f>1422</f>
        <v>1422</v>
      </c>
      <c r="Y245" t="s">
        <v>2068</v>
      </c>
      <c r="Z245" s="54">
        <f>24.31+1160.08</f>
        <v>1184.3899999999999</v>
      </c>
      <c r="AA245" s="81">
        <f t="shared" si="21"/>
        <v>670.61000000000013</v>
      </c>
      <c r="AC245" s="106">
        <v>1</v>
      </c>
      <c r="AD245"/>
    </row>
    <row r="246" spans="1:34" x14ac:dyDescent="0.25">
      <c r="A246" t="s">
        <v>45</v>
      </c>
      <c r="B246" s="41">
        <v>9321</v>
      </c>
      <c r="C246" t="s">
        <v>2093</v>
      </c>
      <c r="D246" t="s">
        <v>2094</v>
      </c>
      <c r="E246" s="13" t="s">
        <v>1795</v>
      </c>
      <c r="F246" s="13" t="s">
        <v>2095</v>
      </c>
      <c r="G246" t="s">
        <v>260</v>
      </c>
      <c r="H246" t="s">
        <v>29</v>
      </c>
      <c r="I246" s="13" t="s">
        <v>34</v>
      </c>
      <c r="J246" s="13"/>
      <c r="K246" t="s">
        <v>31</v>
      </c>
      <c r="L246" s="52" t="s">
        <v>53</v>
      </c>
      <c r="M246" s="13"/>
      <c r="S246" s="38" t="s">
        <v>2096</v>
      </c>
      <c r="U246" s="54">
        <f>2155+1556</f>
        <v>3711</v>
      </c>
      <c r="V246" s="54">
        <f>575+1435+860+1104.75</f>
        <v>3974.75</v>
      </c>
      <c r="W246" t="s">
        <v>2097</v>
      </c>
      <c r="Z246" s="54">
        <f>694+285+24.31+1645.16</f>
        <v>2648.4700000000003</v>
      </c>
      <c r="AA246" s="81">
        <f t="shared" si="21"/>
        <v>1326.2799999999997</v>
      </c>
      <c r="AD246"/>
    </row>
    <row r="247" spans="1:34" x14ac:dyDescent="0.25">
      <c r="A247" s="72" t="s">
        <v>96</v>
      </c>
      <c r="B247" s="73">
        <v>205</v>
      </c>
      <c r="C247" s="72" t="s">
        <v>637</v>
      </c>
      <c r="D247" s="72" t="s">
        <v>638</v>
      </c>
      <c r="E247" s="75" t="s">
        <v>1768</v>
      </c>
      <c r="F247" s="75" t="s">
        <v>2098</v>
      </c>
      <c r="G247" s="72" t="s">
        <v>2099</v>
      </c>
      <c r="H247" s="72" t="s">
        <v>531</v>
      </c>
      <c r="I247" s="75" t="s">
        <v>34</v>
      </c>
      <c r="J247" s="75"/>
      <c r="K247" s="72" t="s">
        <v>38</v>
      </c>
      <c r="L247" s="74" t="s">
        <v>53</v>
      </c>
      <c r="M247" s="75"/>
      <c r="N247" s="75"/>
      <c r="O247" s="72"/>
      <c r="P247" s="76"/>
      <c r="Q247" s="76"/>
      <c r="R247" s="76"/>
      <c r="S247" s="76" t="s">
        <v>2100</v>
      </c>
      <c r="T247" s="72"/>
      <c r="U247" s="81">
        <f>1855+1235</f>
        <v>3090</v>
      </c>
      <c r="V247" s="81">
        <f>471+1235</f>
        <v>1706</v>
      </c>
      <c r="W247" s="72" t="s">
        <v>1925</v>
      </c>
      <c r="X247" s="72">
        <v>1384</v>
      </c>
      <c r="Y247" s="72" t="s">
        <v>2019</v>
      </c>
      <c r="Z247" s="81">
        <f>473.6+39.61+1224.88</f>
        <v>1738.0900000000001</v>
      </c>
      <c r="AA247" s="81">
        <f t="shared" si="21"/>
        <v>1351.9099999999999</v>
      </c>
      <c r="AD247"/>
    </row>
    <row r="248" spans="1:34" x14ac:dyDescent="0.25">
      <c r="A248" s="62" t="s">
        <v>96</v>
      </c>
      <c r="B248" s="63">
        <v>240</v>
      </c>
      <c r="C248" s="62" t="s">
        <v>2101</v>
      </c>
      <c r="D248" s="62" t="s">
        <v>2102</v>
      </c>
      <c r="E248" s="65" t="s">
        <v>2103</v>
      </c>
      <c r="F248" s="65" t="s">
        <v>2104</v>
      </c>
      <c r="G248" s="62" t="s">
        <v>2105</v>
      </c>
      <c r="H248" s="62" t="s">
        <v>29</v>
      </c>
      <c r="I248" s="65" t="s">
        <v>30</v>
      </c>
      <c r="J248" s="65"/>
      <c r="K248" s="62" t="s">
        <v>303</v>
      </c>
      <c r="L248" s="64" t="s">
        <v>53</v>
      </c>
      <c r="M248" s="65"/>
      <c r="N248" s="65"/>
      <c r="O248" s="62"/>
      <c r="P248" s="66"/>
      <c r="Q248" s="66"/>
      <c r="R248" s="66"/>
      <c r="S248" s="66" t="s">
        <v>2100</v>
      </c>
      <c r="T248" s="62"/>
      <c r="U248" s="68">
        <v>2005</v>
      </c>
      <c r="V248" s="68">
        <v>445</v>
      </c>
      <c r="W248" s="62" t="s">
        <v>2042</v>
      </c>
      <c r="X248" s="62">
        <v>1560</v>
      </c>
      <c r="Y248" s="62" t="s">
        <v>2068</v>
      </c>
      <c r="Z248" s="68">
        <f>5.6+24.31+1219.24</f>
        <v>1249.1500000000001</v>
      </c>
      <c r="AA248" s="68">
        <f t="shared" si="21"/>
        <v>755.84999999999991</v>
      </c>
      <c r="AD248"/>
    </row>
    <row r="249" spans="1:34" x14ac:dyDescent="0.25">
      <c r="A249" t="s">
        <v>96</v>
      </c>
      <c r="B249" s="41">
        <v>139</v>
      </c>
      <c r="C249" t="s">
        <v>2106</v>
      </c>
      <c r="D249" t="s">
        <v>2107</v>
      </c>
      <c r="E249" s="13" t="s">
        <v>152</v>
      </c>
      <c r="F249" s="13" t="s">
        <v>2108</v>
      </c>
      <c r="G249" t="s">
        <v>2109</v>
      </c>
      <c r="H249" t="s">
        <v>29</v>
      </c>
      <c r="I249" s="13" t="s">
        <v>34</v>
      </c>
      <c r="J249" s="13" t="s">
        <v>103</v>
      </c>
      <c r="L249" s="52">
        <v>45470</v>
      </c>
      <c r="M249" s="13"/>
      <c r="S249" s="38" t="s">
        <v>2110</v>
      </c>
      <c r="T249" t="s">
        <v>2111</v>
      </c>
      <c r="U249" s="54">
        <v>2864</v>
      </c>
      <c r="V249" s="54">
        <f>450+864</f>
        <v>1314</v>
      </c>
      <c r="W249" t="s">
        <v>2112</v>
      </c>
      <c r="X249">
        <v>1550</v>
      </c>
      <c r="Y249" t="s">
        <v>2113</v>
      </c>
      <c r="Z249" s="54">
        <f>461.1+5.38+23.6+1363.82</f>
        <v>1853.9</v>
      </c>
      <c r="AA249" s="81">
        <f t="shared" si="21"/>
        <v>1010.0999999999999</v>
      </c>
      <c r="AC249" s="106">
        <f>IF(J249="YES",0,1)</f>
        <v>0</v>
      </c>
      <c r="AD249"/>
    </row>
    <row r="250" spans="1:34" x14ac:dyDescent="0.25">
      <c r="A250" s="178" t="s">
        <v>96</v>
      </c>
      <c r="B250" s="179">
        <v>241</v>
      </c>
      <c r="C250" s="178" t="s">
        <v>2114</v>
      </c>
      <c r="D250" s="178" t="s">
        <v>2115</v>
      </c>
      <c r="E250" s="180" t="s">
        <v>2091</v>
      </c>
      <c r="F250" s="180" t="s">
        <v>2116</v>
      </c>
      <c r="G250" s="178" t="s">
        <v>686</v>
      </c>
      <c r="H250" s="178" t="s">
        <v>29</v>
      </c>
      <c r="I250" s="180" t="s">
        <v>30</v>
      </c>
      <c r="J250" s="180"/>
      <c r="K250" s="178" t="s">
        <v>60</v>
      </c>
      <c r="L250" s="181" t="s">
        <v>53</v>
      </c>
      <c r="M250" s="180"/>
      <c r="N250" s="180"/>
      <c r="O250" s="178"/>
      <c r="P250" s="182"/>
      <c r="Q250" s="182"/>
      <c r="R250" s="182"/>
      <c r="S250" s="182" t="s">
        <v>2117</v>
      </c>
      <c r="T250" s="178"/>
      <c r="U250" s="183">
        <v>1037</v>
      </c>
      <c r="V250" s="183">
        <f>450</f>
        <v>450</v>
      </c>
      <c r="W250" s="178" t="s">
        <v>2063</v>
      </c>
      <c r="X250" s="178">
        <v>150</v>
      </c>
      <c r="Y250" s="178" t="s">
        <v>2071</v>
      </c>
      <c r="Z250" s="183">
        <v>0</v>
      </c>
      <c r="AA250" s="183">
        <f t="shared" si="21"/>
        <v>600</v>
      </c>
      <c r="AC250" s="106">
        <f>IF(J250="YES",0,1)</f>
        <v>1</v>
      </c>
      <c r="AD250"/>
    </row>
    <row r="251" spans="1:34" x14ac:dyDescent="0.25">
      <c r="A251" t="s">
        <v>96</v>
      </c>
      <c r="B251" s="41">
        <v>191</v>
      </c>
      <c r="C251" t="s">
        <v>2118</v>
      </c>
      <c r="D251" t="s">
        <v>2119</v>
      </c>
      <c r="E251" s="13" t="s">
        <v>2120</v>
      </c>
      <c r="F251" s="13" t="s">
        <v>2121</v>
      </c>
      <c r="G251" t="s">
        <v>330</v>
      </c>
      <c r="H251" t="s">
        <v>29</v>
      </c>
      <c r="I251" s="13" t="s">
        <v>34</v>
      </c>
      <c r="J251" s="13"/>
      <c r="K251" t="s">
        <v>38</v>
      </c>
      <c r="L251" s="52" t="s">
        <v>53</v>
      </c>
      <c r="M251" s="13"/>
      <c r="S251" s="38" t="s">
        <v>2122</v>
      </c>
      <c r="U251" s="54">
        <f>2205+1935</f>
        <v>4140</v>
      </c>
      <c r="V251" s="54">
        <f>455+1764</f>
        <v>2219</v>
      </c>
      <c r="W251" t="s">
        <v>1913</v>
      </c>
      <c r="X251">
        <v>1750</v>
      </c>
      <c r="Y251" t="s">
        <v>2123</v>
      </c>
      <c r="Z251" s="54">
        <f>694+24.31+1301.06</f>
        <v>2019.37</v>
      </c>
      <c r="AA251" s="81">
        <f t="shared" ref="AA251" si="22">V251+X251-Z251</f>
        <v>1949.63</v>
      </c>
      <c r="AC251" s="106">
        <f>IF(J251="YES",0,1)</f>
        <v>1</v>
      </c>
      <c r="AD251"/>
    </row>
    <row r="252" spans="1:34" x14ac:dyDescent="0.25">
      <c r="A252" t="s">
        <v>96</v>
      </c>
      <c r="B252" s="41">
        <v>164</v>
      </c>
      <c r="C252" t="s">
        <v>2124</v>
      </c>
      <c r="D252" t="s">
        <v>2125</v>
      </c>
      <c r="E252" s="13" t="s">
        <v>189</v>
      </c>
      <c r="F252" s="13" t="s">
        <v>2126</v>
      </c>
      <c r="G252" t="s">
        <v>2127</v>
      </c>
      <c r="H252" t="s">
        <v>1181</v>
      </c>
      <c r="I252" s="13" t="s">
        <v>30</v>
      </c>
      <c r="J252" s="13"/>
      <c r="K252" t="s">
        <v>229</v>
      </c>
      <c r="L252" s="52">
        <v>45467</v>
      </c>
      <c r="M252" s="13"/>
      <c r="S252" s="38" t="s">
        <v>2128</v>
      </c>
      <c r="T252" t="s">
        <v>2129</v>
      </c>
      <c r="U252" s="54">
        <f>2200+475</f>
        <v>2675</v>
      </c>
      <c r="V252" s="54">
        <v>480</v>
      </c>
      <c r="W252" t="s">
        <v>1750</v>
      </c>
      <c r="X252">
        <v>1720</v>
      </c>
      <c r="Y252" t="s">
        <v>510</v>
      </c>
      <c r="Z252" s="54">
        <f>24.31+16.8+1158.38</f>
        <v>1199.49</v>
      </c>
      <c r="AA252" s="81">
        <f>V252+X252-Z252</f>
        <v>1000.51</v>
      </c>
      <c r="AC252" s="106">
        <v>1</v>
      </c>
      <c r="AD252"/>
    </row>
    <row r="253" spans="1:34" x14ac:dyDescent="0.25">
      <c r="A253" t="s">
        <v>96</v>
      </c>
      <c r="B253" s="41">
        <v>238</v>
      </c>
      <c r="C253" t="s">
        <v>2130</v>
      </c>
      <c r="D253" t="s">
        <v>2131</v>
      </c>
      <c r="E253" s="13" t="s">
        <v>2132</v>
      </c>
      <c r="F253" s="13" t="s">
        <v>2133</v>
      </c>
      <c r="G253" t="s">
        <v>1534</v>
      </c>
      <c r="H253" t="s">
        <v>29</v>
      </c>
      <c r="I253" s="13" t="s">
        <v>30</v>
      </c>
      <c r="J253" s="13"/>
      <c r="K253" t="s">
        <v>2134</v>
      </c>
      <c r="L253" s="52" t="s">
        <v>53</v>
      </c>
      <c r="M253" s="13"/>
      <c r="S253" s="38" t="s">
        <v>2128</v>
      </c>
      <c r="U253" s="54">
        <v>2105</v>
      </c>
      <c r="V253" s="54">
        <f>466</f>
        <v>466</v>
      </c>
      <c r="W253" t="s">
        <v>2135</v>
      </c>
      <c r="X253">
        <v>1639</v>
      </c>
      <c r="Y253" t="s">
        <v>2136</v>
      </c>
      <c r="Z253" s="54">
        <f>24.31+1374.71</f>
        <v>1399.02</v>
      </c>
      <c r="AA253" s="81">
        <f>V253+X253-Z253</f>
        <v>705.98</v>
      </c>
      <c r="AC253" s="106">
        <v>1</v>
      </c>
      <c r="AD253"/>
    </row>
    <row r="254" spans="1:34" x14ac:dyDescent="0.25">
      <c r="A254" t="s">
        <v>96</v>
      </c>
      <c r="B254" s="41">
        <v>213</v>
      </c>
      <c r="C254" t="s">
        <v>2137</v>
      </c>
      <c r="D254" t="s">
        <v>2138</v>
      </c>
      <c r="E254" s="13" t="s">
        <v>219</v>
      </c>
      <c r="F254" s="13" t="s">
        <v>2139</v>
      </c>
      <c r="G254" t="s">
        <v>2105</v>
      </c>
      <c r="H254" t="s">
        <v>29</v>
      </c>
      <c r="I254" s="13" t="s">
        <v>34</v>
      </c>
      <c r="J254" s="13"/>
      <c r="K254" t="s">
        <v>1974</v>
      </c>
      <c r="L254" s="52" t="s">
        <v>53</v>
      </c>
      <c r="M254" s="13"/>
      <c r="S254" s="38" t="s">
        <v>2140</v>
      </c>
      <c r="U254" s="54">
        <f>2255+949</f>
        <v>3204</v>
      </c>
      <c r="V254" s="54">
        <v>3204</v>
      </c>
      <c r="W254" t="s">
        <v>2141</v>
      </c>
      <c r="Z254" s="54">
        <f>1457.3+167+24.31+7.8</f>
        <v>1656.4099999999999</v>
      </c>
      <c r="AA254" s="81">
        <f t="shared" ref="AA254" si="23">V254+X254-Z254</f>
        <v>1547.5900000000001</v>
      </c>
      <c r="AC254" s="106">
        <f>IF(J254="YES",0,1)</f>
        <v>1</v>
      </c>
      <c r="AD254"/>
    </row>
    <row r="255" spans="1:34" x14ac:dyDescent="0.25">
      <c r="A255" t="s">
        <v>96</v>
      </c>
      <c r="B255" s="41">
        <v>70</v>
      </c>
      <c r="C255" t="s">
        <v>2142</v>
      </c>
      <c r="D255" t="s">
        <v>2143</v>
      </c>
      <c r="E255" s="13" t="s">
        <v>1304</v>
      </c>
      <c r="F255" s="13" t="s">
        <v>2144</v>
      </c>
      <c r="G255" t="s">
        <v>215</v>
      </c>
      <c r="H255" t="s">
        <v>2145</v>
      </c>
      <c r="I255" s="13" t="s">
        <v>34</v>
      </c>
      <c r="J255" s="75"/>
      <c r="K255" t="s">
        <v>111</v>
      </c>
      <c r="L255" s="161">
        <v>45467</v>
      </c>
      <c r="M255" s="13"/>
      <c r="S255" s="38" t="s">
        <v>2146</v>
      </c>
      <c r="T255" t="s">
        <v>2147</v>
      </c>
      <c r="U255" s="54">
        <v>5914</v>
      </c>
      <c r="V255" s="54">
        <f>450+1014+1295.3</f>
        <v>2759.3</v>
      </c>
      <c r="W255" t="s">
        <v>2148</v>
      </c>
      <c r="X255">
        <v>2400</v>
      </c>
      <c r="Y255" t="s">
        <v>2036</v>
      </c>
      <c r="Z255" s="54">
        <f>64.5+1661.6+15.3+15.3+23.6</f>
        <v>1780.2999999999997</v>
      </c>
      <c r="AA255" s="81">
        <f>V255+X255-Z255</f>
        <v>3379.0000000000005</v>
      </c>
      <c r="AC255" s="106">
        <v>1</v>
      </c>
      <c r="AD255"/>
    </row>
    <row r="256" spans="1:34" x14ac:dyDescent="0.25">
      <c r="A256" t="s">
        <v>45</v>
      </c>
      <c r="B256" s="41">
        <v>8</v>
      </c>
      <c r="C256" t="s">
        <v>2149</v>
      </c>
      <c r="D256" t="s">
        <v>2150</v>
      </c>
      <c r="E256" s="13" t="s">
        <v>2151</v>
      </c>
      <c r="F256" s="13" t="s">
        <v>2152</v>
      </c>
      <c r="G256" t="s">
        <v>2153</v>
      </c>
      <c r="H256" t="s">
        <v>29</v>
      </c>
      <c r="I256" s="13" t="s">
        <v>30</v>
      </c>
      <c r="J256" s="13"/>
      <c r="K256" t="s">
        <v>31</v>
      </c>
      <c r="L256" s="52" t="s">
        <v>53</v>
      </c>
      <c r="M256" s="13"/>
      <c r="S256" s="38" t="s">
        <v>2146</v>
      </c>
      <c r="U256" s="54">
        <v>1905</v>
      </c>
      <c r="V256" s="54">
        <v>452</v>
      </c>
      <c r="W256" t="s">
        <v>1224</v>
      </c>
      <c r="X256">
        <v>1453</v>
      </c>
      <c r="Y256" t="s">
        <v>2136</v>
      </c>
      <c r="Z256" s="54">
        <f>24.31+1155.41</f>
        <v>1179.72</v>
      </c>
      <c r="AA256" s="81">
        <f>V256+X256-Z256</f>
        <v>725.28</v>
      </c>
      <c r="AC256" s="106">
        <v>1</v>
      </c>
      <c r="AD256"/>
      <c r="AH256" s="154"/>
    </row>
    <row r="257" spans="1:30" x14ac:dyDescent="0.25">
      <c r="A257" t="s">
        <v>96</v>
      </c>
      <c r="B257" s="41">
        <v>177</v>
      </c>
      <c r="C257" t="s">
        <v>2154</v>
      </c>
      <c r="D257" t="s">
        <v>2155</v>
      </c>
      <c r="E257" s="52" t="s">
        <v>1695</v>
      </c>
      <c r="F257" s="13" t="s">
        <v>2156</v>
      </c>
      <c r="G257" t="s">
        <v>926</v>
      </c>
      <c r="H257" t="s">
        <v>29</v>
      </c>
      <c r="I257" s="13" t="s">
        <v>30</v>
      </c>
      <c r="J257" s="13"/>
      <c r="K257" t="s">
        <v>429</v>
      </c>
      <c r="L257" s="52" t="s">
        <v>53</v>
      </c>
      <c r="M257" s="13"/>
      <c r="S257" s="38" t="s">
        <v>2157</v>
      </c>
      <c r="U257" s="54">
        <v>4946.5</v>
      </c>
      <c r="V257" s="54">
        <f>475+1214</f>
        <v>1689</v>
      </c>
      <c r="W257" t="s">
        <v>1829</v>
      </c>
      <c r="X257">
        <f>550+1975</f>
        <v>2525</v>
      </c>
      <c r="Y257" t="s">
        <v>2057</v>
      </c>
      <c r="Z257" s="54">
        <f>694+39.91+1373.69</f>
        <v>2107.6</v>
      </c>
      <c r="AA257" s="81">
        <f t="shared" ref="AA257:AA258" si="24">V257+X257-Z257</f>
        <v>2106.4</v>
      </c>
      <c r="AC257" s="106">
        <v>1</v>
      </c>
      <c r="AD257"/>
    </row>
    <row r="258" spans="1:30" ht="15.75" customHeight="1" x14ac:dyDescent="0.25">
      <c r="A258" t="s">
        <v>45</v>
      </c>
      <c r="B258" s="41">
        <v>11</v>
      </c>
      <c r="C258" t="s">
        <v>2158</v>
      </c>
      <c r="D258" t="s">
        <v>2159</v>
      </c>
      <c r="E258" s="13" t="s">
        <v>2160</v>
      </c>
      <c r="F258" s="13" t="s">
        <v>2161</v>
      </c>
      <c r="G258" t="s">
        <v>686</v>
      </c>
      <c r="H258" t="s">
        <v>374</v>
      </c>
      <c r="I258" s="13" t="s">
        <v>30</v>
      </c>
      <c r="J258" s="13"/>
      <c r="K258" t="s">
        <v>60</v>
      </c>
      <c r="L258" s="52" t="s">
        <v>53</v>
      </c>
      <c r="M258" s="13"/>
      <c r="S258" s="38" t="s">
        <v>2157</v>
      </c>
      <c r="U258" s="54">
        <v>1730</v>
      </c>
      <c r="V258" s="54">
        <v>435</v>
      </c>
      <c r="W258" t="s">
        <v>2088</v>
      </c>
      <c r="X258">
        <v>1295</v>
      </c>
      <c r="Y258" t="s">
        <v>2146</v>
      </c>
      <c r="Z258" s="54">
        <f>5.6+5.6+24.31+1051.25</f>
        <v>1086.76</v>
      </c>
      <c r="AA258" s="81">
        <f t="shared" si="24"/>
        <v>643.24</v>
      </c>
      <c r="AC258" s="106">
        <v>1</v>
      </c>
      <c r="AD258"/>
    </row>
    <row r="259" spans="1:30" x14ac:dyDescent="0.25">
      <c r="A259" t="s">
        <v>45</v>
      </c>
      <c r="B259" s="41">
        <v>9331</v>
      </c>
      <c r="C259" t="s">
        <v>2162</v>
      </c>
      <c r="D259" t="s">
        <v>2163</v>
      </c>
      <c r="E259" s="13" t="s">
        <v>2164</v>
      </c>
      <c r="F259" s="13" t="s">
        <v>2165</v>
      </c>
      <c r="G259" t="s">
        <v>2166</v>
      </c>
      <c r="H259" t="s">
        <v>29</v>
      </c>
      <c r="I259" s="13" t="s">
        <v>30</v>
      </c>
      <c r="J259" s="13"/>
      <c r="K259" t="s">
        <v>38</v>
      </c>
      <c r="L259" s="52" t="s">
        <v>53</v>
      </c>
      <c r="M259" s="13"/>
      <c r="S259" s="38" t="s">
        <v>2167</v>
      </c>
      <c r="U259" s="54">
        <v>1805</v>
      </c>
      <c r="V259" s="54">
        <f>466+1339</f>
        <v>1805</v>
      </c>
      <c r="W259" t="s">
        <v>1983</v>
      </c>
      <c r="Z259" s="54">
        <f>10+24.31+1444.34</f>
        <v>1478.6499999999999</v>
      </c>
      <c r="AA259" s="81">
        <f t="shared" ref="AA259:AA261" si="25">V259+X259-Z259</f>
        <v>326.35000000000014</v>
      </c>
      <c r="AC259" s="106">
        <v>1</v>
      </c>
      <c r="AD259"/>
    </row>
    <row r="260" spans="1:30" x14ac:dyDescent="0.25">
      <c r="A260" t="s">
        <v>96</v>
      </c>
      <c r="B260" s="41">
        <v>204</v>
      </c>
      <c r="C260" t="s">
        <v>2168</v>
      </c>
      <c r="D260" t="s">
        <v>2169</v>
      </c>
      <c r="E260" s="13" t="s">
        <v>1903</v>
      </c>
      <c r="F260" s="13" t="s">
        <v>2170</v>
      </c>
      <c r="G260" t="s">
        <v>2171</v>
      </c>
      <c r="H260" t="s">
        <v>29</v>
      </c>
      <c r="I260" s="13" t="s">
        <v>34</v>
      </c>
      <c r="J260" s="13"/>
      <c r="K260" t="s">
        <v>38</v>
      </c>
      <c r="L260" s="52" t="s">
        <v>53</v>
      </c>
      <c r="M260" s="13"/>
      <c r="S260" s="38" t="s">
        <v>2167</v>
      </c>
      <c r="U260" s="54">
        <f>2105+616</f>
        <v>2721</v>
      </c>
      <c r="V260" s="54">
        <f>454+2105</f>
        <v>2559</v>
      </c>
      <c r="W260" t="s">
        <v>1988</v>
      </c>
      <c r="X260">
        <v>162</v>
      </c>
      <c r="Y260" t="s">
        <v>2172</v>
      </c>
      <c r="Z260" s="54">
        <f>7.8+24.31+1423.92</f>
        <v>1456.03</v>
      </c>
      <c r="AA260" s="81">
        <f t="shared" si="25"/>
        <v>1264.97</v>
      </c>
      <c r="AC260" s="106">
        <f>IF(J260="YES",0,1)</f>
        <v>1</v>
      </c>
      <c r="AD260"/>
    </row>
    <row r="261" spans="1:30" x14ac:dyDescent="0.25">
      <c r="A261" t="s">
        <v>96</v>
      </c>
      <c r="B261" s="41">
        <v>269</v>
      </c>
      <c r="C261" t="s">
        <v>2173</v>
      </c>
      <c r="D261" t="s">
        <v>2174</v>
      </c>
      <c r="E261" s="13" t="s">
        <v>2175</v>
      </c>
      <c r="F261" s="13" t="s">
        <v>2176</v>
      </c>
      <c r="G261" t="s">
        <v>2177</v>
      </c>
      <c r="H261" t="s">
        <v>29</v>
      </c>
      <c r="I261" s="13" t="s">
        <v>30</v>
      </c>
      <c r="J261" s="13"/>
      <c r="L261" s="52" t="s">
        <v>53</v>
      </c>
      <c r="M261" s="13"/>
      <c r="S261" s="38" t="s">
        <v>2167</v>
      </c>
      <c r="U261" s="54">
        <v>1855</v>
      </c>
      <c r="V261" s="54">
        <v>452</v>
      </c>
      <c r="W261" t="s">
        <v>2128</v>
      </c>
      <c r="X261">
        <v>1403</v>
      </c>
      <c r="Y261" t="s">
        <v>2157</v>
      </c>
      <c r="Z261" s="54">
        <f>16.8+5.6+5.6+24.31+1398.24</f>
        <v>1450.55</v>
      </c>
      <c r="AA261" s="81">
        <f t="shared" si="25"/>
        <v>404.45000000000005</v>
      </c>
      <c r="AC261" s="106">
        <v>1</v>
      </c>
      <c r="AD261"/>
    </row>
    <row r="262" spans="1:30" x14ac:dyDescent="0.25">
      <c r="A262" t="s">
        <v>96</v>
      </c>
      <c r="B262" s="41">
        <v>231</v>
      </c>
      <c r="C262" t="s">
        <v>2178</v>
      </c>
      <c r="D262" t="s">
        <v>2179</v>
      </c>
      <c r="E262" s="13" t="s">
        <v>252</v>
      </c>
      <c r="F262" s="13" t="s">
        <v>2180</v>
      </c>
      <c r="G262" t="s">
        <v>2181</v>
      </c>
      <c r="H262" t="s">
        <v>29</v>
      </c>
      <c r="I262" s="13" t="s">
        <v>30</v>
      </c>
      <c r="J262" s="13"/>
      <c r="L262" s="52" t="s">
        <v>53</v>
      </c>
      <c r="M262" s="13"/>
      <c r="S262" s="38" t="s">
        <v>2182</v>
      </c>
      <c r="U262" s="54">
        <v>2501</v>
      </c>
      <c r="V262" s="54">
        <f>431+646</f>
        <v>1077</v>
      </c>
      <c r="W262" t="s">
        <v>2088</v>
      </c>
      <c r="X262">
        <v>1424</v>
      </c>
      <c r="Y262" t="s">
        <v>2183</v>
      </c>
      <c r="Z262" s="54">
        <f>11.2+1158.85+5.6+24.31+448.3</f>
        <v>1648.2599999999998</v>
      </c>
      <c r="AA262" s="81">
        <f>V262+X262-Z262</f>
        <v>852.74000000000024</v>
      </c>
      <c r="AC262" s="106">
        <f>IF(J262="YES",0,1)</f>
        <v>1</v>
      </c>
      <c r="AD262"/>
    </row>
    <row r="263" spans="1:30" x14ac:dyDescent="0.25">
      <c r="A263" t="s">
        <v>45</v>
      </c>
      <c r="B263" s="41">
        <v>9336</v>
      </c>
      <c r="C263" t="s">
        <v>2184</v>
      </c>
      <c r="D263" t="s">
        <v>2185</v>
      </c>
      <c r="E263" s="13" t="s">
        <v>2186</v>
      </c>
      <c r="F263" s="13" t="s">
        <v>2187</v>
      </c>
      <c r="G263" t="s">
        <v>2188</v>
      </c>
      <c r="H263" t="s">
        <v>2189</v>
      </c>
      <c r="I263" s="13" t="s">
        <v>34</v>
      </c>
      <c r="J263" s="13"/>
      <c r="K263" t="s">
        <v>67</v>
      </c>
      <c r="L263" s="52" t="s">
        <v>53</v>
      </c>
      <c r="M263" s="13"/>
      <c r="S263" s="38" t="s">
        <v>2190</v>
      </c>
      <c r="U263" s="54">
        <v>1805</v>
      </c>
      <c r="V263" s="54">
        <v>442</v>
      </c>
      <c r="W263" t="s">
        <v>2191</v>
      </c>
      <c r="X263">
        <v>1363</v>
      </c>
      <c r="Y263" t="s">
        <v>2192</v>
      </c>
      <c r="Z263" s="54">
        <f>1160.51+29.91+72.59</f>
        <v>1263.01</v>
      </c>
      <c r="AA263" s="81">
        <f>V263+X263-Z263</f>
        <v>541.99</v>
      </c>
      <c r="AC263" s="106">
        <f t="shared" ref="AC263" si="26">IF(J263="YES",0,1)</f>
        <v>1</v>
      </c>
      <c r="AD263"/>
    </row>
    <row r="264" spans="1:30" x14ac:dyDescent="0.25">
      <c r="A264" s="62" t="s">
        <v>45</v>
      </c>
      <c r="B264" s="63">
        <v>12</v>
      </c>
      <c r="C264" s="62" t="s">
        <v>2193</v>
      </c>
      <c r="D264" s="62" t="s">
        <v>2194</v>
      </c>
      <c r="E264" s="65" t="s">
        <v>2160</v>
      </c>
      <c r="F264" s="65" t="s">
        <v>2195</v>
      </c>
      <c r="G264" s="62" t="s">
        <v>2196</v>
      </c>
      <c r="H264" s="62" t="s">
        <v>29</v>
      </c>
      <c r="I264" s="65" t="s">
        <v>30</v>
      </c>
      <c r="J264" s="65"/>
      <c r="K264" s="62" t="s">
        <v>60</v>
      </c>
      <c r="L264" s="64" t="s">
        <v>53</v>
      </c>
      <c r="M264" s="65"/>
      <c r="N264" s="65"/>
      <c r="O264" s="62"/>
      <c r="P264" s="66"/>
      <c r="Q264" s="66"/>
      <c r="R264" s="66" t="s">
        <v>2197</v>
      </c>
      <c r="S264" s="66" t="s">
        <v>2190</v>
      </c>
      <c r="T264" s="62"/>
      <c r="U264" s="68">
        <v>1905</v>
      </c>
      <c r="V264" s="68"/>
      <c r="W264" s="62"/>
      <c r="X264" s="62"/>
      <c r="Y264" s="62"/>
      <c r="Z264" s="68"/>
      <c r="AA264" s="62">
        <v>0</v>
      </c>
      <c r="AC264" s="106">
        <f>IF(I264="YES",0,1)</f>
        <v>1</v>
      </c>
      <c r="AD264"/>
    </row>
    <row r="265" spans="1:30" x14ac:dyDescent="0.25">
      <c r="A265" s="72" t="s">
        <v>96</v>
      </c>
      <c r="B265" s="73">
        <v>222</v>
      </c>
      <c r="C265" s="72" t="s">
        <v>2198</v>
      </c>
      <c r="D265" s="72" t="s">
        <v>2199</v>
      </c>
      <c r="E265" s="75" t="s">
        <v>2200</v>
      </c>
      <c r="F265" s="75" t="s">
        <v>2201</v>
      </c>
      <c r="G265" s="72" t="s">
        <v>2202</v>
      </c>
      <c r="H265" s="72" t="s">
        <v>29</v>
      </c>
      <c r="I265" s="75" t="s">
        <v>34</v>
      </c>
      <c r="J265" s="75" t="s">
        <v>103</v>
      </c>
      <c r="K265" s="75"/>
      <c r="L265" s="72" t="s">
        <v>156</v>
      </c>
      <c r="M265" s="74" t="s">
        <v>53</v>
      </c>
      <c r="N265" s="75"/>
      <c r="O265" s="75"/>
      <c r="P265" s="72"/>
      <c r="Q265" s="76"/>
      <c r="R265" s="76"/>
      <c r="S265" s="76" t="s">
        <v>2203</v>
      </c>
      <c r="T265" s="76"/>
      <c r="U265" s="81">
        <v>2969</v>
      </c>
      <c r="V265" s="81">
        <v>473</v>
      </c>
      <c r="W265" s="81" t="s">
        <v>232</v>
      </c>
      <c r="X265" s="72">
        <v>1732</v>
      </c>
      <c r="Y265" s="72" t="s">
        <v>2204</v>
      </c>
      <c r="Z265" s="81">
        <f>1300.61+24.31+99.95</f>
        <v>1424.87</v>
      </c>
      <c r="AA265" s="81">
        <f>2205-Z265</f>
        <v>780.13000000000011</v>
      </c>
      <c r="AC265" s="106">
        <v>1</v>
      </c>
      <c r="AD265"/>
    </row>
    <row r="266" spans="1:30" x14ac:dyDescent="0.25">
      <c r="A266" t="s">
        <v>96</v>
      </c>
      <c r="B266" s="41">
        <v>221</v>
      </c>
      <c r="C266" t="s">
        <v>2205</v>
      </c>
      <c r="D266" t="s">
        <v>2206</v>
      </c>
      <c r="E266" s="13" t="s">
        <v>2207</v>
      </c>
      <c r="F266" s="13" t="s">
        <v>2208</v>
      </c>
      <c r="G266" t="s">
        <v>72</v>
      </c>
      <c r="H266" t="s">
        <v>29</v>
      </c>
      <c r="I266" s="13" t="s">
        <v>34</v>
      </c>
      <c r="J266" s="13"/>
      <c r="K266" t="s">
        <v>31</v>
      </c>
      <c r="L266" s="52" t="s">
        <v>53</v>
      </c>
      <c r="M266" s="13"/>
      <c r="S266" s="38" t="s">
        <v>2209</v>
      </c>
      <c r="U266" s="54">
        <v>3829</v>
      </c>
      <c r="X266">
        <v>3829</v>
      </c>
      <c r="Z266" s="54">
        <v>2045.3</v>
      </c>
      <c r="AA266" s="81">
        <f t="shared" ref="AA266" si="27">V266+X266-Z266</f>
        <v>1783.7</v>
      </c>
      <c r="AC266" s="106">
        <f t="shared" ref="AC266" si="28">IF(J266="YES",0,1)</f>
        <v>1</v>
      </c>
      <c r="AD266"/>
    </row>
    <row r="267" spans="1:30" x14ac:dyDescent="0.25">
      <c r="A267" t="s">
        <v>96</v>
      </c>
      <c r="B267" s="41">
        <v>203</v>
      </c>
      <c r="C267" t="s">
        <v>2210</v>
      </c>
      <c r="D267" t="s">
        <v>2211</v>
      </c>
      <c r="E267" s="13" t="s">
        <v>2212</v>
      </c>
      <c r="F267" s="13" t="s">
        <v>2213</v>
      </c>
      <c r="G267" t="s">
        <v>335</v>
      </c>
      <c r="H267" t="s">
        <v>29</v>
      </c>
      <c r="I267" s="13" t="s">
        <v>30</v>
      </c>
      <c r="J267" s="13"/>
      <c r="K267" t="s">
        <v>335</v>
      </c>
      <c r="L267" s="52" t="s">
        <v>53</v>
      </c>
      <c r="M267" s="13"/>
      <c r="S267" s="38" t="s">
        <v>2214</v>
      </c>
      <c r="U267" s="54">
        <v>3829</v>
      </c>
      <c r="X267">
        <v>3829</v>
      </c>
      <c r="Y267" t="s">
        <v>2136</v>
      </c>
      <c r="Z267" s="54">
        <v>2045.3</v>
      </c>
      <c r="AA267" s="81">
        <f t="shared" ref="AA267" si="29">V267+X267-Z267</f>
        <v>1783.7</v>
      </c>
      <c r="AC267" s="106">
        <v>1</v>
      </c>
      <c r="AD267"/>
    </row>
    <row r="268" spans="1:30" x14ac:dyDescent="0.25">
      <c r="A268" t="s">
        <v>96</v>
      </c>
      <c r="B268" s="41">
        <v>252</v>
      </c>
      <c r="C268" t="s">
        <v>2215</v>
      </c>
      <c r="D268" t="s">
        <v>2216</v>
      </c>
      <c r="E268" s="13" t="s">
        <v>286</v>
      </c>
      <c r="F268" s="13" t="s">
        <v>2217</v>
      </c>
      <c r="G268" t="s">
        <v>241</v>
      </c>
      <c r="H268" t="s">
        <v>2218</v>
      </c>
      <c r="I268" s="13" t="s">
        <v>30</v>
      </c>
      <c r="J268" s="13"/>
      <c r="K268" t="s">
        <v>60</v>
      </c>
      <c r="L268" s="52" t="s">
        <v>53</v>
      </c>
      <c r="M268" s="13"/>
      <c r="S268" s="38" t="s">
        <v>2219</v>
      </c>
      <c r="U268" s="54">
        <v>2607</v>
      </c>
      <c r="X268">
        <v>2607</v>
      </c>
      <c r="Y268" t="s">
        <v>2190</v>
      </c>
      <c r="Z268" s="54">
        <f>320.2+24.31+1324.22+130.5</f>
        <v>1799.23</v>
      </c>
      <c r="AA268" s="81">
        <f>V268+X268-Z268</f>
        <v>807.77</v>
      </c>
      <c r="AC268" s="106">
        <v>1</v>
      </c>
      <c r="AD268"/>
    </row>
    <row r="269" spans="1:30" x14ac:dyDescent="0.25">
      <c r="A269" s="72" t="s">
        <v>45</v>
      </c>
      <c r="B269" s="73">
        <v>16</v>
      </c>
      <c r="C269" s="72" t="s">
        <v>2220</v>
      </c>
      <c r="D269" s="72" t="s">
        <v>2221</v>
      </c>
      <c r="E269" s="75" t="s">
        <v>2222</v>
      </c>
      <c r="F269" s="75" t="s">
        <v>2223</v>
      </c>
      <c r="G269" s="72" t="s">
        <v>2224</v>
      </c>
      <c r="H269" s="72" t="s">
        <v>37</v>
      </c>
      <c r="I269" s="75" t="s">
        <v>34</v>
      </c>
      <c r="J269" s="75"/>
      <c r="K269" s="72" t="s">
        <v>60</v>
      </c>
      <c r="L269" s="74" t="s">
        <v>53</v>
      </c>
      <c r="M269" s="75"/>
      <c r="N269" s="75"/>
      <c r="O269" s="72"/>
      <c r="P269" s="76"/>
      <c r="Q269" s="76"/>
      <c r="R269" s="76"/>
      <c r="S269" s="76" t="s">
        <v>2225</v>
      </c>
      <c r="T269" s="72"/>
      <c r="U269" s="81">
        <v>2722</v>
      </c>
      <c r="V269" s="81">
        <f>121+463.42</f>
        <v>584.42000000000007</v>
      </c>
      <c r="W269" s="72" t="s">
        <v>2226</v>
      </c>
      <c r="X269" s="72">
        <v>1191.58</v>
      </c>
      <c r="Y269" s="72" t="s">
        <v>2203</v>
      </c>
      <c r="Z269" s="81">
        <f>29.91+1154.69</f>
        <v>1184.6000000000001</v>
      </c>
      <c r="AA269" s="81">
        <f t="shared" ref="AA269:AA270" si="30">V269+X269-Z269</f>
        <v>591.39999999999986</v>
      </c>
      <c r="AB269" s="54"/>
      <c r="AC269" s="106">
        <v>1</v>
      </c>
      <c r="AD269"/>
    </row>
    <row r="270" spans="1:30" x14ac:dyDescent="0.25">
      <c r="A270" t="s">
        <v>96</v>
      </c>
      <c r="B270" s="41">
        <v>183</v>
      </c>
      <c r="C270" t="s">
        <v>2227</v>
      </c>
      <c r="D270" t="s">
        <v>2228</v>
      </c>
      <c r="E270" s="13" t="s">
        <v>1739</v>
      </c>
      <c r="F270" s="13" t="s">
        <v>2229</v>
      </c>
      <c r="G270" t="s">
        <v>227</v>
      </c>
      <c r="H270" t="s">
        <v>29</v>
      </c>
      <c r="I270" s="13" t="s">
        <v>34</v>
      </c>
      <c r="J270" s="13"/>
      <c r="K270" t="s">
        <v>2230</v>
      </c>
      <c r="L270" s="52" t="s">
        <v>53</v>
      </c>
      <c r="M270" s="13"/>
      <c r="S270" s="38" t="s">
        <v>2225</v>
      </c>
      <c r="U270" s="54">
        <v>3935</v>
      </c>
      <c r="V270" s="54">
        <v>4598.8999999999996</v>
      </c>
      <c r="Z270" s="54">
        <v>1846.45</v>
      </c>
      <c r="AA270" s="81">
        <f t="shared" si="30"/>
        <v>2752.45</v>
      </c>
      <c r="AC270" s="106">
        <v>1</v>
      </c>
      <c r="AD270"/>
    </row>
    <row r="271" spans="1:30" x14ac:dyDescent="0.25">
      <c r="A271" t="s">
        <v>96</v>
      </c>
      <c r="B271" s="41">
        <v>279</v>
      </c>
      <c r="C271" t="s">
        <v>2231</v>
      </c>
      <c r="D271" t="s">
        <v>2232</v>
      </c>
      <c r="E271" s="13" t="s">
        <v>2233</v>
      </c>
      <c r="F271" s="13" t="s">
        <v>2234</v>
      </c>
      <c r="G271" t="s">
        <v>2235</v>
      </c>
      <c r="H271" t="s">
        <v>29</v>
      </c>
      <c r="I271" s="13" t="s">
        <v>30</v>
      </c>
      <c r="J271" s="13"/>
      <c r="K271" t="s">
        <v>355</v>
      </c>
      <c r="L271" s="52" t="s">
        <v>53</v>
      </c>
      <c r="M271" s="13"/>
      <c r="S271" s="38" t="s">
        <v>2236</v>
      </c>
      <c r="U271" s="54">
        <v>2150</v>
      </c>
      <c r="V271" s="54">
        <v>2153</v>
      </c>
      <c r="Z271" s="54">
        <f>1379.62+24.31+83.95</f>
        <v>1487.8799999999999</v>
      </c>
      <c r="AA271" s="81">
        <f>V271+X271-Z271</f>
        <v>665.12000000000012</v>
      </c>
      <c r="AC271" s="106">
        <v>1</v>
      </c>
      <c r="AD271"/>
    </row>
    <row r="272" spans="1:30" x14ac:dyDescent="0.25">
      <c r="A272" t="s">
        <v>96</v>
      </c>
      <c r="B272" s="41">
        <v>248</v>
      </c>
      <c r="C272" t="s">
        <v>2237</v>
      </c>
      <c r="D272" t="s">
        <v>2238</v>
      </c>
      <c r="E272" s="13" t="s">
        <v>2239</v>
      </c>
      <c r="F272" s="13" t="s">
        <v>2240</v>
      </c>
      <c r="G272" t="s">
        <v>330</v>
      </c>
      <c r="H272" t="s">
        <v>29</v>
      </c>
      <c r="I272" s="13" t="s">
        <v>30</v>
      </c>
      <c r="J272" s="13"/>
      <c r="L272" s="52" t="s">
        <v>53</v>
      </c>
      <c r="M272" s="13"/>
      <c r="S272" s="38" t="s">
        <v>358</v>
      </c>
      <c r="U272" s="54">
        <v>2463.33</v>
      </c>
      <c r="V272" s="54">
        <v>2463.33</v>
      </c>
      <c r="W272" t="s">
        <v>2241</v>
      </c>
      <c r="Z272" s="54">
        <v>1643.65</v>
      </c>
      <c r="AA272" s="81">
        <f t="shared" ref="AA272:AA275" si="31">V272+X272-Z272</f>
        <v>819.67999999999984</v>
      </c>
      <c r="AC272" s="106">
        <f t="shared" ref="AC272" si="32">IF(J272="YES",0,1)</f>
        <v>1</v>
      </c>
      <c r="AD272"/>
    </row>
    <row r="273" spans="1:30" x14ac:dyDescent="0.25">
      <c r="A273" t="s">
        <v>45</v>
      </c>
      <c r="B273" s="41">
        <v>6</v>
      </c>
      <c r="C273" t="s">
        <v>2242</v>
      </c>
      <c r="D273" t="s">
        <v>2243</v>
      </c>
      <c r="E273" s="13" t="s">
        <v>252</v>
      </c>
      <c r="F273" s="13" t="s">
        <v>2244</v>
      </c>
      <c r="H273" t="s">
        <v>29</v>
      </c>
      <c r="I273" s="13" t="s">
        <v>34</v>
      </c>
      <c r="J273" s="13"/>
      <c r="K273" t="s">
        <v>38</v>
      </c>
      <c r="L273" s="52" t="s">
        <v>53</v>
      </c>
      <c r="M273" s="13"/>
      <c r="S273" s="38" t="s">
        <v>370</v>
      </c>
      <c r="U273" s="54">
        <v>4451</v>
      </c>
      <c r="V273" s="54">
        <v>4451</v>
      </c>
      <c r="W273" t="s">
        <v>2245</v>
      </c>
      <c r="Z273" s="54">
        <v>2784.31</v>
      </c>
      <c r="AA273" s="81">
        <f t="shared" si="31"/>
        <v>1666.69</v>
      </c>
      <c r="AC273" s="106">
        <f t="shared" ref="AC273:AC275" si="33">IF(J273="YES",0,1)</f>
        <v>1</v>
      </c>
      <c r="AD273"/>
    </row>
    <row r="274" spans="1:30" x14ac:dyDescent="0.25">
      <c r="A274" t="s">
        <v>96</v>
      </c>
      <c r="B274" s="41">
        <v>268</v>
      </c>
      <c r="C274" t="s">
        <v>2246</v>
      </c>
      <c r="D274" t="s">
        <v>2247</v>
      </c>
      <c r="E274" s="13" t="s">
        <v>321</v>
      </c>
      <c r="F274" s="13" t="s">
        <v>2248</v>
      </c>
      <c r="G274" t="s">
        <v>506</v>
      </c>
      <c r="H274" t="s">
        <v>2249</v>
      </c>
      <c r="I274" s="13" t="s">
        <v>30</v>
      </c>
      <c r="J274" s="13"/>
      <c r="K274" t="s">
        <v>60</v>
      </c>
      <c r="L274" s="52" t="s">
        <v>53</v>
      </c>
      <c r="M274" s="13"/>
      <c r="S274" s="38" t="s">
        <v>370</v>
      </c>
      <c r="U274" s="54">
        <v>2551</v>
      </c>
      <c r="V274" s="54">
        <v>2264.5300000000002</v>
      </c>
      <c r="W274" t="s">
        <v>2167</v>
      </c>
      <c r="Z274" s="54">
        <v>1504.05</v>
      </c>
      <c r="AA274" s="81">
        <f t="shared" si="31"/>
        <v>760.48000000000025</v>
      </c>
      <c r="AC274" s="106">
        <f t="shared" si="33"/>
        <v>1</v>
      </c>
      <c r="AD274"/>
    </row>
    <row r="275" spans="1:30" x14ac:dyDescent="0.25">
      <c r="A275" t="s">
        <v>45</v>
      </c>
      <c r="B275" s="41">
        <v>9326</v>
      </c>
      <c r="C275" t="s">
        <v>2250</v>
      </c>
      <c r="D275" t="s">
        <v>2251</v>
      </c>
      <c r="E275" s="13" t="s">
        <v>2252</v>
      </c>
      <c r="F275" s="13" t="s">
        <v>2253</v>
      </c>
      <c r="G275" t="s">
        <v>149</v>
      </c>
      <c r="H275" t="s">
        <v>29</v>
      </c>
      <c r="I275" s="13" t="s">
        <v>30</v>
      </c>
      <c r="J275" s="13"/>
      <c r="K275" t="s">
        <v>31</v>
      </c>
      <c r="L275" s="52" t="s">
        <v>53</v>
      </c>
      <c r="M275" s="13"/>
      <c r="S275" s="38" t="s">
        <v>370</v>
      </c>
      <c r="U275" s="54">
        <v>1805</v>
      </c>
      <c r="V275" s="54">
        <v>1805</v>
      </c>
      <c r="W275" t="s">
        <v>292</v>
      </c>
      <c r="Z275" s="54">
        <v>1234.57</v>
      </c>
      <c r="AA275" s="81">
        <f t="shared" si="31"/>
        <v>570.43000000000006</v>
      </c>
      <c r="AC275" s="106">
        <f t="shared" si="33"/>
        <v>1</v>
      </c>
      <c r="AD275"/>
    </row>
    <row r="276" spans="1:30" x14ac:dyDescent="0.25">
      <c r="A276" t="s">
        <v>96</v>
      </c>
      <c r="B276" s="41">
        <v>263</v>
      </c>
      <c r="C276" t="s">
        <v>2254</v>
      </c>
      <c r="D276" t="s">
        <v>273</v>
      </c>
      <c r="E276" s="13" t="s">
        <v>2255</v>
      </c>
      <c r="F276" s="13" t="s">
        <v>2256</v>
      </c>
      <c r="G276" t="s">
        <v>149</v>
      </c>
      <c r="H276" t="s">
        <v>29</v>
      </c>
      <c r="I276" s="13" t="s">
        <v>30</v>
      </c>
      <c r="J276" s="13"/>
      <c r="K276" t="s">
        <v>60</v>
      </c>
      <c r="L276" s="52" t="s">
        <v>53</v>
      </c>
      <c r="M276" s="13"/>
      <c r="S276" s="38" t="s">
        <v>377</v>
      </c>
      <c r="U276" s="54">
        <v>2227</v>
      </c>
      <c r="V276" s="54">
        <v>2227</v>
      </c>
      <c r="W276" t="s">
        <v>2257</v>
      </c>
      <c r="Z276" s="54">
        <v>1615.64</v>
      </c>
      <c r="AA276" s="81">
        <f>V276+X276-Z276</f>
        <v>611.3599999999999</v>
      </c>
      <c r="AC276" s="106">
        <f>IF(J276="YES",0,1)</f>
        <v>1</v>
      </c>
      <c r="AD276"/>
    </row>
    <row r="277" spans="1:30" x14ac:dyDescent="0.25">
      <c r="A277" t="s">
        <v>45</v>
      </c>
      <c r="B277" s="41">
        <v>15</v>
      </c>
      <c r="C277" t="s">
        <v>2258</v>
      </c>
      <c r="D277" t="s">
        <v>2259</v>
      </c>
      <c r="E277" s="13" t="s">
        <v>2260</v>
      </c>
      <c r="F277" s="13" t="s">
        <v>2261</v>
      </c>
      <c r="G277" t="s">
        <v>50</v>
      </c>
      <c r="H277" t="s">
        <v>29</v>
      </c>
      <c r="I277" s="13" t="s">
        <v>34</v>
      </c>
      <c r="J277" s="13"/>
      <c r="K277" t="s">
        <v>60</v>
      </c>
      <c r="L277" s="52" t="s">
        <v>53</v>
      </c>
      <c r="M277" s="13"/>
      <c r="S277" s="38" t="s">
        <v>377</v>
      </c>
      <c r="U277" s="54">
        <v>1805</v>
      </c>
      <c r="V277" s="54">
        <v>1805</v>
      </c>
      <c r="W277" t="s">
        <v>2262</v>
      </c>
      <c r="Z277" s="54">
        <v>1214.3900000000001</v>
      </c>
      <c r="AA277" s="81">
        <f>V277+X277-Z277</f>
        <v>590.6099999999999</v>
      </c>
      <c r="AC277" s="106">
        <f>IF(J277="YES",0,1)</f>
        <v>1</v>
      </c>
      <c r="AD277"/>
    </row>
    <row r="278" spans="1:30" x14ac:dyDescent="0.25">
      <c r="A278" t="s">
        <v>45</v>
      </c>
      <c r="B278" s="41">
        <v>9349</v>
      </c>
      <c r="C278" t="s">
        <v>2263</v>
      </c>
      <c r="D278" t="s">
        <v>2264</v>
      </c>
      <c r="E278" s="13" t="s">
        <v>690</v>
      </c>
      <c r="F278" s="13" t="s">
        <v>2265</v>
      </c>
      <c r="G278" t="s">
        <v>2153</v>
      </c>
      <c r="H278" t="s">
        <v>29</v>
      </c>
      <c r="I278" s="13" t="s">
        <v>30</v>
      </c>
      <c r="J278" s="13"/>
      <c r="K278" t="s">
        <v>60</v>
      </c>
      <c r="L278" s="52" t="s">
        <v>53</v>
      </c>
      <c r="M278" s="13"/>
      <c r="S278" s="38" t="s">
        <v>2266</v>
      </c>
      <c r="U278" s="54">
        <v>1905</v>
      </c>
      <c r="V278" s="54">
        <v>1905</v>
      </c>
      <c r="W278" t="s">
        <v>358</v>
      </c>
      <c r="Z278" s="54">
        <v>1166.3900000000001</v>
      </c>
      <c r="AA278" s="81">
        <f t="shared" ref="AA278" si="34">V278+X278-Z278</f>
        <v>738.6099999999999</v>
      </c>
      <c r="AC278" s="106">
        <f>IF(J278="YES",0,1)</f>
        <v>1</v>
      </c>
      <c r="AD278"/>
    </row>
    <row r="279" spans="1:30" x14ac:dyDescent="0.25">
      <c r="A279" t="s">
        <v>96</v>
      </c>
      <c r="B279" s="41">
        <v>173</v>
      </c>
      <c r="C279" t="s">
        <v>2267</v>
      </c>
      <c r="D279" t="s">
        <v>2268</v>
      </c>
      <c r="E279" s="13" t="s">
        <v>1630</v>
      </c>
      <c r="F279" s="13" t="s">
        <v>2269</v>
      </c>
      <c r="G279" t="s">
        <v>347</v>
      </c>
      <c r="H279" t="s">
        <v>29</v>
      </c>
      <c r="I279" s="13" t="s">
        <v>34</v>
      </c>
      <c r="J279" s="13"/>
      <c r="K279" t="s">
        <v>2270</v>
      </c>
      <c r="L279" s="52">
        <v>45507</v>
      </c>
      <c r="M279" s="13"/>
      <c r="S279" s="38" t="s">
        <v>390</v>
      </c>
      <c r="T279" t="s">
        <v>2271</v>
      </c>
      <c r="U279" s="54">
        <v>2371</v>
      </c>
      <c r="V279" s="54">
        <v>422</v>
      </c>
      <c r="W279" t="s">
        <v>1630</v>
      </c>
      <c r="X279">
        <v>1678</v>
      </c>
      <c r="Y279" t="s">
        <v>2042</v>
      </c>
      <c r="Z279" s="54">
        <f>1358.17+23.6</f>
        <v>1381.77</v>
      </c>
      <c r="AA279" s="81">
        <f t="shared" ref="AA279:AA280" si="35">V279+X279-Z279</f>
        <v>718.23</v>
      </c>
      <c r="AC279" s="106">
        <f>IF(J279="YES",0,1)</f>
        <v>1</v>
      </c>
      <c r="AD279"/>
    </row>
    <row r="280" spans="1:30" x14ac:dyDescent="0.25">
      <c r="A280" t="s">
        <v>96</v>
      </c>
      <c r="B280" s="41">
        <v>278</v>
      </c>
      <c r="C280" t="s">
        <v>2272</v>
      </c>
      <c r="D280" t="s">
        <v>2273</v>
      </c>
      <c r="E280" s="13" t="s">
        <v>2274</v>
      </c>
      <c r="F280" s="13" t="s">
        <v>2275</v>
      </c>
      <c r="G280" t="s">
        <v>490</v>
      </c>
      <c r="H280" t="s">
        <v>29</v>
      </c>
      <c r="I280" s="13" t="s">
        <v>30</v>
      </c>
      <c r="J280" s="13"/>
      <c r="K280" t="s">
        <v>490</v>
      </c>
      <c r="L280" s="52" t="s">
        <v>53</v>
      </c>
      <c r="M280" s="13"/>
      <c r="S280" s="38" t="s">
        <v>390</v>
      </c>
      <c r="U280" s="54">
        <v>2005</v>
      </c>
      <c r="V280" s="54">
        <v>2005</v>
      </c>
      <c r="W280" t="s">
        <v>2182</v>
      </c>
      <c r="Z280" s="54">
        <v>1672.77</v>
      </c>
      <c r="AA280" s="81">
        <f t="shared" si="35"/>
        <v>332.23</v>
      </c>
      <c r="AC280" s="106">
        <f t="shared" ref="AC280" si="36">IF(J280="YES",0,1)</f>
        <v>1</v>
      </c>
      <c r="AD280"/>
    </row>
    <row r="281" spans="1:30" x14ac:dyDescent="0.25">
      <c r="A281" t="s">
        <v>96</v>
      </c>
      <c r="B281" s="41">
        <v>281</v>
      </c>
      <c r="C281" t="s">
        <v>2276</v>
      </c>
      <c r="D281" t="s">
        <v>2277</v>
      </c>
      <c r="E281" s="13" t="s">
        <v>345</v>
      </c>
      <c r="F281" s="13" t="s">
        <v>2278</v>
      </c>
      <c r="G281" t="s">
        <v>2279</v>
      </c>
      <c r="H281" t="s">
        <v>29</v>
      </c>
      <c r="I281" s="13" t="s">
        <v>30</v>
      </c>
      <c r="J281" s="13"/>
      <c r="L281" s="52" t="s">
        <v>53</v>
      </c>
      <c r="M281" s="13"/>
      <c r="S281" s="38" t="s">
        <v>2280</v>
      </c>
      <c r="U281" s="54">
        <v>3155</v>
      </c>
      <c r="V281" s="54">
        <v>2505</v>
      </c>
      <c r="W281" t="s">
        <v>2281</v>
      </c>
      <c r="Z281" s="54">
        <f>29.91+1380.66+116.23</f>
        <v>1526.8000000000002</v>
      </c>
      <c r="AA281" s="81">
        <f t="shared" ref="AA281:AA283" si="37">V281+X281-Z281</f>
        <v>978.19999999999982</v>
      </c>
      <c r="AD281"/>
    </row>
    <row r="282" spans="1:30" x14ac:dyDescent="0.25">
      <c r="A282" t="s">
        <v>96</v>
      </c>
      <c r="B282" s="41">
        <v>264</v>
      </c>
      <c r="C282" t="s">
        <v>2282</v>
      </c>
      <c r="D282" t="s">
        <v>2283</v>
      </c>
      <c r="E282" s="13" t="s">
        <v>2255</v>
      </c>
      <c r="F282" s="13" t="s">
        <v>2284</v>
      </c>
      <c r="G282" t="s">
        <v>2285</v>
      </c>
      <c r="H282" t="s">
        <v>29</v>
      </c>
      <c r="I282" s="13" t="s">
        <v>30</v>
      </c>
      <c r="J282" s="13"/>
      <c r="K282" t="s">
        <v>229</v>
      </c>
      <c r="L282" s="52" t="s">
        <v>53</v>
      </c>
      <c r="M282" s="13"/>
      <c r="S282" s="38" t="s">
        <v>2280</v>
      </c>
      <c r="U282" s="54">
        <v>2651</v>
      </c>
      <c r="V282" s="54">
        <f>1855+646</f>
        <v>2501</v>
      </c>
      <c r="W282" t="s">
        <v>370</v>
      </c>
      <c r="Z282" s="54">
        <f>1159.72+52.31+77.14+436+58.73</f>
        <v>1783.9</v>
      </c>
      <c r="AA282" s="81">
        <f t="shared" si="37"/>
        <v>717.09999999999991</v>
      </c>
      <c r="AD282"/>
    </row>
    <row r="283" spans="1:30" x14ac:dyDescent="0.25">
      <c r="A283" t="s">
        <v>45</v>
      </c>
      <c r="B283" s="41">
        <v>10</v>
      </c>
      <c r="C283" t="s">
        <v>2286</v>
      </c>
      <c r="D283" t="s">
        <v>2287</v>
      </c>
      <c r="E283" s="13" t="s">
        <v>63</v>
      </c>
      <c r="F283" s="13" t="s">
        <v>2288</v>
      </c>
      <c r="G283" t="s">
        <v>72</v>
      </c>
      <c r="H283" t="s">
        <v>29</v>
      </c>
      <c r="I283" s="13" t="s">
        <v>34</v>
      </c>
      <c r="J283" s="13"/>
      <c r="K283" t="s">
        <v>60</v>
      </c>
      <c r="L283" s="52" t="s">
        <v>53</v>
      </c>
      <c r="M283" s="13"/>
      <c r="S283" s="38" t="s">
        <v>2280</v>
      </c>
      <c r="U283" s="54">
        <v>3651</v>
      </c>
      <c r="V283" s="54">
        <v>3651</v>
      </c>
      <c r="W283" t="s">
        <v>2262</v>
      </c>
      <c r="Z283" s="54">
        <f>1263.82+46.71+87.27+694+149.64</f>
        <v>2241.44</v>
      </c>
      <c r="AA283" s="81">
        <f t="shared" si="37"/>
        <v>1409.56</v>
      </c>
      <c r="AD283"/>
    </row>
    <row r="284" spans="1:30" x14ac:dyDescent="0.25">
      <c r="A284" s="62" t="s">
        <v>96</v>
      </c>
      <c r="B284" s="63">
        <v>292</v>
      </c>
      <c r="C284" s="62" t="s">
        <v>862</v>
      </c>
      <c r="D284" s="62" t="s">
        <v>2289</v>
      </c>
      <c r="E284" s="65" t="s">
        <v>2290</v>
      </c>
      <c r="F284" s="65" t="s">
        <v>2291</v>
      </c>
      <c r="G284" s="62" t="s">
        <v>591</v>
      </c>
      <c r="H284" s="62" t="s">
        <v>29</v>
      </c>
      <c r="I284" s="65" t="s">
        <v>30</v>
      </c>
      <c r="J284" s="65"/>
      <c r="K284" s="62" t="s">
        <v>60</v>
      </c>
      <c r="L284" s="64" t="s">
        <v>53</v>
      </c>
      <c r="M284" s="65"/>
      <c r="N284" s="65"/>
      <c r="O284" s="62"/>
      <c r="P284" s="66"/>
      <c r="Q284" s="66"/>
      <c r="R284" s="66"/>
      <c r="S284" s="66" t="s">
        <v>2292</v>
      </c>
      <c r="T284" s="62"/>
      <c r="U284" s="68">
        <v>1395</v>
      </c>
      <c r="V284" s="68">
        <v>1395</v>
      </c>
      <c r="W284" s="62" t="s">
        <v>2293</v>
      </c>
      <c r="X284" s="62"/>
      <c r="Y284" s="62"/>
      <c r="Z284" s="68">
        <f>922.98+20.9+56.82</f>
        <v>1000.7</v>
      </c>
      <c r="AA284" s="68">
        <f t="shared" ref="AA284" si="38">V284+X284-Z284</f>
        <v>394.29999999999995</v>
      </c>
      <c r="AD284"/>
    </row>
    <row r="285" spans="1:30" x14ac:dyDescent="0.25">
      <c r="A285" s="62" t="s">
        <v>96</v>
      </c>
      <c r="B285" s="63">
        <v>270</v>
      </c>
      <c r="C285" s="62" t="s">
        <v>2294</v>
      </c>
      <c r="D285" s="62" t="s">
        <v>2295</v>
      </c>
      <c r="E285" s="65" t="s">
        <v>2175</v>
      </c>
      <c r="F285" s="65" t="s">
        <v>2296</v>
      </c>
      <c r="G285" s="62" t="s">
        <v>1617</v>
      </c>
      <c r="H285" s="62" t="s">
        <v>29</v>
      </c>
      <c r="I285" s="65" t="s">
        <v>30</v>
      </c>
      <c r="J285" s="65"/>
      <c r="K285" s="62" t="s">
        <v>127</v>
      </c>
      <c r="L285" s="64" t="s">
        <v>53</v>
      </c>
      <c r="M285" s="65"/>
      <c r="N285" s="65"/>
      <c r="O285" s="62"/>
      <c r="P285" s="66"/>
      <c r="Q285" s="66"/>
      <c r="R285" s="66"/>
      <c r="S285" s="66" t="s">
        <v>400</v>
      </c>
      <c r="T285" s="62"/>
      <c r="U285" s="68">
        <v>2005</v>
      </c>
      <c r="V285" s="68">
        <v>2637.5</v>
      </c>
      <c r="W285" s="62" t="s">
        <v>2297</v>
      </c>
      <c r="X285" s="62"/>
      <c r="Y285" s="62"/>
      <c r="Z285" s="68">
        <f>1380.95+24.31+70.77+175+57.5</f>
        <v>1708.53</v>
      </c>
      <c r="AA285" s="68">
        <f t="shared" ref="AA285" si="39">V285+X285-Z285</f>
        <v>928.97</v>
      </c>
      <c r="AD285"/>
    </row>
    <row r="286" spans="1:30" x14ac:dyDescent="0.25">
      <c r="A286" t="s">
        <v>96</v>
      </c>
      <c r="B286" s="41">
        <v>239</v>
      </c>
      <c r="C286" t="s">
        <v>2298</v>
      </c>
      <c r="D286" t="s">
        <v>2299</v>
      </c>
      <c r="E286" s="13" t="s">
        <v>2132</v>
      </c>
      <c r="F286" s="13" t="s">
        <v>2300</v>
      </c>
      <c r="G286" t="s">
        <v>2301</v>
      </c>
      <c r="H286" t="s">
        <v>29</v>
      </c>
      <c r="I286" s="13" t="s">
        <v>30</v>
      </c>
      <c r="J286" s="13"/>
      <c r="K286" t="s">
        <v>1214</v>
      </c>
      <c r="L286" s="52" t="s">
        <v>53</v>
      </c>
      <c r="M286" s="13"/>
      <c r="S286" s="38" t="s">
        <v>2302</v>
      </c>
      <c r="U286" s="54">
        <v>3379</v>
      </c>
      <c r="V286" s="54">
        <v>452</v>
      </c>
      <c r="W286" t="s">
        <v>2042</v>
      </c>
      <c r="X286">
        <f>1761+1653</f>
        <v>3414</v>
      </c>
      <c r="Y286" t="s">
        <v>2303</v>
      </c>
      <c r="Z286" s="54">
        <f>320.25+448.25+101.29+448.25+24.31</f>
        <v>1342.35</v>
      </c>
      <c r="AA286" s="81">
        <f t="shared" ref="AA286:AA287" si="40">V286+X286-Z286</f>
        <v>2523.65</v>
      </c>
      <c r="AC286" s="106">
        <v>1</v>
      </c>
      <c r="AD286"/>
    </row>
    <row r="287" spans="1:30" x14ac:dyDescent="0.25">
      <c r="A287" t="s">
        <v>96</v>
      </c>
      <c r="B287" s="41">
        <v>244</v>
      </c>
      <c r="C287" t="s">
        <v>2304</v>
      </c>
      <c r="D287" t="s">
        <v>2305</v>
      </c>
      <c r="E287" s="13" t="s">
        <v>274</v>
      </c>
      <c r="F287" s="13" t="s">
        <v>2306</v>
      </c>
      <c r="G287" t="s">
        <v>234</v>
      </c>
      <c r="H287" t="s">
        <v>29</v>
      </c>
      <c r="I287" s="13" t="s">
        <v>30</v>
      </c>
      <c r="J287" s="13"/>
      <c r="K287" t="s">
        <v>236</v>
      </c>
      <c r="L287" s="52" t="s">
        <v>53</v>
      </c>
      <c r="M287" s="13"/>
      <c r="S287" s="38" t="s">
        <v>2302</v>
      </c>
      <c r="U287" s="54">
        <v>2255</v>
      </c>
      <c r="V287" s="54">
        <v>478</v>
      </c>
      <c r="W287" t="s">
        <v>2136</v>
      </c>
      <c r="X287">
        <v>1777</v>
      </c>
      <c r="Y287" t="s">
        <v>2307</v>
      </c>
      <c r="Z287" s="54">
        <f>1263.08+24.31</f>
        <v>1287.3899999999999</v>
      </c>
      <c r="AA287" s="81">
        <f t="shared" si="40"/>
        <v>967.61000000000013</v>
      </c>
      <c r="AC287" s="106">
        <f>IF(J287="YES",0,1)</f>
        <v>1</v>
      </c>
      <c r="AD287"/>
    </row>
    <row r="288" spans="1:30" x14ac:dyDescent="0.25">
      <c r="A288" t="s">
        <v>96</v>
      </c>
      <c r="B288" s="41">
        <v>254</v>
      </c>
      <c r="C288" t="s">
        <v>2308</v>
      </c>
      <c r="D288" t="s">
        <v>2309</v>
      </c>
      <c r="E288" s="13" t="s">
        <v>2310</v>
      </c>
      <c r="F288" s="13" t="s">
        <v>2311</v>
      </c>
      <c r="G288" t="s">
        <v>2312</v>
      </c>
      <c r="H288" t="s">
        <v>29</v>
      </c>
      <c r="I288" s="13" t="s">
        <v>34</v>
      </c>
      <c r="J288" s="13"/>
      <c r="K288" t="s">
        <v>127</v>
      </c>
      <c r="L288" s="52" t="s">
        <v>53</v>
      </c>
      <c r="M288" s="13"/>
      <c r="S288" s="38" t="s">
        <v>2313</v>
      </c>
      <c r="U288" s="54">
        <v>3269</v>
      </c>
      <c r="V288" s="54">
        <f>2205+1064</f>
        <v>3269</v>
      </c>
      <c r="W288" t="s">
        <v>2266</v>
      </c>
      <c r="Z288" s="54">
        <f>1369.82+24.31+94.45+473.55+96.73</f>
        <v>2058.8599999999997</v>
      </c>
      <c r="AA288" s="81">
        <f t="shared" ref="AA288:AA294" si="41">V288+X288-Z288</f>
        <v>1210.1400000000003</v>
      </c>
      <c r="AC288" s="106">
        <v>1</v>
      </c>
      <c r="AD288"/>
    </row>
    <row r="289" spans="1:30" x14ac:dyDescent="0.25">
      <c r="A289" t="s">
        <v>96</v>
      </c>
      <c r="B289" s="41">
        <v>180</v>
      </c>
      <c r="C289" t="s">
        <v>2314</v>
      </c>
      <c r="D289" t="s">
        <v>2315</v>
      </c>
      <c r="E289" s="13" t="s">
        <v>1727</v>
      </c>
      <c r="F289" s="13" t="s">
        <v>2316</v>
      </c>
      <c r="G289" t="s">
        <v>2317</v>
      </c>
      <c r="H289" t="s">
        <v>29</v>
      </c>
      <c r="I289" s="13" t="s">
        <v>34</v>
      </c>
      <c r="J289" s="13"/>
      <c r="K289" t="s">
        <v>1974</v>
      </c>
      <c r="L289" s="52" t="s">
        <v>53</v>
      </c>
      <c r="M289" s="13"/>
      <c r="S289" s="38" t="s">
        <v>425</v>
      </c>
      <c r="U289" s="54">
        <v>3385</v>
      </c>
      <c r="V289" s="54">
        <f>2100+271+687</f>
        <v>3058</v>
      </c>
      <c r="W289" t="s">
        <v>1879</v>
      </c>
      <c r="Z289" s="54">
        <f>1261.87+24.31+92.41+152+24.64+320.25+62.45</f>
        <v>1937.93</v>
      </c>
      <c r="AA289" s="81">
        <f t="shared" si="41"/>
        <v>1120.07</v>
      </c>
      <c r="AC289" s="106">
        <f>IF(J289="YES",0,1)</f>
        <v>1</v>
      </c>
      <c r="AD289"/>
    </row>
    <row r="290" spans="1:30" x14ac:dyDescent="0.25">
      <c r="A290" t="s">
        <v>96</v>
      </c>
      <c r="B290" s="41">
        <v>283</v>
      </c>
      <c r="C290" t="s">
        <v>2318</v>
      </c>
      <c r="D290" t="s">
        <v>2319</v>
      </c>
      <c r="E290" s="13" t="s">
        <v>345</v>
      </c>
      <c r="F290" s="13" t="s">
        <v>2320</v>
      </c>
      <c r="G290" t="s">
        <v>2321</v>
      </c>
      <c r="H290" t="s">
        <v>33</v>
      </c>
      <c r="I290" s="13" t="s">
        <v>30</v>
      </c>
      <c r="J290" s="13"/>
      <c r="K290" t="s">
        <v>2322</v>
      </c>
      <c r="L290" s="52" t="s">
        <v>53</v>
      </c>
      <c r="M290" s="13"/>
      <c r="S290" s="38" t="s">
        <v>425</v>
      </c>
      <c r="U290" s="54">
        <v>2724</v>
      </c>
      <c r="V290" s="54">
        <v>2724</v>
      </c>
      <c r="W290" t="s">
        <v>2280</v>
      </c>
      <c r="Z290" s="54">
        <f>1378.02+24.31+136.14</f>
        <v>1538.4699999999998</v>
      </c>
      <c r="AA290" s="81">
        <f t="shared" si="41"/>
        <v>1185.5300000000002</v>
      </c>
      <c r="AC290" s="106">
        <v>1</v>
      </c>
      <c r="AD290"/>
    </row>
    <row r="291" spans="1:30" x14ac:dyDescent="0.25">
      <c r="A291" t="s">
        <v>96</v>
      </c>
      <c r="B291" s="41">
        <v>225</v>
      </c>
      <c r="C291" t="s">
        <v>2323</v>
      </c>
      <c r="D291" t="s">
        <v>2324</v>
      </c>
      <c r="E291" s="13" t="s">
        <v>245</v>
      </c>
      <c r="F291" s="13" t="s">
        <v>2325</v>
      </c>
      <c r="G291" t="s">
        <v>2326</v>
      </c>
      <c r="H291" t="s">
        <v>37</v>
      </c>
      <c r="I291" s="13" t="s">
        <v>30</v>
      </c>
      <c r="J291" s="13"/>
      <c r="K291" t="s">
        <v>410</v>
      </c>
      <c r="L291" s="52" t="s">
        <v>53</v>
      </c>
      <c r="M291" s="13"/>
      <c r="S291" s="38" t="s">
        <v>2327</v>
      </c>
      <c r="U291" s="54">
        <v>2501</v>
      </c>
      <c r="V291" s="54">
        <f>1855+646</f>
        <v>2501</v>
      </c>
      <c r="W291" t="s">
        <v>2328</v>
      </c>
      <c r="Z291" s="54">
        <f>1598.82+24.31+37.14+448.2+58.73</f>
        <v>2167.1999999999998</v>
      </c>
      <c r="AA291" s="81">
        <f t="shared" si="41"/>
        <v>333.80000000000018</v>
      </c>
      <c r="AC291" s="106">
        <v>1</v>
      </c>
      <c r="AD291"/>
    </row>
    <row r="292" spans="1:30" x14ac:dyDescent="0.25">
      <c r="A292" t="s">
        <v>96</v>
      </c>
      <c r="B292" s="41">
        <v>284</v>
      </c>
      <c r="C292" t="s">
        <v>2329</v>
      </c>
      <c r="D292" t="s">
        <v>2330</v>
      </c>
      <c r="E292" s="13" t="s">
        <v>690</v>
      </c>
      <c r="F292" s="13" t="s">
        <v>2331</v>
      </c>
      <c r="G292" t="s">
        <v>747</v>
      </c>
      <c r="H292" t="s">
        <v>29</v>
      </c>
      <c r="I292" s="13" t="s">
        <v>34</v>
      </c>
      <c r="J292" s="13"/>
      <c r="K292" t="s">
        <v>31</v>
      </c>
      <c r="L292" s="52" t="s">
        <v>53</v>
      </c>
      <c r="M292" s="13"/>
      <c r="S292" s="38" t="s">
        <v>2332</v>
      </c>
      <c r="U292" s="54">
        <v>3610</v>
      </c>
      <c r="V292" s="54">
        <f>2106+646</f>
        <v>2752</v>
      </c>
      <c r="W292" t="s">
        <v>2281</v>
      </c>
      <c r="Z292" s="54">
        <f>1264.72+24.31+92.86+320.2+58.73</f>
        <v>1760.82</v>
      </c>
      <c r="AA292" s="81">
        <f t="shared" si="41"/>
        <v>991.18000000000006</v>
      </c>
      <c r="AC292" s="106">
        <v>1</v>
      </c>
      <c r="AD292"/>
    </row>
    <row r="293" spans="1:30" x14ac:dyDescent="0.25">
      <c r="A293" t="s">
        <v>45</v>
      </c>
      <c r="B293" s="41">
        <v>9347</v>
      </c>
      <c r="C293" t="s">
        <v>2333</v>
      </c>
      <c r="D293" t="s">
        <v>2334</v>
      </c>
      <c r="E293" s="13" t="s">
        <v>370</v>
      </c>
      <c r="F293" s="13" t="s">
        <v>2335</v>
      </c>
      <c r="G293" t="s">
        <v>1124</v>
      </c>
      <c r="H293" t="s">
        <v>37</v>
      </c>
      <c r="I293" s="13" t="s">
        <v>34</v>
      </c>
      <c r="J293" s="13"/>
      <c r="L293" s="52" t="s">
        <v>53</v>
      </c>
      <c r="M293" s="13"/>
      <c r="S293" s="38" t="s">
        <v>2336</v>
      </c>
      <c r="U293" s="54">
        <v>4322</v>
      </c>
      <c r="V293" s="54">
        <v>2055</v>
      </c>
      <c r="W293" t="s">
        <v>2332</v>
      </c>
      <c r="Z293" s="54">
        <f>1160.95+24.31+95.32</f>
        <v>1280.58</v>
      </c>
      <c r="AA293" s="81">
        <f t="shared" si="41"/>
        <v>774.42000000000007</v>
      </c>
      <c r="AC293" s="106">
        <v>1</v>
      </c>
      <c r="AD293"/>
    </row>
    <row r="294" spans="1:30" x14ac:dyDescent="0.25">
      <c r="A294" t="s">
        <v>96</v>
      </c>
      <c r="B294" s="41">
        <v>246</v>
      </c>
      <c r="C294" t="s">
        <v>2337</v>
      </c>
      <c r="D294" t="s">
        <v>2338</v>
      </c>
      <c r="E294" s="13" t="s">
        <v>2339</v>
      </c>
      <c r="F294" s="13" t="s">
        <v>2340</v>
      </c>
      <c r="G294" t="s">
        <v>162</v>
      </c>
      <c r="H294" t="s">
        <v>29</v>
      </c>
      <c r="I294" s="13" t="s">
        <v>30</v>
      </c>
      <c r="J294" s="13"/>
      <c r="K294" t="s">
        <v>35</v>
      </c>
      <c r="L294" s="52" t="s">
        <v>53</v>
      </c>
      <c r="M294" s="13"/>
      <c r="S294" s="38" t="s">
        <v>2336</v>
      </c>
      <c r="U294" s="54">
        <v>2794</v>
      </c>
      <c r="V294" s="54">
        <f>1855+293</f>
        <v>2148</v>
      </c>
      <c r="W294" t="s">
        <v>2303</v>
      </c>
      <c r="Z294" s="54">
        <f>1159.06+69.31+77.14+159.5+26.64</f>
        <v>1491.65</v>
      </c>
      <c r="AA294" s="81">
        <f t="shared" si="41"/>
        <v>656.34999999999991</v>
      </c>
      <c r="AC294" s="106">
        <v>1</v>
      </c>
      <c r="AD294"/>
    </row>
    <row r="295" spans="1:30" x14ac:dyDescent="0.25">
      <c r="A295" t="s">
        <v>96</v>
      </c>
      <c r="B295" s="41">
        <v>261</v>
      </c>
      <c r="C295" t="s">
        <v>2341</v>
      </c>
      <c r="D295" t="s">
        <v>2342</v>
      </c>
      <c r="E295" s="13" t="s">
        <v>299</v>
      </c>
      <c r="F295" s="13" t="s">
        <v>2343</v>
      </c>
      <c r="G295" t="s">
        <v>973</v>
      </c>
      <c r="H295" t="s">
        <v>29</v>
      </c>
      <c r="I295" s="13" t="s">
        <v>30</v>
      </c>
      <c r="J295" s="13"/>
      <c r="K295" t="s">
        <v>60</v>
      </c>
      <c r="L295" s="52" t="s">
        <v>53</v>
      </c>
      <c r="M295" s="13"/>
      <c r="S295" s="38" t="s">
        <v>2336</v>
      </c>
      <c r="U295" s="54">
        <v>1930</v>
      </c>
      <c r="V295" s="54">
        <f>1930+550+550</f>
        <v>3030</v>
      </c>
      <c r="W295" t="s">
        <v>2344</v>
      </c>
      <c r="Z295" s="54">
        <f>1157+24.31+83.95+373.56+50+50+320.2</f>
        <v>2059.02</v>
      </c>
      <c r="AA295" s="81">
        <f t="shared" ref="AA295:AA301" si="42">V295+X295-Z295</f>
        <v>970.98</v>
      </c>
      <c r="AC295" s="106">
        <v>1</v>
      </c>
      <c r="AD295"/>
    </row>
    <row r="296" spans="1:30" x14ac:dyDescent="0.25">
      <c r="A296" t="s">
        <v>96</v>
      </c>
      <c r="B296" s="41">
        <v>276</v>
      </c>
      <c r="C296" t="s">
        <v>2345</v>
      </c>
      <c r="D296" t="s">
        <v>2346</v>
      </c>
      <c r="E296" s="13" t="s">
        <v>339</v>
      </c>
      <c r="F296" s="13" t="s">
        <v>2347</v>
      </c>
      <c r="G296" t="s">
        <v>2348</v>
      </c>
      <c r="H296" t="s">
        <v>2062</v>
      </c>
      <c r="I296" s="13" t="s">
        <v>34</v>
      </c>
      <c r="J296" s="13"/>
      <c r="K296" t="s">
        <v>314</v>
      </c>
      <c r="L296" s="52" t="s">
        <v>53</v>
      </c>
      <c r="M296" s="13"/>
      <c r="S296" s="38" t="s">
        <v>2336</v>
      </c>
      <c r="U296" s="54">
        <v>5964</v>
      </c>
      <c r="V296" s="54">
        <f>2755+293</f>
        <v>3048</v>
      </c>
      <c r="W296" t="s">
        <v>2349</v>
      </c>
      <c r="Z296" s="54">
        <f>1334.81+24.31+150.45+231.4+26.64</f>
        <v>1767.6100000000001</v>
      </c>
      <c r="AA296" s="81">
        <f t="shared" si="42"/>
        <v>1280.3899999999999</v>
      </c>
      <c r="AC296" s="106">
        <v>1</v>
      </c>
      <c r="AD296"/>
    </row>
    <row r="297" spans="1:30" x14ac:dyDescent="0.25">
      <c r="A297" t="s">
        <v>96</v>
      </c>
      <c r="B297" s="41">
        <v>251</v>
      </c>
      <c r="C297" t="s">
        <v>2350</v>
      </c>
      <c r="D297" t="s">
        <v>2351</v>
      </c>
      <c r="E297" s="13" t="s">
        <v>286</v>
      </c>
      <c r="F297" s="13" t="s">
        <v>2352</v>
      </c>
      <c r="G297" t="s">
        <v>2353</v>
      </c>
      <c r="H297" t="s">
        <v>29</v>
      </c>
      <c r="I297" s="13" t="s">
        <v>34</v>
      </c>
      <c r="J297" s="13"/>
      <c r="K297" t="s">
        <v>38</v>
      </c>
      <c r="L297" s="52" t="s">
        <v>53</v>
      </c>
      <c r="M297" s="13"/>
      <c r="S297" s="38" t="s">
        <v>2354</v>
      </c>
      <c r="U297" s="54">
        <v>4060</v>
      </c>
      <c r="V297" s="54">
        <f>2205+1855</f>
        <v>4060</v>
      </c>
      <c r="W297" t="s">
        <v>2293</v>
      </c>
      <c r="Z297" s="54">
        <f>1299.69+24.31+99.95+694+168.64</f>
        <v>2286.5899999999997</v>
      </c>
      <c r="AA297" s="81">
        <f t="shared" si="42"/>
        <v>1773.4100000000003</v>
      </c>
      <c r="AC297" s="106">
        <v>1</v>
      </c>
      <c r="AD297"/>
    </row>
    <row r="298" spans="1:30" x14ac:dyDescent="0.25">
      <c r="A298" t="s">
        <v>96</v>
      </c>
      <c r="B298" s="41">
        <v>282</v>
      </c>
      <c r="C298" t="s">
        <v>2355</v>
      </c>
      <c r="D298" t="s">
        <v>2356</v>
      </c>
      <c r="E298" s="13" t="s">
        <v>345</v>
      </c>
      <c r="F298" s="13" t="s">
        <v>2357</v>
      </c>
      <c r="G298" t="s">
        <v>506</v>
      </c>
      <c r="H298" t="s">
        <v>37</v>
      </c>
      <c r="I298" s="13" t="s">
        <v>30</v>
      </c>
      <c r="J298" s="13"/>
      <c r="K298" t="s">
        <v>60</v>
      </c>
      <c r="L298" s="52" t="s">
        <v>53</v>
      </c>
      <c r="M298" s="13"/>
      <c r="S298" s="38" t="s">
        <v>2358</v>
      </c>
      <c r="U298" s="54">
        <v>1855</v>
      </c>
      <c r="V298" s="54">
        <f>1855+242</f>
        <v>2097</v>
      </c>
      <c r="W298" t="s">
        <v>2313</v>
      </c>
      <c r="Z298" s="54">
        <f>1156.34+29.91+77.14+170+22</f>
        <v>1455.39</v>
      </c>
      <c r="AA298" s="81">
        <f t="shared" si="42"/>
        <v>641.6099999999999</v>
      </c>
      <c r="AC298" s="106">
        <v>1</v>
      </c>
      <c r="AD298"/>
    </row>
    <row r="299" spans="1:30" x14ac:dyDescent="0.25">
      <c r="A299" t="s">
        <v>96</v>
      </c>
      <c r="B299" s="41">
        <v>229</v>
      </c>
      <c r="C299" t="s">
        <v>2359</v>
      </c>
      <c r="D299" t="s">
        <v>2360</v>
      </c>
      <c r="E299" s="13" t="s">
        <v>245</v>
      </c>
      <c r="F299" s="13" t="s">
        <v>2361</v>
      </c>
      <c r="G299" t="s">
        <v>1656</v>
      </c>
      <c r="H299" t="s">
        <v>29</v>
      </c>
      <c r="I299" s="13" t="s">
        <v>34</v>
      </c>
      <c r="J299" s="13"/>
      <c r="L299" s="52" t="s">
        <v>53</v>
      </c>
      <c r="M299" s="13"/>
      <c r="S299" s="38" t="s">
        <v>2358</v>
      </c>
      <c r="U299" s="54">
        <v>2300</v>
      </c>
      <c r="V299" s="54">
        <f>2300+300+1057.1</f>
        <v>3657.1</v>
      </c>
      <c r="W299" t="s">
        <v>2362</v>
      </c>
      <c r="Z299" s="54">
        <f>1583.88+71.01+89.09+265+27.27+694+96.1</f>
        <v>2826.35</v>
      </c>
      <c r="AA299" s="81">
        <f t="shared" si="42"/>
        <v>830.75</v>
      </c>
      <c r="AC299" s="106">
        <v>1</v>
      </c>
      <c r="AD299"/>
    </row>
    <row r="300" spans="1:30" x14ac:dyDescent="0.25">
      <c r="A300" t="s">
        <v>96</v>
      </c>
      <c r="B300" s="41">
        <v>277</v>
      </c>
      <c r="C300" t="s">
        <v>2363</v>
      </c>
      <c r="D300" t="s">
        <v>2364</v>
      </c>
      <c r="E300" s="13" t="s">
        <v>70</v>
      </c>
      <c r="F300" s="13" t="s">
        <v>2365</v>
      </c>
      <c r="G300" t="s">
        <v>2366</v>
      </c>
      <c r="H300" t="s">
        <v>29</v>
      </c>
      <c r="I300" s="13" t="s">
        <v>34</v>
      </c>
      <c r="J300" s="13"/>
      <c r="K300" t="s">
        <v>314</v>
      </c>
      <c r="L300" s="52" t="s">
        <v>53</v>
      </c>
      <c r="M300" s="13"/>
      <c r="S300" s="38" t="s">
        <v>2367</v>
      </c>
      <c r="U300" s="54">
        <v>3297</v>
      </c>
      <c r="V300" s="54">
        <f>2105+1326</f>
        <v>3431</v>
      </c>
      <c r="W300" t="s">
        <v>2358</v>
      </c>
      <c r="Z300" s="54">
        <f>1380.72+24.31+79.86+473.6+120.55</f>
        <v>2079.04</v>
      </c>
      <c r="AA300" s="81">
        <f t="shared" si="42"/>
        <v>1351.96</v>
      </c>
      <c r="AC300" s="106">
        <v>1</v>
      </c>
      <c r="AD300"/>
    </row>
    <row r="301" spans="1:30" x14ac:dyDescent="0.25">
      <c r="A301" t="s">
        <v>45</v>
      </c>
      <c r="B301" s="41">
        <v>9329</v>
      </c>
      <c r="C301" t="s">
        <v>2368</v>
      </c>
      <c r="D301" t="s">
        <v>2369</v>
      </c>
      <c r="E301" s="13" t="s">
        <v>1925</v>
      </c>
      <c r="F301" s="13" t="s">
        <v>2370</v>
      </c>
      <c r="G301" t="s">
        <v>2371</v>
      </c>
      <c r="H301" t="s">
        <v>29</v>
      </c>
      <c r="I301" s="13" t="s">
        <v>34</v>
      </c>
      <c r="J301" s="13"/>
      <c r="L301" s="52" t="s">
        <v>53</v>
      </c>
      <c r="M301" s="13"/>
      <c r="S301" s="38" t="s">
        <v>2367</v>
      </c>
      <c r="U301" s="54">
        <f>2308+2105</f>
        <v>4413</v>
      </c>
      <c r="V301" s="54">
        <f>2105+1840</f>
        <v>3945</v>
      </c>
      <c r="W301" t="s">
        <v>450</v>
      </c>
      <c r="Z301" s="54">
        <f>1501.12+29.91+81.36+1420.7+167.27</f>
        <v>3200.36</v>
      </c>
      <c r="AA301" s="81">
        <f t="shared" si="42"/>
        <v>744.63999999999987</v>
      </c>
      <c r="AC301" s="106"/>
      <c r="AD301"/>
    </row>
    <row r="302" spans="1:30" x14ac:dyDescent="0.25">
      <c r="A302" t="s">
        <v>45</v>
      </c>
      <c r="B302" s="41">
        <v>9344</v>
      </c>
      <c r="C302" t="s">
        <v>2372</v>
      </c>
      <c r="D302" t="s">
        <v>2373</v>
      </c>
      <c r="E302" s="13" t="s">
        <v>70</v>
      </c>
      <c r="F302" s="13" t="s">
        <v>2374</v>
      </c>
      <c r="G302" t="s">
        <v>840</v>
      </c>
      <c r="H302" t="s">
        <v>29</v>
      </c>
      <c r="I302" s="13" t="s">
        <v>30</v>
      </c>
      <c r="J302" s="13"/>
      <c r="K302" t="s">
        <v>60</v>
      </c>
      <c r="L302" s="52" t="s">
        <v>53</v>
      </c>
      <c r="M302" s="13"/>
      <c r="S302" s="38" t="s">
        <v>2375</v>
      </c>
      <c r="U302" s="54">
        <v>1805</v>
      </c>
      <c r="V302" s="54">
        <v>1805</v>
      </c>
      <c r="W302" t="s">
        <v>2376</v>
      </c>
      <c r="Z302" s="54">
        <f>1106.14+35.51+78.09</f>
        <v>1219.74</v>
      </c>
      <c r="AA302" s="81">
        <f t="shared" ref="AA302:AA307" si="43">V302+X302-Z302</f>
        <v>585.26</v>
      </c>
      <c r="AC302" s="106">
        <v>1</v>
      </c>
      <c r="AD302"/>
    </row>
    <row r="303" spans="1:30" x14ac:dyDescent="0.25">
      <c r="A303" t="s">
        <v>96</v>
      </c>
      <c r="B303" s="41">
        <v>287</v>
      </c>
      <c r="C303" t="s">
        <v>2377</v>
      </c>
      <c r="D303" t="s">
        <v>2378</v>
      </c>
      <c r="E303" s="13" t="s">
        <v>358</v>
      </c>
      <c r="F303" s="13" t="s">
        <v>2379</v>
      </c>
      <c r="G303" t="s">
        <v>2380</v>
      </c>
      <c r="H303" t="s">
        <v>29</v>
      </c>
      <c r="I303" s="13" t="s">
        <v>34</v>
      </c>
      <c r="J303" s="13"/>
      <c r="K303" t="s">
        <v>436</v>
      </c>
      <c r="L303" s="52" t="s">
        <v>53</v>
      </c>
      <c r="M303" s="13"/>
      <c r="S303" s="38" t="s">
        <v>450</v>
      </c>
      <c r="U303" s="54">
        <v>2705</v>
      </c>
      <c r="V303" s="54">
        <f>2355+350</f>
        <v>2705</v>
      </c>
      <c r="W303" t="s">
        <v>2381</v>
      </c>
      <c r="Z303" s="54">
        <f>1360.9+31.81+102.59+220.5+31.82</f>
        <v>1747.62</v>
      </c>
      <c r="AA303" s="81">
        <f t="shared" si="43"/>
        <v>957.38000000000011</v>
      </c>
      <c r="AC303" s="106">
        <v>1</v>
      </c>
      <c r="AD303"/>
    </row>
    <row r="304" spans="1:30" x14ac:dyDescent="0.25">
      <c r="A304" t="s">
        <v>45</v>
      </c>
      <c r="B304" s="41">
        <v>10008</v>
      </c>
      <c r="C304" t="s">
        <v>2382</v>
      </c>
      <c r="D304" t="s">
        <v>2383</v>
      </c>
      <c r="E304" s="13" t="s">
        <v>432</v>
      </c>
      <c r="F304" s="13" t="s">
        <v>2384</v>
      </c>
      <c r="G304" t="s">
        <v>265</v>
      </c>
      <c r="H304" t="s">
        <v>37</v>
      </c>
      <c r="I304" s="13" t="s">
        <v>34</v>
      </c>
      <c r="J304" s="13"/>
      <c r="K304" t="s">
        <v>60</v>
      </c>
      <c r="L304" s="52" t="s">
        <v>53</v>
      </c>
      <c r="M304" s="13"/>
      <c r="S304" s="38" t="s">
        <v>2385</v>
      </c>
      <c r="U304" s="54">
        <v>3681</v>
      </c>
      <c r="V304" s="54">
        <f>2355+535</f>
        <v>2890</v>
      </c>
      <c r="W304" t="s">
        <v>450</v>
      </c>
      <c r="Z304" s="54">
        <f>1030.9+24.31+122.59+220.5+48.64</f>
        <v>1446.94</v>
      </c>
      <c r="AA304" s="81">
        <f t="shared" si="43"/>
        <v>1443.06</v>
      </c>
      <c r="AC304" s="106">
        <v>1</v>
      </c>
      <c r="AD304"/>
    </row>
    <row r="305" spans="1:30" x14ac:dyDescent="0.25">
      <c r="A305" t="s">
        <v>96</v>
      </c>
      <c r="B305" s="41">
        <v>257</v>
      </c>
      <c r="C305" t="s">
        <v>2386</v>
      </c>
      <c r="D305" t="s">
        <v>2387</v>
      </c>
      <c r="E305" s="13" t="s">
        <v>2388</v>
      </c>
      <c r="F305" s="13" t="s">
        <v>2389</v>
      </c>
      <c r="G305" t="s">
        <v>366</v>
      </c>
      <c r="H305" t="s">
        <v>29</v>
      </c>
      <c r="I305" s="13" t="s">
        <v>30</v>
      </c>
      <c r="J305" s="13"/>
      <c r="K305" t="s">
        <v>111</v>
      </c>
      <c r="L305" s="52" t="s">
        <v>53</v>
      </c>
      <c r="M305" s="13"/>
      <c r="S305" s="38" t="s">
        <v>480</v>
      </c>
      <c r="U305" s="54">
        <v>2155</v>
      </c>
      <c r="V305" s="54">
        <v>2155</v>
      </c>
      <c r="W305" t="s">
        <v>2390</v>
      </c>
      <c r="Z305" s="54">
        <f>1265.62+37.71+97.41</f>
        <v>1400.74</v>
      </c>
      <c r="AA305" s="81">
        <f t="shared" si="43"/>
        <v>754.26</v>
      </c>
      <c r="AC305" s="106">
        <v>1</v>
      </c>
      <c r="AD305"/>
    </row>
    <row r="306" spans="1:30" x14ac:dyDescent="0.25">
      <c r="A306" t="s">
        <v>96</v>
      </c>
      <c r="B306" s="41">
        <v>234</v>
      </c>
      <c r="C306" t="s">
        <v>2391</v>
      </c>
      <c r="D306" t="s">
        <v>2392</v>
      </c>
      <c r="E306" s="13" t="s">
        <v>258</v>
      </c>
      <c r="F306" s="13" t="s">
        <v>2393</v>
      </c>
      <c r="G306" t="s">
        <v>2394</v>
      </c>
      <c r="H306" t="s">
        <v>29</v>
      </c>
      <c r="I306" s="13" t="s">
        <v>34</v>
      </c>
      <c r="J306" s="13"/>
      <c r="K306" t="s">
        <v>1307</v>
      </c>
      <c r="L306" s="52" t="s">
        <v>53</v>
      </c>
      <c r="M306" s="13"/>
      <c r="S306" s="38" t="s">
        <v>480</v>
      </c>
      <c r="U306" s="54">
        <v>3935</v>
      </c>
      <c r="V306" s="54">
        <f>2450+464</f>
        <v>2914</v>
      </c>
      <c r="W306" s="38" t="s">
        <v>2349</v>
      </c>
      <c r="Z306" s="54">
        <f>1358.11+117.73+333+42.18</f>
        <v>1851.02</v>
      </c>
      <c r="AA306" s="81">
        <f t="shared" si="43"/>
        <v>1062.98</v>
      </c>
      <c r="AC306" s="106">
        <v>1</v>
      </c>
      <c r="AD306"/>
    </row>
    <row r="307" spans="1:30" x14ac:dyDescent="0.25">
      <c r="A307" t="s">
        <v>96</v>
      </c>
      <c r="B307" s="41">
        <v>306</v>
      </c>
      <c r="C307" t="s">
        <v>2395</v>
      </c>
      <c r="D307" t="s">
        <v>2396</v>
      </c>
      <c r="E307" s="13" t="s">
        <v>2375</v>
      </c>
      <c r="F307" s="13" t="s">
        <v>2397</v>
      </c>
      <c r="G307" t="s">
        <v>1584</v>
      </c>
      <c r="H307" t="s">
        <v>29</v>
      </c>
      <c r="I307" s="13" t="s">
        <v>30</v>
      </c>
      <c r="J307" s="13"/>
      <c r="K307" t="s">
        <v>642</v>
      </c>
      <c r="L307" s="52" t="s">
        <v>53</v>
      </c>
      <c r="M307" s="13"/>
      <c r="S307" s="38" t="s">
        <v>480</v>
      </c>
      <c r="U307" s="54">
        <v>2325</v>
      </c>
      <c r="V307" s="54">
        <v>2325</v>
      </c>
      <c r="W307" s="38" t="s">
        <v>2398</v>
      </c>
      <c r="Z307" s="54">
        <f>1381.02+29.91+99.86</f>
        <v>1510.79</v>
      </c>
      <c r="AA307" s="81">
        <f t="shared" si="43"/>
        <v>814.21</v>
      </c>
      <c r="AC307" s="106">
        <v>1</v>
      </c>
      <c r="AD307"/>
    </row>
    <row r="308" spans="1:30" x14ac:dyDescent="0.25">
      <c r="A308" t="s">
        <v>45</v>
      </c>
      <c r="B308" s="41">
        <v>20</v>
      </c>
      <c r="C308" t="s">
        <v>2399</v>
      </c>
      <c r="D308" t="s">
        <v>2400</v>
      </c>
      <c r="E308" s="13" t="s">
        <v>345</v>
      </c>
      <c r="F308" s="13" t="s">
        <v>2401</v>
      </c>
      <c r="G308" t="s">
        <v>714</v>
      </c>
      <c r="H308" t="s">
        <v>29</v>
      </c>
      <c r="I308" s="13" t="s">
        <v>30</v>
      </c>
      <c r="J308" s="13"/>
      <c r="K308" t="s">
        <v>303</v>
      </c>
      <c r="L308" s="52" t="s">
        <v>53</v>
      </c>
      <c r="M308" s="13"/>
      <c r="S308" s="38" t="s">
        <v>486</v>
      </c>
      <c r="U308" s="54">
        <v>1905</v>
      </c>
      <c r="V308" s="54">
        <f>1905</f>
        <v>1905</v>
      </c>
      <c r="W308" t="s">
        <v>2402</v>
      </c>
      <c r="Z308" s="54">
        <f>1149.71+24.31+84.65</f>
        <v>1258.67</v>
      </c>
      <c r="AA308" s="81">
        <f t="shared" ref="AA308:AA314" si="44">V308+X308-Z308</f>
        <v>646.32999999999993</v>
      </c>
      <c r="AC308" s="106">
        <v>1</v>
      </c>
      <c r="AD308"/>
    </row>
    <row r="309" spans="1:30" x14ac:dyDescent="0.25">
      <c r="A309" t="s">
        <v>96</v>
      </c>
      <c r="B309" s="41">
        <v>201</v>
      </c>
      <c r="C309" t="s">
        <v>2403</v>
      </c>
      <c r="D309" t="s">
        <v>2404</v>
      </c>
      <c r="E309" s="13" t="s">
        <v>1884</v>
      </c>
      <c r="F309" s="13" t="s">
        <v>2405</v>
      </c>
      <c r="G309" t="s">
        <v>72</v>
      </c>
      <c r="H309" t="s">
        <v>29</v>
      </c>
      <c r="I309" s="13" t="s">
        <v>34</v>
      </c>
      <c r="J309" s="13"/>
      <c r="K309" t="s">
        <v>31</v>
      </c>
      <c r="L309" s="52" t="s">
        <v>53</v>
      </c>
      <c r="M309" s="13"/>
      <c r="S309" s="38" t="s">
        <v>486</v>
      </c>
      <c r="U309" s="54">
        <f>2155+2685</f>
        <v>4840</v>
      </c>
      <c r="V309" s="54">
        <f>2555+1235+801+370</f>
        <v>4961</v>
      </c>
      <c r="W309" t="s">
        <v>2367</v>
      </c>
      <c r="Z309" s="54">
        <f>1427.56+24.31+122.27+694+112.27+594+72.82+159.5+33.64</f>
        <v>3240.37</v>
      </c>
      <c r="AA309" s="81">
        <f t="shared" si="44"/>
        <v>1720.63</v>
      </c>
      <c r="AC309" s="106">
        <v>1</v>
      </c>
      <c r="AD309"/>
    </row>
    <row r="310" spans="1:30" x14ac:dyDescent="0.25">
      <c r="A310" t="s">
        <v>96</v>
      </c>
      <c r="B310" s="41">
        <v>207</v>
      </c>
      <c r="C310" t="s">
        <v>2406</v>
      </c>
      <c r="D310" t="s">
        <v>2407</v>
      </c>
      <c r="E310" s="13" t="s">
        <v>1768</v>
      </c>
      <c r="F310" s="13" t="s">
        <v>2408</v>
      </c>
      <c r="G310" t="s">
        <v>2409</v>
      </c>
      <c r="H310" t="s">
        <v>29</v>
      </c>
      <c r="I310" s="13" t="s">
        <v>30</v>
      </c>
      <c r="J310" s="13"/>
      <c r="K310" t="s">
        <v>38</v>
      </c>
      <c r="L310" s="52" t="s">
        <v>53</v>
      </c>
      <c r="M310" s="13"/>
      <c r="S310" s="38" t="s">
        <v>2410</v>
      </c>
      <c r="U310" s="54">
        <v>1880</v>
      </c>
      <c r="V310" s="54">
        <f>1880+1139.5+682.5</f>
        <v>3702</v>
      </c>
      <c r="W310" t="s">
        <v>2307</v>
      </c>
      <c r="Z310" s="54">
        <f>1446.28+53.01+53.41+71.5+103.59+359.3+62.05</f>
        <v>2149.1400000000003</v>
      </c>
      <c r="AA310" s="81">
        <f t="shared" si="44"/>
        <v>1552.8599999999997</v>
      </c>
      <c r="AC310" s="106">
        <v>1</v>
      </c>
      <c r="AD310"/>
    </row>
    <row r="311" spans="1:30" x14ac:dyDescent="0.25">
      <c r="A311" t="s">
        <v>96</v>
      </c>
      <c r="B311" s="41">
        <v>235</v>
      </c>
      <c r="C311" t="s">
        <v>2411</v>
      </c>
      <c r="D311" t="s">
        <v>2412</v>
      </c>
      <c r="E311" s="13" t="s">
        <v>258</v>
      </c>
      <c r="F311" s="13" t="s">
        <v>2413</v>
      </c>
      <c r="G311" t="s">
        <v>78</v>
      </c>
      <c r="H311" t="s">
        <v>29</v>
      </c>
      <c r="I311" s="13" t="s">
        <v>30</v>
      </c>
      <c r="J311" s="13"/>
      <c r="K311" t="s">
        <v>31</v>
      </c>
      <c r="L311" s="52" t="s">
        <v>53</v>
      </c>
      <c r="M311" s="13"/>
      <c r="S311" s="38" t="s">
        <v>2414</v>
      </c>
      <c r="U311" s="54">
        <v>2522</v>
      </c>
      <c r="V311" s="54">
        <f>2522+190</f>
        <v>2712</v>
      </c>
      <c r="W311" t="s">
        <v>2415</v>
      </c>
      <c r="Z311" s="54">
        <f>1758.96+29.91+85.77+170+17.27</f>
        <v>2061.9100000000003</v>
      </c>
      <c r="AA311" s="81">
        <f t="shared" si="44"/>
        <v>650.08999999999969</v>
      </c>
      <c r="AC311" s="106">
        <v>1</v>
      </c>
      <c r="AD311"/>
    </row>
    <row r="312" spans="1:30" x14ac:dyDescent="0.25">
      <c r="A312" t="s">
        <v>96</v>
      </c>
      <c r="B312" s="41">
        <v>274</v>
      </c>
      <c r="C312" t="s">
        <v>2416</v>
      </c>
      <c r="D312" t="s">
        <v>2417</v>
      </c>
      <c r="E312" s="13" t="s">
        <v>2418</v>
      </c>
      <c r="F312" s="13" t="s">
        <v>2419</v>
      </c>
      <c r="G312" t="s">
        <v>2420</v>
      </c>
      <c r="H312" t="s">
        <v>29</v>
      </c>
      <c r="I312" s="13" t="s">
        <v>30</v>
      </c>
      <c r="J312" s="13"/>
      <c r="K312" t="s">
        <v>580</v>
      </c>
      <c r="L312" s="52" t="s">
        <v>53</v>
      </c>
      <c r="M312" s="13"/>
      <c r="S312" s="38" t="s">
        <v>2421</v>
      </c>
      <c r="U312" s="54">
        <v>2755</v>
      </c>
      <c r="V312" s="54">
        <f>2755</f>
        <v>2755</v>
      </c>
      <c r="W312" t="s">
        <v>425</v>
      </c>
      <c r="Z312" s="54">
        <f>1347.2+24.31+150.45</f>
        <v>1521.96</v>
      </c>
      <c r="AA312" s="81">
        <f t="shared" si="44"/>
        <v>1233.04</v>
      </c>
      <c r="AB312" s="54">
        <f>SUM(AA175:AA312)</f>
        <v>148571.45000000001</v>
      </c>
      <c r="AC312" s="106">
        <v>1</v>
      </c>
      <c r="AD312"/>
    </row>
    <row r="313" spans="1:30" x14ac:dyDescent="0.25">
      <c r="A313" t="s">
        <v>96</v>
      </c>
      <c r="B313" s="41">
        <v>259</v>
      </c>
      <c r="C313" t="s">
        <v>2422</v>
      </c>
      <c r="D313" t="s">
        <v>2423</v>
      </c>
      <c r="E313" s="13" t="s">
        <v>299</v>
      </c>
      <c r="F313" s="13" t="s">
        <v>2424</v>
      </c>
      <c r="G313" t="s">
        <v>2425</v>
      </c>
      <c r="H313" t="s">
        <v>374</v>
      </c>
      <c r="I313" s="13" t="s">
        <v>30</v>
      </c>
      <c r="J313" s="13"/>
      <c r="K313" t="s">
        <v>35</v>
      </c>
      <c r="L313" s="52" t="s">
        <v>53</v>
      </c>
      <c r="M313" s="13"/>
      <c r="S313" s="38" t="s">
        <v>2426</v>
      </c>
      <c r="U313" s="54">
        <v>3144</v>
      </c>
      <c r="V313" s="54">
        <f>2205+293</f>
        <v>2498</v>
      </c>
      <c r="W313" t="s">
        <v>2398</v>
      </c>
      <c r="Z313" s="54">
        <f>1191.31+24.31+109.95+159.5+26.64</f>
        <v>1511.71</v>
      </c>
      <c r="AA313" s="81">
        <f t="shared" si="44"/>
        <v>986.29</v>
      </c>
      <c r="AC313" s="106">
        <v>1</v>
      </c>
      <c r="AD313"/>
    </row>
    <row r="314" spans="1:30" x14ac:dyDescent="0.25">
      <c r="A314" t="s">
        <v>45</v>
      </c>
      <c r="B314" s="41">
        <v>9345</v>
      </c>
      <c r="C314" t="s">
        <v>2427</v>
      </c>
      <c r="D314" t="s">
        <v>2428</v>
      </c>
      <c r="E314" s="13" t="s">
        <v>2376</v>
      </c>
      <c r="F314" s="13" t="s">
        <v>2429</v>
      </c>
      <c r="G314" t="s">
        <v>149</v>
      </c>
      <c r="H314" t="s">
        <v>29</v>
      </c>
      <c r="I314" s="13" t="s">
        <v>30</v>
      </c>
      <c r="J314" s="13"/>
      <c r="K314" t="s">
        <v>60</v>
      </c>
      <c r="L314" s="52" t="s">
        <v>53</v>
      </c>
      <c r="M314" s="13"/>
      <c r="S314" s="38" t="s">
        <v>2426</v>
      </c>
      <c r="U314" s="54">
        <v>1905</v>
      </c>
      <c r="V314" s="54">
        <v>1905</v>
      </c>
      <c r="W314" t="s">
        <v>2430</v>
      </c>
      <c r="Z314" s="54">
        <f>1185.35+29.91+82.68</f>
        <v>1297.94</v>
      </c>
      <c r="AA314" s="81">
        <f t="shared" si="44"/>
        <v>607.05999999999995</v>
      </c>
      <c r="AC314" s="106">
        <v>1</v>
      </c>
      <c r="AD314"/>
    </row>
    <row r="315" spans="1:30" x14ac:dyDescent="0.25">
      <c r="A315" t="s">
        <v>96</v>
      </c>
      <c r="B315" s="41">
        <v>237</v>
      </c>
      <c r="C315" t="s">
        <v>2431</v>
      </c>
      <c r="D315" t="s">
        <v>2432</v>
      </c>
      <c r="E315" s="13" t="s">
        <v>2433</v>
      </c>
      <c r="F315" s="13" t="s">
        <v>2434</v>
      </c>
      <c r="G315" t="s">
        <v>2435</v>
      </c>
      <c r="H315" t="s">
        <v>2436</v>
      </c>
      <c r="I315" s="13" t="s">
        <v>30</v>
      </c>
      <c r="J315" s="13"/>
      <c r="K315" t="s">
        <v>580</v>
      </c>
      <c r="L315" s="52" t="s">
        <v>53</v>
      </c>
      <c r="M315" s="13"/>
      <c r="S315" s="38" t="s">
        <v>2437</v>
      </c>
      <c r="U315" s="54">
        <v>3659</v>
      </c>
      <c r="V315" s="54">
        <f>1930+1729</f>
        <v>3659</v>
      </c>
      <c r="W315" t="s">
        <v>2398</v>
      </c>
      <c r="Z315" s="54">
        <f>1162.68+24.31+83.95+1364.9+157.18</f>
        <v>2793.02</v>
      </c>
      <c r="AA315" s="81">
        <f t="shared" ref="AA315:AA320" si="45">V315+X315-Z315</f>
        <v>865.98</v>
      </c>
      <c r="AC315" s="106">
        <v>1</v>
      </c>
      <c r="AD315"/>
    </row>
    <row r="316" spans="1:30" x14ac:dyDescent="0.25">
      <c r="A316" t="s">
        <v>96</v>
      </c>
      <c r="B316" s="41">
        <v>322</v>
      </c>
      <c r="C316" t="s">
        <v>2438</v>
      </c>
      <c r="D316" t="s">
        <v>2439</v>
      </c>
      <c r="E316" s="13" t="s">
        <v>2440</v>
      </c>
      <c r="F316" s="13" t="s">
        <v>2441</v>
      </c>
      <c r="G316" t="s">
        <v>495</v>
      </c>
      <c r="H316" t="s">
        <v>29</v>
      </c>
      <c r="I316" s="13" t="s">
        <v>30</v>
      </c>
      <c r="J316" s="13"/>
      <c r="K316" t="s">
        <v>60</v>
      </c>
      <c r="L316" s="52" t="s">
        <v>53</v>
      </c>
      <c r="M316" s="13"/>
      <c r="S316" s="38" t="s">
        <v>2442</v>
      </c>
      <c r="U316" s="54">
        <v>2305</v>
      </c>
      <c r="V316" s="54">
        <v>2305</v>
      </c>
      <c r="W316" t="s">
        <v>2426</v>
      </c>
      <c r="Z316" s="54">
        <f>1345.6+15.3+109.25</f>
        <v>1470.1499999999999</v>
      </c>
      <c r="AA316" s="81">
        <f t="shared" si="45"/>
        <v>834.85000000000014</v>
      </c>
      <c r="AC316" s="106">
        <v>1</v>
      </c>
      <c r="AD316"/>
    </row>
    <row r="317" spans="1:30" x14ac:dyDescent="0.25">
      <c r="A317" t="s">
        <v>96</v>
      </c>
      <c r="B317" s="41">
        <v>307</v>
      </c>
      <c r="C317" t="s">
        <v>2443</v>
      </c>
      <c r="D317" t="s">
        <v>2444</v>
      </c>
      <c r="E317" s="13" t="s">
        <v>2375</v>
      </c>
      <c r="F317" s="13" t="s">
        <v>2445</v>
      </c>
      <c r="G317" t="s">
        <v>591</v>
      </c>
      <c r="H317" t="s">
        <v>374</v>
      </c>
      <c r="I317" s="13" t="s">
        <v>30</v>
      </c>
      <c r="J317" s="13"/>
      <c r="K317" t="s">
        <v>60</v>
      </c>
      <c r="L317" s="52" t="s">
        <v>53</v>
      </c>
      <c r="M317" s="13"/>
      <c r="S317" s="38" t="s">
        <v>2446</v>
      </c>
      <c r="U317" s="54">
        <v>2385</v>
      </c>
      <c r="V317" s="54">
        <f>2214+646</f>
        <v>2860</v>
      </c>
      <c r="W317" t="s">
        <v>2447</v>
      </c>
      <c r="Z317" s="54">
        <f>637.54+550+160.77+320.2+58.73</f>
        <v>1727.24</v>
      </c>
      <c r="AA317" s="81">
        <f t="shared" si="45"/>
        <v>1132.76</v>
      </c>
      <c r="AC317" s="106">
        <v>1</v>
      </c>
      <c r="AD317"/>
    </row>
    <row r="318" spans="1:30" x14ac:dyDescent="0.25">
      <c r="A318" t="s">
        <v>96</v>
      </c>
      <c r="B318" s="41">
        <v>176</v>
      </c>
      <c r="C318" t="s">
        <v>2448</v>
      </c>
      <c r="D318" t="s">
        <v>2449</v>
      </c>
      <c r="E318" s="13" t="s">
        <v>1683</v>
      </c>
      <c r="F318" s="13" t="s">
        <v>2450</v>
      </c>
      <c r="G318" t="s">
        <v>1584</v>
      </c>
      <c r="H318" t="s">
        <v>29</v>
      </c>
      <c r="I318" s="13" t="s">
        <v>30</v>
      </c>
      <c r="J318" s="13"/>
      <c r="L318" s="52" t="s">
        <v>53</v>
      </c>
      <c r="M318" s="13"/>
      <c r="S318" s="38" t="s">
        <v>516</v>
      </c>
      <c r="U318" s="54">
        <v>2350</v>
      </c>
      <c r="V318" s="54">
        <f>2350+448</f>
        <v>2798</v>
      </c>
      <c r="W318" t="s">
        <v>2451</v>
      </c>
      <c r="Z318" s="54">
        <f>1226.02+35.51+117.64+320.25+40.73</f>
        <v>1740.15</v>
      </c>
      <c r="AA318" s="81">
        <f t="shared" si="45"/>
        <v>1057.8499999999999</v>
      </c>
      <c r="AC318" s="106">
        <f>IF(J318="YES",0,1)</f>
        <v>1</v>
      </c>
      <c r="AD318"/>
    </row>
    <row r="319" spans="1:30" x14ac:dyDescent="0.25">
      <c r="A319" t="s">
        <v>96</v>
      </c>
      <c r="B319" s="41">
        <v>319</v>
      </c>
      <c r="C319" t="s">
        <v>2452</v>
      </c>
      <c r="D319" t="s">
        <v>2453</v>
      </c>
      <c r="E319" s="13" t="s">
        <v>2454</v>
      </c>
      <c r="F319" s="13" t="s">
        <v>2455</v>
      </c>
      <c r="G319" t="s">
        <v>2456</v>
      </c>
      <c r="H319" t="s">
        <v>29</v>
      </c>
      <c r="I319" s="13" t="s">
        <v>30</v>
      </c>
      <c r="J319" s="13"/>
      <c r="K319" t="s">
        <v>580</v>
      </c>
      <c r="L319" s="52" t="s">
        <v>53</v>
      </c>
      <c r="M319" s="13"/>
      <c r="S319" s="38" t="s">
        <v>516</v>
      </c>
      <c r="U319" s="54">
        <v>2347</v>
      </c>
      <c r="V319" s="54">
        <v>2347</v>
      </c>
      <c r="W319" t="s">
        <v>700</v>
      </c>
      <c r="Z319" s="54">
        <v>1504.8</v>
      </c>
      <c r="AA319" s="81">
        <f t="shared" si="45"/>
        <v>842.2</v>
      </c>
      <c r="AC319" s="106">
        <v>1</v>
      </c>
      <c r="AD319"/>
    </row>
    <row r="320" spans="1:30" x14ac:dyDescent="0.25">
      <c r="A320" s="72" t="s">
        <v>45</v>
      </c>
      <c r="B320" s="73">
        <v>10003</v>
      </c>
      <c r="C320" s="72" t="s">
        <v>2457</v>
      </c>
      <c r="D320" s="72" t="s">
        <v>2458</v>
      </c>
      <c r="E320" s="75" t="s">
        <v>2293</v>
      </c>
      <c r="F320" s="75" t="s">
        <v>2459</v>
      </c>
      <c r="G320" s="72" t="s">
        <v>2196</v>
      </c>
      <c r="H320" s="72" t="s">
        <v>29</v>
      </c>
      <c r="I320" s="75" t="s">
        <v>34</v>
      </c>
      <c r="J320" s="75"/>
      <c r="K320" s="72" t="s">
        <v>60</v>
      </c>
      <c r="L320" s="160" t="s">
        <v>53</v>
      </c>
      <c r="M320" s="75"/>
      <c r="N320" s="75"/>
      <c r="O320" s="72"/>
      <c r="P320" s="76"/>
      <c r="Q320" s="76"/>
      <c r="R320" s="76"/>
      <c r="S320" s="76" t="s">
        <v>516</v>
      </c>
      <c r="T320" s="72"/>
      <c r="U320" s="81">
        <v>3736</v>
      </c>
      <c r="V320" s="81">
        <f>2005+293</f>
        <v>2298</v>
      </c>
      <c r="W320" s="72" t="s">
        <v>418</v>
      </c>
      <c r="X320" s="72"/>
      <c r="Y320" s="72"/>
      <c r="Z320" s="81">
        <f>1258.68+57.91+87.27+159.5+26.64</f>
        <v>1590.0000000000002</v>
      </c>
      <c r="AA320" s="81">
        <f t="shared" si="45"/>
        <v>707.99999999999977</v>
      </c>
      <c r="AC320" s="106">
        <v>1</v>
      </c>
      <c r="AD320"/>
    </row>
    <row r="321" spans="1:30" x14ac:dyDescent="0.25">
      <c r="A321" t="s">
        <v>45</v>
      </c>
      <c r="B321" s="41">
        <v>10019</v>
      </c>
      <c r="C321" t="s">
        <v>2460</v>
      </c>
      <c r="D321" t="s">
        <v>2461</v>
      </c>
      <c r="E321" s="13" t="s">
        <v>2440</v>
      </c>
      <c r="F321" s="13" t="s">
        <v>2462</v>
      </c>
      <c r="G321" t="s">
        <v>686</v>
      </c>
      <c r="H321" t="s">
        <v>29</v>
      </c>
      <c r="I321" s="13" t="s">
        <v>30</v>
      </c>
      <c r="J321" s="13"/>
      <c r="K321" t="s">
        <v>60</v>
      </c>
      <c r="L321" s="52" t="s">
        <v>53</v>
      </c>
      <c r="M321" s="13"/>
      <c r="S321" s="38" t="s">
        <v>2463</v>
      </c>
      <c r="U321" s="54">
        <v>2458</v>
      </c>
      <c r="V321" s="54">
        <v>2458</v>
      </c>
      <c r="W321" t="s">
        <v>706</v>
      </c>
      <c r="Z321" s="54">
        <f>1156.71+29.91+134.95</f>
        <v>1321.5700000000002</v>
      </c>
      <c r="AA321" s="81">
        <f t="shared" ref="AA321:AA326" si="46">V321+X321-Z321</f>
        <v>1136.4299999999998</v>
      </c>
      <c r="AC321" s="106">
        <v>1</v>
      </c>
      <c r="AD321"/>
    </row>
    <row r="322" spans="1:30" x14ac:dyDescent="0.25">
      <c r="A322" t="s">
        <v>96</v>
      </c>
      <c r="B322" s="41">
        <v>230</v>
      </c>
      <c r="C322" t="s">
        <v>2464</v>
      </c>
      <c r="D322" t="s">
        <v>2465</v>
      </c>
      <c r="E322" s="13" t="s">
        <v>252</v>
      </c>
      <c r="F322" s="13" t="s">
        <v>2466</v>
      </c>
      <c r="G322" t="s">
        <v>2467</v>
      </c>
      <c r="H322" t="s">
        <v>29</v>
      </c>
      <c r="I322" s="13" t="s">
        <v>34</v>
      </c>
      <c r="J322" s="13"/>
      <c r="L322" s="52" t="s">
        <v>53</v>
      </c>
      <c r="M322" s="13"/>
      <c r="S322" s="38" t="s">
        <v>2468</v>
      </c>
      <c r="U322" s="54">
        <v>3458.5</v>
      </c>
      <c r="V322" s="54">
        <f>461+1316+481</f>
        <v>2258</v>
      </c>
      <c r="W322" t="s">
        <v>418</v>
      </c>
      <c r="Z322" s="54">
        <f>24.31+159.5+694-220.4</f>
        <v>657.41</v>
      </c>
      <c r="AA322" s="81">
        <f t="shared" si="46"/>
        <v>1600.5900000000001</v>
      </c>
      <c r="AC322" s="106">
        <v>1</v>
      </c>
      <c r="AD322"/>
    </row>
    <row r="323" spans="1:30" x14ac:dyDescent="0.25">
      <c r="A323" t="s">
        <v>96</v>
      </c>
      <c r="B323" s="41">
        <v>312</v>
      </c>
      <c r="C323" t="s">
        <v>2469</v>
      </c>
      <c r="D323" t="s">
        <v>2470</v>
      </c>
      <c r="E323" s="13" t="s">
        <v>2471</v>
      </c>
      <c r="F323" s="13" t="s">
        <v>2472</v>
      </c>
      <c r="G323" t="s">
        <v>2473</v>
      </c>
      <c r="H323" t="s">
        <v>29</v>
      </c>
      <c r="I323" s="13" t="s">
        <v>30</v>
      </c>
      <c r="J323" s="13"/>
      <c r="K323" t="s">
        <v>1200</v>
      </c>
      <c r="L323" s="52" t="s">
        <v>53</v>
      </c>
      <c r="M323" s="13"/>
      <c r="S323" s="38" t="s">
        <v>540</v>
      </c>
      <c r="U323" s="54">
        <v>2250</v>
      </c>
      <c r="V323" s="54">
        <v>2250</v>
      </c>
      <c r="W323" t="s">
        <v>2474</v>
      </c>
      <c r="Z323" s="54">
        <f>1385.24+24.31+93.05</f>
        <v>1502.6</v>
      </c>
      <c r="AA323" s="81">
        <f t="shared" si="46"/>
        <v>747.40000000000009</v>
      </c>
      <c r="AC323" s="106">
        <v>1</v>
      </c>
      <c r="AD323"/>
    </row>
    <row r="324" spans="1:30" x14ac:dyDescent="0.25">
      <c r="A324" t="s">
        <v>96</v>
      </c>
      <c r="B324" s="41">
        <v>313</v>
      </c>
      <c r="C324" t="s">
        <v>2475</v>
      </c>
      <c r="D324" t="s">
        <v>2476</v>
      </c>
      <c r="E324" s="13" t="s">
        <v>463</v>
      </c>
      <c r="F324" s="13" t="s">
        <v>2477</v>
      </c>
      <c r="G324" t="s">
        <v>149</v>
      </c>
      <c r="H324" t="s">
        <v>29</v>
      </c>
      <c r="I324" s="13" t="s">
        <v>30</v>
      </c>
      <c r="J324" s="13"/>
      <c r="K324" t="s">
        <v>60</v>
      </c>
      <c r="L324" s="52" t="s">
        <v>53</v>
      </c>
      <c r="M324" s="13"/>
      <c r="S324" s="38" t="s">
        <v>540</v>
      </c>
      <c r="U324" s="54">
        <v>2347</v>
      </c>
      <c r="V324" s="54">
        <v>2347</v>
      </c>
      <c r="W324" t="s">
        <v>2478</v>
      </c>
      <c r="Z324" s="54">
        <f>1379.07+29.91+101.86</f>
        <v>1510.84</v>
      </c>
      <c r="AA324" s="81">
        <f t="shared" si="46"/>
        <v>836.16000000000008</v>
      </c>
      <c r="AC324" s="106">
        <v>1</v>
      </c>
      <c r="AD324"/>
    </row>
    <row r="325" spans="1:30" x14ac:dyDescent="0.25">
      <c r="A325" t="s">
        <v>96</v>
      </c>
      <c r="B325" s="41">
        <v>258</v>
      </c>
      <c r="C325" t="s">
        <v>2479</v>
      </c>
      <c r="D325" t="s">
        <v>2480</v>
      </c>
      <c r="E325" s="13" t="s">
        <v>2481</v>
      </c>
      <c r="F325" s="13" t="s">
        <v>2482</v>
      </c>
      <c r="G325" t="s">
        <v>101</v>
      </c>
      <c r="H325" t="s">
        <v>29</v>
      </c>
      <c r="I325" s="13" t="s">
        <v>34</v>
      </c>
      <c r="J325" s="13"/>
      <c r="K325" t="s">
        <v>67</v>
      </c>
      <c r="L325" s="52" t="s">
        <v>53</v>
      </c>
      <c r="M325" s="13"/>
      <c r="S325" s="38" t="s">
        <v>557</v>
      </c>
      <c r="U325" s="54">
        <v>3181</v>
      </c>
      <c r="V325" s="54">
        <f>1855+1326</f>
        <v>3181</v>
      </c>
      <c r="W325" t="s">
        <v>345</v>
      </c>
      <c r="Z325" s="54">
        <f>1161.19+41.11+77.14+694+120.55</f>
        <v>2093.9900000000002</v>
      </c>
      <c r="AA325" s="81">
        <f t="shared" si="46"/>
        <v>1087.0099999999998</v>
      </c>
      <c r="AC325" s="106">
        <v>1</v>
      </c>
      <c r="AD325"/>
    </row>
    <row r="326" spans="1:30" x14ac:dyDescent="0.25">
      <c r="A326" t="s">
        <v>96</v>
      </c>
      <c r="B326" s="41">
        <v>301</v>
      </c>
      <c r="C326" t="s">
        <v>2483</v>
      </c>
      <c r="D326" t="s">
        <v>2484</v>
      </c>
      <c r="E326" s="13" t="s">
        <v>2349</v>
      </c>
      <c r="F326" s="13" t="s">
        <v>2485</v>
      </c>
      <c r="G326" t="s">
        <v>476</v>
      </c>
      <c r="H326" t="s">
        <v>29</v>
      </c>
      <c r="I326" s="13" t="s">
        <v>34</v>
      </c>
      <c r="J326" s="13"/>
      <c r="K326" t="s">
        <v>31</v>
      </c>
      <c r="L326" s="52" t="s">
        <v>53</v>
      </c>
      <c r="M326" s="13"/>
      <c r="S326" s="38" t="s">
        <v>571</v>
      </c>
      <c r="U326" s="54">
        <f>2355+750</f>
        <v>3105</v>
      </c>
      <c r="V326" s="54">
        <f>2355+750</f>
        <v>3105</v>
      </c>
      <c r="W326" t="s">
        <v>486</v>
      </c>
      <c r="Z326" s="54">
        <f>1382.46+39.61+102.59+473.6+68.18</f>
        <v>2066.4399999999996</v>
      </c>
      <c r="AA326" s="81">
        <f t="shared" si="46"/>
        <v>1038.5600000000004</v>
      </c>
      <c r="AC326" s="106">
        <v>1</v>
      </c>
      <c r="AD326"/>
    </row>
    <row r="327" spans="1:30" x14ac:dyDescent="0.25">
      <c r="A327" t="s">
        <v>96</v>
      </c>
      <c r="B327" s="41">
        <v>228</v>
      </c>
      <c r="C327" t="s">
        <v>2486</v>
      </c>
      <c r="D327" t="s">
        <v>2487</v>
      </c>
      <c r="E327" s="13" t="s">
        <v>245</v>
      </c>
      <c r="F327" s="13" t="s">
        <v>2488</v>
      </c>
      <c r="G327" t="s">
        <v>467</v>
      </c>
      <c r="H327" t="s">
        <v>29</v>
      </c>
      <c r="I327" s="13" t="s">
        <v>30</v>
      </c>
      <c r="J327" s="13"/>
      <c r="L327" s="52" t="s">
        <v>53</v>
      </c>
      <c r="M327" s="13"/>
      <c r="S327" s="38" t="s">
        <v>576</v>
      </c>
      <c r="U327" s="54">
        <v>1955</v>
      </c>
      <c r="V327" s="54">
        <v>1955</v>
      </c>
      <c r="W327" t="s">
        <v>2489</v>
      </c>
      <c r="Z327" s="54">
        <f>29.91+1295.1+77.23</f>
        <v>1402.24</v>
      </c>
      <c r="AA327" s="81">
        <f t="shared" ref="AA327:AA332" si="47">V327+X327-Z327</f>
        <v>552.76</v>
      </c>
      <c r="AC327" s="106">
        <v>1</v>
      </c>
      <c r="AD327"/>
    </row>
    <row r="328" spans="1:30" x14ac:dyDescent="0.25">
      <c r="A328" t="s">
        <v>96</v>
      </c>
      <c r="B328" s="41">
        <v>187</v>
      </c>
      <c r="C328" t="s">
        <v>2065</v>
      </c>
      <c r="D328" t="s">
        <v>2490</v>
      </c>
      <c r="E328" s="13" t="s">
        <v>2414</v>
      </c>
      <c r="F328" s="13" t="s">
        <v>2491</v>
      </c>
      <c r="G328" t="s">
        <v>1402</v>
      </c>
      <c r="H328" t="s">
        <v>29</v>
      </c>
      <c r="I328" s="13" t="s">
        <v>30</v>
      </c>
      <c r="J328" s="13"/>
      <c r="K328" t="s">
        <v>642</v>
      </c>
      <c r="L328" s="52" t="s">
        <v>53</v>
      </c>
      <c r="M328" s="13"/>
      <c r="S328" s="38" t="s">
        <v>2492</v>
      </c>
      <c r="U328" s="54">
        <v>2347</v>
      </c>
      <c r="V328" s="54">
        <v>2347</v>
      </c>
      <c r="W328" t="s">
        <v>540</v>
      </c>
      <c r="Z328" s="54">
        <f>1054.53+41.03+131.86</f>
        <v>1227.42</v>
      </c>
      <c r="AA328" s="81">
        <f t="shared" si="47"/>
        <v>1119.58</v>
      </c>
      <c r="AC328" s="106">
        <v>1</v>
      </c>
      <c r="AD328"/>
    </row>
    <row r="329" spans="1:30" x14ac:dyDescent="0.25">
      <c r="A329" t="s">
        <v>96</v>
      </c>
      <c r="B329" s="41">
        <v>286</v>
      </c>
      <c r="C329" t="s">
        <v>2493</v>
      </c>
      <c r="D329" t="s">
        <v>2494</v>
      </c>
      <c r="E329" s="13" t="s">
        <v>2495</v>
      </c>
      <c r="F329" s="13" t="s">
        <v>2496</v>
      </c>
      <c r="G329" t="s">
        <v>2497</v>
      </c>
      <c r="H329" t="s">
        <v>29</v>
      </c>
      <c r="I329" s="13" t="s">
        <v>34</v>
      </c>
      <c r="J329" s="13"/>
      <c r="L329" s="52" t="s">
        <v>53</v>
      </c>
      <c r="M329" s="13"/>
      <c r="S329" s="38" t="s">
        <v>2498</v>
      </c>
      <c r="U329" s="54">
        <v>5110</v>
      </c>
      <c r="V329" s="54">
        <f>2505+808</f>
        <v>3313</v>
      </c>
      <c r="W329" t="s">
        <v>2499</v>
      </c>
      <c r="Z329" s="54">
        <f>1929.62+24.31+66.73+347+73.45</f>
        <v>2441.1099999999997</v>
      </c>
      <c r="AA329" s="81">
        <f t="shared" si="47"/>
        <v>871.89000000000033</v>
      </c>
      <c r="AC329" s="106">
        <v>1</v>
      </c>
      <c r="AD329"/>
    </row>
    <row r="330" spans="1:30" x14ac:dyDescent="0.25">
      <c r="A330" t="s">
        <v>45</v>
      </c>
      <c r="B330" s="41">
        <v>13</v>
      </c>
      <c r="C330" t="s">
        <v>2500</v>
      </c>
      <c r="D330" t="s">
        <v>2501</v>
      </c>
      <c r="E330" s="13" t="s">
        <v>2502</v>
      </c>
      <c r="F330" s="13" t="s">
        <v>2503</v>
      </c>
      <c r="G330" t="s">
        <v>747</v>
      </c>
      <c r="H330" t="s">
        <v>29</v>
      </c>
      <c r="I330" s="13" t="s">
        <v>30</v>
      </c>
      <c r="J330" s="13"/>
      <c r="K330" t="s">
        <v>60</v>
      </c>
      <c r="L330" s="52" t="s">
        <v>53</v>
      </c>
      <c r="M330" s="13"/>
      <c r="S330" s="38" t="s">
        <v>2498</v>
      </c>
      <c r="U330" s="54">
        <v>2411</v>
      </c>
      <c r="V330" s="54">
        <v>2411</v>
      </c>
      <c r="W330" t="s">
        <v>2226</v>
      </c>
      <c r="Z330" s="54">
        <f>1153.25+24.31+130.68</f>
        <v>1308.24</v>
      </c>
      <c r="AA330" s="81">
        <f t="shared" si="47"/>
        <v>1102.76</v>
      </c>
      <c r="AC330" s="106">
        <v>1</v>
      </c>
      <c r="AD330"/>
    </row>
    <row r="331" spans="1:30" x14ac:dyDescent="0.25">
      <c r="A331" t="s">
        <v>96</v>
      </c>
      <c r="B331" s="41">
        <v>218</v>
      </c>
      <c r="C331" t="s">
        <v>2504</v>
      </c>
      <c r="D331" t="s">
        <v>2505</v>
      </c>
      <c r="E331" s="13" t="s">
        <v>232</v>
      </c>
      <c r="F331" s="13" t="s">
        <v>2506</v>
      </c>
      <c r="G331" t="s">
        <v>50</v>
      </c>
      <c r="H331" t="s">
        <v>29</v>
      </c>
      <c r="I331" s="13" t="s">
        <v>30</v>
      </c>
      <c r="J331" s="13"/>
      <c r="K331" t="s">
        <v>31</v>
      </c>
      <c r="L331" s="52" t="s">
        <v>53</v>
      </c>
      <c r="M331" s="13"/>
      <c r="S331" s="38" t="s">
        <v>608</v>
      </c>
      <c r="U331" s="54">
        <v>2155</v>
      </c>
      <c r="V331" s="54">
        <f>2155+646</f>
        <v>2801</v>
      </c>
      <c r="W331" t="s">
        <v>2262</v>
      </c>
      <c r="Z331" s="54">
        <f>1192.52+24.31+105.41+320.2+58.73</f>
        <v>1701.17</v>
      </c>
      <c r="AA331" s="81">
        <f t="shared" si="47"/>
        <v>1099.83</v>
      </c>
      <c r="AC331" s="106">
        <v>1</v>
      </c>
      <c r="AD331"/>
    </row>
    <row r="332" spans="1:30" x14ac:dyDescent="0.25">
      <c r="A332" t="s">
        <v>96</v>
      </c>
      <c r="B332" s="41">
        <v>321</v>
      </c>
      <c r="C332" t="s">
        <v>2507</v>
      </c>
      <c r="D332" t="s">
        <v>2508</v>
      </c>
      <c r="E332" s="13" t="s">
        <v>486</v>
      </c>
      <c r="F332" s="13" t="s">
        <v>2509</v>
      </c>
      <c r="G332" t="s">
        <v>591</v>
      </c>
      <c r="H332" t="s">
        <v>29</v>
      </c>
      <c r="I332" s="13" t="s">
        <v>30</v>
      </c>
      <c r="J332" s="13"/>
      <c r="K332" t="s">
        <v>60</v>
      </c>
      <c r="L332" s="52" t="s">
        <v>53</v>
      </c>
      <c r="M332" s="13"/>
      <c r="S332" s="38" t="s">
        <v>608</v>
      </c>
      <c r="U332" s="54">
        <v>2644</v>
      </c>
      <c r="V332" s="54">
        <v>2369</v>
      </c>
      <c r="W332" t="s">
        <v>2499</v>
      </c>
      <c r="Z332" s="54">
        <f>1385.02+41.11+103.86</f>
        <v>1529.9899999999998</v>
      </c>
      <c r="AA332" s="81">
        <f t="shared" si="47"/>
        <v>839.01000000000022</v>
      </c>
      <c r="AC332" s="106">
        <v>1</v>
      </c>
      <c r="AD332"/>
    </row>
    <row r="333" spans="1:30" x14ac:dyDescent="0.25">
      <c r="A333" t="s">
        <v>96</v>
      </c>
      <c r="B333" s="41">
        <v>305</v>
      </c>
      <c r="C333" t="s">
        <v>2510</v>
      </c>
      <c r="D333" t="s">
        <v>2511</v>
      </c>
      <c r="E333" s="13" t="s">
        <v>2354</v>
      </c>
      <c r="F333" s="13" t="s">
        <v>2512</v>
      </c>
      <c r="G333" t="s">
        <v>2513</v>
      </c>
      <c r="H333" t="s">
        <v>29</v>
      </c>
      <c r="I333" s="13" t="s">
        <v>34</v>
      </c>
      <c r="J333" s="13"/>
      <c r="K333" t="s">
        <v>2514</v>
      </c>
      <c r="L333" s="52" t="s">
        <v>53</v>
      </c>
      <c r="M333" s="13"/>
      <c r="S333" s="38" t="s">
        <v>618</v>
      </c>
      <c r="U333" s="54">
        <v>4996</v>
      </c>
      <c r="V333" s="54">
        <v>2550</v>
      </c>
      <c r="W333" t="s">
        <v>571</v>
      </c>
      <c r="Z333" s="54">
        <f>1849.11+54.91+81.32</f>
        <v>1985.34</v>
      </c>
      <c r="AA333" s="81">
        <f t="shared" ref="AA333:AA338" si="48">V333+X333-Z333</f>
        <v>564.66000000000008</v>
      </c>
      <c r="AC333" s="106">
        <v>1</v>
      </c>
      <c r="AD333"/>
    </row>
    <row r="334" spans="1:30" x14ac:dyDescent="0.25">
      <c r="A334" t="s">
        <v>96</v>
      </c>
      <c r="B334" s="41">
        <v>300</v>
      </c>
      <c r="C334" t="s">
        <v>2515</v>
      </c>
      <c r="D334" t="s">
        <v>2014</v>
      </c>
      <c r="E334" s="13" t="s">
        <v>76</v>
      </c>
      <c r="F334" s="13" t="s">
        <v>2516</v>
      </c>
      <c r="G334" t="s">
        <v>2224</v>
      </c>
      <c r="H334" t="s">
        <v>29</v>
      </c>
      <c r="I334" s="13" t="s">
        <v>30</v>
      </c>
      <c r="J334" s="13"/>
      <c r="K334" t="s">
        <v>31</v>
      </c>
      <c r="L334" s="52" t="s">
        <v>53</v>
      </c>
      <c r="M334" s="13"/>
      <c r="S334" s="38" t="s">
        <v>618</v>
      </c>
      <c r="U334" s="54">
        <v>2251</v>
      </c>
      <c r="V334" s="54">
        <v>2251</v>
      </c>
      <c r="W334" t="s">
        <v>2517</v>
      </c>
      <c r="Z334" s="54">
        <f>1111.46+24.31+100+118.64</f>
        <v>1354.41</v>
      </c>
      <c r="AA334" s="81">
        <f t="shared" si="48"/>
        <v>896.58999999999992</v>
      </c>
      <c r="AC334" s="106">
        <v>1</v>
      </c>
      <c r="AD334"/>
    </row>
    <row r="335" spans="1:30" x14ac:dyDescent="0.25">
      <c r="A335" t="s">
        <v>45</v>
      </c>
      <c r="B335" s="41">
        <v>9297</v>
      </c>
      <c r="C335" t="s">
        <v>2518</v>
      </c>
      <c r="D335" t="s">
        <v>2519</v>
      </c>
      <c r="E335" s="13" t="s">
        <v>1668</v>
      </c>
      <c r="F335" s="13" t="s">
        <v>2520</v>
      </c>
      <c r="G335" t="s">
        <v>2521</v>
      </c>
      <c r="H335" t="s">
        <v>29</v>
      </c>
      <c r="I335" s="13" t="s">
        <v>30</v>
      </c>
      <c r="J335" s="13"/>
      <c r="K335" t="s">
        <v>31</v>
      </c>
      <c r="L335" s="52" t="s">
        <v>53</v>
      </c>
      <c r="M335" s="13"/>
      <c r="S335" s="38" t="s">
        <v>618</v>
      </c>
      <c r="T335" s="62"/>
      <c r="U335" s="54">
        <v>2450</v>
      </c>
      <c r="V335" s="54">
        <v>2450</v>
      </c>
      <c r="W335" t="s">
        <v>213</v>
      </c>
      <c r="Z335" s="54">
        <f>1644.82+118.11+92.73</f>
        <v>1855.6599999999999</v>
      </c>
      <c r="AA335" s="81">
        <f t="shared" si="48"/>
        <v>594.34000000000015</v>
      </c>
      <c r="AC335" s="106">
        <f>IF(J335="YES",0,1)</f>
        <v>1</v>
      </c>
      <c r="AD335"/>
    </row>
    <row r="336" spans="1:30" x14ac:dyDescent="0.25">
      <c r="A336" t="s">
        <v>96</v>
      </c>
      <c r="B336" s="41">
        <v>296</v>
      </c>
      <c r="C336" t="s">
        <v>2522</v>
      </c>
      <c r="D336" t="s">
        <v>2523</v>
      </c>
      <c r="E336" s="13" t="s">
        <v>2292</v>
      </c>
      <c r="F336" s="13" t="s">
        <v>2524</v>
      </c>
      <c r="G336" t="s">
        <v>2525</v>
      </c>
      <c r="H336" t="s">
        <v>29</v>
      </c>
      <c r="I336" s="13" t="s">
        <v>30</v>
      </c>
      <c r="J336" s="13"/>
      <c r="K336" t="s">
        <v>2525</v>
      </c>
      <c r="L336" s="52" t="s">
        <v>53</v>
      </c>
      <c r="M336" s="13"/>
      <c r="S336" s="38" t="s">
        <v>645</v>
      </c>
      <c r="U336" s="54">
        <v>2255</v>
      </c>
      <c r="V336" s="54">
        <v>2255</v>
      </c>
      <c r="W336" t="s">
        <v>2280</v>
      </c>
      <c r="Z336" s="54">
        <f>1602.97+24.31+81</f>
        <v>1708.28</v>
      </c>
      <c r="AA336" s="81">
        <f t="shared" si="48"/>
        <v>546.72</v>
      </c>
      <c r="AC336" s="106">
        <v>1</v>
      </c>
      <c r="AD336"/>
    </row>
    <row r="337" spans="1:30" x14ac:dyDescent="0.25">
      <c r="A337" t="s">
        <v>45</v>
      </c>
      <c r="B337" s="41">
        <v>9350</v>
      </c>
      <c r="C337" t="s">
        <v>688</v>
      </c>
      <c r="D337" t="s">
        <v>689</v>
      </c>
      <c r="E337" s="13" t="s">
        <v>690</v>
      </c>
      <c r="F337" s="13" t="s">
        <v>691</v>
      </c>
      <c r="G337" t="s">
        <v>692</v>
      </c>
      <c r="H337" t="s">
        <v>29</v>
      </c>
      <c r="I337" s="13" t="s">
        <v>34</v>
      </c>
      <c r="J337" s="13"/>
      <c r="K337" t="s">
        <v>303</v>
      </c>
      <c r="L337" s="52" t="s">
        <v>53</v>
      </c>
      <c r="M337" s="13"/>
      <c r="S337" s="38" t="s">
        <v>3258</v>
      </c>
      <c r="U337" s="54">
        <v>3422</v>
      </c>
      <c r="V337" s="54">
        <v>2355</v>
      </c>
      <c r="W337" t="s">
        <v>540</v>
      </c>
      <c r="Z337" s="54">
        <f>1603+24.31+89.09</f>
        <v>1716.3999999999999</v>
      </c>
      <c r="AA337" s="81">
        <f t="shared" si="48"/>
        <v>638.60000000000014</v>
      </c>
      <c r="AC337" s="106">
        <v>1</v>
      </c>
      <c r="AD337"/>
    </row>
    <row r="338" spans="1:30" x14ac:dyDescent="0.25">
      <c r="A338" t="s">
        <v>96</v>
      </c>
      <c r="B338" s="41">
        <v>317</v>
      </c>
      <c r="C338" t="s">
        <v>473</v>
      </c>
      <c r="D338" t="s">
        <v>474</v>
      </c>
      <c r="E338" s="13" t="s">
        <v>463</v>
      </c>
      <c r="F338" s="13" t="s">
        <v>475</v>
      </c>
      <c r="G338" t="s">
        <v>476</v>
      </c>
      <c r="H338" t="s">
        <v>29</v>
      </c>
      <c r="I338" s="13" t="s">
        <v>30</v>
      </c>
      <c r="J338" s="13"/>
      <c r="K338" t="s">
        <v>60</v>
      </c>
      <c r="L338" s="52" t="s">
        <v>53</v>
      </c>
      <c r="M338" s="13"/>
      <c r="S338" s="38" t="s">
        <v>3272</v>
      </c>
      <c r="U338" s="54">
        <v>5839</v>
      </c>
      <c r="V338" s="54">
        <f>2369+637+637+1050+650</f>
        <v>5343</v>
      </c>
      <c r="W338" t="s">
        <v>668</v>
      </c>
      <c r="Z338" s="54">
        <f>1384.64+24.31+103.86+461.4+57.91+392.09+57.91+726+95.45+59.09</f>
        <v>3362.66</v>
      </c>
      <c r="AA338" s="81">
        <f t="shared" si="48"/>
        <v>1980.3400000000001</v>
      </c>
      <c r="AC338" s="106">
        <v>1</v>
      </c>
      <c r="AD338"/>
    </row>
    <row r="339" spans="1:30" x14ac:dyDescent="0.25">
      <c r="A339" t="s">
        <v>96</v>
      </c>
      <c r="B339" s="41">
        <v>265</v>
      </c>
      <c r="C339" t="s">
        <v>309</v>
      </c>
      <c r="D339" t="s">
        <v>310</v>
      </c>
      <c r="E339" s="13" t="s">
        <v>311</v>
      </c>
      <c r="F339" s="13" t="s">
        <v>312</v>
      </c>
      <c r="G339" t="s">
        <v>313</v>
      </c>
      <c r="H339" t="s">
        <v>29</v>
      </c>
      <c r="I339" s="13" t="s">
        <v>30</v>
      </c>
      <c r="J339" s="13"/>
      <c r="K339" t="s">
        <v>314</v>
      </c>
      <c r="L339" s="52" t="s">
        <v>53</v>
      </c>
      <c r="M339" s="13"/>
      <c r="S339" s="38" t="s">
        <v>3272</v>
      </c>
      <c r="U339" s="54">
        <v>2205</v>
      </c>
      <c r="V339" s="54">
        <v>2205</v>
      </c>
      <c r="W339" t="s">
        <v>2358</v>
      </c>
      <c r="Z339" s="54">
        <f>1522.71+29.91+79.95</f>
        <v>1632.5700000000002</v>
      </c>
      <c r="AA339" s="81">
        <f>V339+X339-Z339</f>
        <v>572.42999999999984</v>
      </c>
      <c r="AC339" s="106">
        <v>1</v>
      </c>
      <c r="AD339"/>
    </row>
    <row r="340" spans="1:30" x14ac:dyDescent="0.25">
      <c r="A340" t="s">
        <v>96</v>
      </c>
      <c r="B340" s="41">
        <v>337</v>
      </c>
      <c r="C340" t="s">
        <v>569</v>
      </c>
      <c r="D340" t="s">
        <v>570</v>
      </c>
      <c r="E340" s="13" t="s">
        <v>571</v>
      </c>
      <c r="F340" s="13" t="s">
        <v>572</v>
      </c>
      <c r="G340" t="s">
        <v>573</v>
      </c>
      <c r="H340" t="s">
        <v>29</v>
      </c>
      <c r="I340" s="13" t="s">
        <v>30</v>
      </c>
      <c r="J340" s="13"/>
      <c r="K340" t="s">
        <v>422</v>
      </c>
      <c r="L340" s="52" t="s">
        <v>53</v>
      </c>
      <c r="M340" s="13"/>
      <c r="S340" s="38" t="s">
        <v>3287</v>
      </c>
      <c r="U340" s="54">
        <v>2417</v>
      </c>
      <c r="V340" s="54">
        <v>2417</v>
      </c>
      <c r="W340" t="s">
        <v>3289</v>
      </c>
      <c r="Z340" s="54">
        <f>1401.75+25.03+106.73</f>
        <v>1533.51</v>
      </c>
      <c r="AA340" s="81">
        <f>V340+X340-Z340</f>
        <v>883.49</v>
      </c>
      <c r="AC340" s="106">
        <v>1</v>
      </c>
      <c r="AD340"/>
    </row>
    <row r="341" spans="1:30" x14ac:dyDescent="0.25">
      <c r="A341" t="s">
        <v>45</v>
      </c>
      <c r="B341" s="41">
        <v>10023</v>
      </c>
      <c r="C341" t="s">
        <v>2688</v>
      </c>
      <c r="D341" t="s">
        <v>3288</v>
      </c>
      <c r="E341" s="13" t="s">
        <v>2499</v>
      </c>
      <c r="F341" s="13" t="s">
        <v>3286</v>
      </c>
      <c r="H341" t="s">
        <v>37</v>
      </c>
      <c r="I341" s="13" t="s">
        <v>30</v>
      </c>
      <c r="J341" s="13"/>
      <c r="L341" s="52"/>
      <c r="M341" s="13"/>
      <c r="S341" s="38" t="s">
        <v>3287</v>
      </c>
      <c r="U341" s="54">
        <v>1950</v>
      </c>
      <c r="V341" s="54">
        <v>1950</v>
      </c>
      <c r="W341" t="s">
        <v>674</v>
      </c>
      <c r="Z341" s="54">
        <f>1379+15.8+65.77</f>
        <v>1460.57</v>
      </c>
      <c r="AA341" s="81">
        <f>V341+X341-Z341</f>
        <v>489.43000000000006</v>
      </c>
      <c r="AB341" s="54">
        <f>SUM(AA313:AA342)</f>
        <v>26233.570000000003</v>
      </c>
      <c r="AC341" s="106"/>
      <c r="AD341"/>
    </row>
    <row r="342" spans="1:30" x14ac:dyDescent="0.25">
      <c r="F342" s="13"/>
      <c r="AC342" s="106"/>
      <c r="AD342"/>
    </row>
    <row r="343" spans="1:30" x14ac:dyDescent="0.25">
      <c r="A343" s="91" t="s">
        <v>96</v>
      </c>
      <c r="B343" s="92">
        <v>45</v>
      </c>
      <c r="C343" s="91" t="s">
        <v>2526</v>
      </c>
      <c r="D343" s="91" t="s">
        <v>2527</v>
      </c>
      <c r="E343" s="93">
        <v>45116</v>
      </c>
      <c r="F343" s="94" t="s">
        <v>2528</v>
      </c>
      <c r="G343" s="91" t="s">
        <v>2529</v>
      </c>
      <c r="H343" s="91" t="s">
        <v>29</v>
      </c>
      <c r="I343" s="94" t="s">
        <v>30</v>
      </c>
      <c r="J343" s="94"/>
      <c r="K343" s="91" t="s">
        <v>38</v>
      </c>
      <c r="L343" s="205">
        <v>45197</v>
      </c>
      <c r="M343" s="94"/>
      <c r="N343" s="94"/>
      <c r="O343" s="91"/>
      <c r="P343" s="95"/>
      <c r="Q343" s="95"/>
      <c r="R343" s="95"/>
      <c r="S343" s="95" t="s">
        <v>2530</v>
      </c>
      <c r="T343" s="209" t="s">
        <v>2531</v>
      </c>
      <c r="U343" s="97">
        <f>2050+173</f>
        <v>2223</v>
      </c>
      <c r="V343" s="97" t="s">
        <v>2532</v>
      </c>
      <c r="W343" s="91" t="s">
        <v>2532</v>
      </c>
      <c r="X343" s="91" t="s">
        <v>2532</v>
      </c>
      <c r="Y343" s="91" t="s">
        <v>2532</v>
      </c>
      <c r="Z343" s="97" t="s">
        <v>2532</v>
      </c>
      <c r="AA343" s="97"/>
      <c r="AD343"/>
    </row>
    <row r="344" spans="1:30" x14ac:dyDescent="0.25">
      <c r="A344" s="91" t="s">
        <v>45</v>
      </c>
      <c r="B344" s="92">
        <v>9252</v>
      </c>
      <c r="C344" s="91" t="s">
        <v>2533</v>
      </c>
      <c r="D344" s="91" t="s">
        <v>2534</v>
      </c>
      <c r="E344" s="93">
        <v>45142</v>
      </c>
      <c r="F344" s="94" t="s">
        <v>2535</v>
      </c>
      <c r="G344" s="91" t="s">
        <v>735</v>
      </c>
      <c r="H344" s="91" t="s">
        <v>37</v>
      </c>
      <c r="I344" s="94" t="s">
        <v>34</v>
      </c>
      <c r="J344" s="94"/>
      <c r="K344" s="91" t="s">
        <v>31</v>
      </c>
      <c r="L344" s="205">
        <v>45449</v>
      </c>
      <c r="M344" s="94"/>
      <c r="N344" s="94"/>
      <c r="O344" s="91"/>
      <c r="P344" s="95"/>
      <c r="Q344" s="95"/>
      <c r="R344" s="95"/>
      <c r="S344" s="95" t="s">
        <v>2530</v>
      </c>
      <c r="T344" s="91" t="s">
        <v>2536</v>
      </c>
      <c r="U344" s="95">
        <v>3493</v>
      </c>
      <c r="V344" s="97"/>
      <c r="W344" s="91"/>
      <c r="X344" s="91"/>
      <c r="Y344" s="91"/>
      <c r="Z344" s="97"/>
      <c r="AA344" s="91"/>
      <c r="AD344"/>
    </row>
    <row r="345" spans="1:30" x14ac:dyDescent="0.25">
      <c r="A345" s="91" t="s">
        <v>45</v>
      </c>
      <c r="B345" s="92">
        <v>9201</v>
      </c>
      <c r="C345" s="174" t="s">
        <v>2537</v>
      </c>
      <c r="D345" s="91"/>
      <c r="E345" s="94" t="s">
        <v>2538</v>
      </c>
      <c r="F345" s="94" t="s">
        <v>2539</v>
      </c>
      <c r="G345" s="91" t="s">
        <v>2540</v>
      </c>
      <c r="H345" s="91"/>
      <c r="I345" s="91" t="s">
        <v>1135</v>
      </c>
      <c r="J345" s="94"/>
      <c r="K345" s="94"/>
      <c r="L345" s="91" t="s">
        <v>31</v>
      </c>
      <c r="M345" s="93">
        <v>45469</v>
      </c>
      <c r="N345" s="94"/>
      <c r="O345" s="94"/>
      <c r="P345" s="91"/>
      <c r="Q345" s="95"/>
      <c r="R345" s="95"/>
      <c r="S345" s="95" t="s">
        <v>2530</v>
      </c>
      <c r="T345" s="95"/>
      <c r="U345" s="91" t="s">
        <v>2541</v>
      </c>
      <c r="V345" s="97"/>
      <c r="W345" s="97"/>
      <c r="X345" s="91"/>
      <c r="Y345" s="91"/>
      <c r="Z345" s="91"/>
      <c r="AA345" s="97"/>
      <c r="AD345"/>
    </row>
    <row r="346" spans="1:30" x14ac:dyDescent="0.25">
      <c r="A346" s="91" t="s">
        <v>45</v>
      </c>
      <c r="B346" s="92">
        <v>9202</v>
      </c>
      <c r="C346" s="91" t="s">
        <v>2542</v>
      </c>
      <c r="D346" s="91" t="s">
        <v>2543</v>
      </c>
      <c r="E346" s="93" t="s">
        <v>2544</v>
      </c>
      <c r="F346" s="94" t="s">
        <v>2545</v>
      </c>
      <c r="G346" s="91" t="s">
        <v>591</v>
      </c>
      <c r="H346" s="91"/>
      <c r="I346" s="91" t="s">
        <v>29</v>
      </c>
      <c r="J346" s="94"/>
      <c r="K346" s="94"/>
      <c r="L346" s="91" t="s">
        <v>31</v>
      </c>
      <c r="M346" s="93">
        <v>45470</v>
      </c>
      <c r="N346" s="94"/>
      <c r="O346" s="94"/>
      <c r="P346" s="91"/>
      <c r="Q346" s="95"/>
      <c r="R346" s="95"/>
      <c r="S346" s="95" t="s">
        <v>2530</v>
      </c>
      <c r="T346" s="95"/>
      <c r="U346" s="91"/>
      <c r="V346" s="97"/>
      <c r="W346" s="97"/>
      <c r="X346" s="91"/>
      <c r="Y346" s="91"/>
      <c r="Z346" s="91"/>
      <c r="AA346" s="97"/>
      <c r="AD346"/>
    </row>
    <row r="347" spans="1:30" x14ac:dyDescent="0.25">
      <c r="A347" s="91" t="s">
        <v>45</v>
      </c>
      <c r="B347" s="92">
        <v>9315</v>
      </c>
      <c r="C347" s="91" t="s">
        <v>2546</v>
      </c>
      <c r="D347" s="91" t="s">
        <v>2547</v>
      </c>
      <c r="E347" s="94" t="s">
        <v>2548</v>
      </c>
      <c r="F347" s="94" t="s">
        <v>2549</v>
      </c>
      <c r="G347" s="91" t="s">
        <v>686</v>
      </c>
      <c r="H347" s="91" t="s">
        <v>2550</v>
      </c>
      <c r="I347" s="91" t="s">
        <v>29</v>
      </c>
      <c r="J347" s="94"/>
      <c r="K347" s="94"/>
      <c r="L347" s="91" t="s">
        <v>31</v>
      </c>
      <c r="M347" s="93" t="s">
        <v>53</v>
      </c>
      <c r="N347" s="94"/>
      <c r="O347" s="94"/>
      <c r="P347" s="91"/>
      <c r="Q347" s="95"/>
      <c r="R347" s="95"/>
      <c r="S347" s="95" t="s">
        <v>2530</v>
      </c>
      <c r="T347" s="95"/>
      <c r="U347" s="91"/>
      <c r="V347" s="97">
        <v>1800</v>
      </c>
      <c r="W347" s="97"/>
      <c r="X347" s="91"/>
      <c r="Y347" s="91"/>
      <c r="Z347" s="91"/>
      <c r="AA347" s="97"/>
      <c r="AD347"/>
    </row>
    <row r="348" spans="1:30" x14ac:dyDescent="0.25">
      <c r="A348" s="91" t="s">
        <v>96</v>
      </c>
      <c r="B348" s="92">
        <v>181</v>
      </c>
      <c r="C348" s="91" t="s">
        <v>2551</v>
      </c>
      <c r="D348" s="91" t="s">
        <v>2552</v>
      </c>
      <c r="E348" s="94" t="s">
        <v>1721</v>
      </c>
      <c r="F348" s="94" t="s">
        <v>2553</v>
      </c>
      <c r="G348" s="91" t="s">
        <v>2554</v>
      </c>
      <c r="H348" s="91" t="s">
        <v>2555</v>
      </c>
      <c r="I348" s="91" t="s">
        <v>29</v>
      </c>
      <c r="J348" s="94"/>
      <c r="K348" s="94"/>
      <c r="L348" s="91" t="s">
        <v>1902</v>
      </c>
      <c r="M348" s="93" t="s">
        <v>53</v>
      </c>
      <c r="N348" s="94"/>
      <c r="O348" s="94"/>
      <c r="P348" s="91"/>
      <c r="Q348" s="95"/>
      <c r="R348" s="95"/>
      <c r="S348" s="95" t="s">
        <v>2530</v>
      </c>
      <c r="T348" s="95"/>
      <c r="U348" s="91"/>
      <c r="V348" s="97">
        <v>2100</v>
      </c>
      <c r="W348" s="97"/>
      <c r="X348" s="91"/>
      <c r="Y348" s="91"/>
      <c r="Z348" s="91"/>
      <c r="AA348" s="97"/>
      <c r="AB348" s="54"/>
      <c r="AC348" s="106"/>
      <c r="AD348"/>
    </row>
    <row r="349" spans="1:30" x14ac:dyDescent="0.25">
      <c r="A349" s="91" t="s">
        <v>96</v>
      </c>
      <c r="B349" s="92">
        <v>105</v>
      </c>
      <c r="C349" s="91" t="s">
        <v>2556</v>
      </c>
      <c r="D349" s="91"/>
      <c r="E349" s="93">
        <v>45329</v>
      </c>
      <c r="F349" s="94" t="s">
        <v>2557</v>
      </c>
      <c r="G349" s="91" t="s">
        <v>2558</v>
      </c>
      <c r="H349" s="91" t="s">
        <v>29</v>
      </c>
      <c r="I349" s="94"/>
      <c r="J349" s="94"/>
      <c r="K349" s="91" t="s">
        <v>355</v>
      </c>
      <c r="L349" s="93">
        <v>45470</v>
      </c>
      <c r="M349" s="94"/>
      <c r="N349" s="94"/>
      <c r="O349" s="91"/>
      <c r="P349" s="95"/>
      <c r="Q349" s="95"/>
      <c r="R349" s="95"/>
      <c r="S349" s="95" t="s">
        <v>2530</v>
      </c>
      <c r="T349" s="91" t="s">
        <v>2559</v>
      </c>
      <c r="U349" s="97">
        <v>480</v>
      </c>
      <c r="V349" s="97"/>
      <c r="W349" s="91"/>
      <c r="X349" s="91"/>
      <c r="Y349" s="91"/>
      <c r="Z349" s="97"/>
      <c r="AA349" s="97">
        <f>V349+X349-Z349</f>
        <v>0</v>
      </c>
      <c r="AB349" s="81">
        <f>W349+Y349-AA349</f>
        <v>0</v>
      </c>
      <c r="AC349" s="106">
        <v>1</v>
      </c>
      <c r="AD349"/>
    </row>
    <row r="350" spans="1:30" x14ac:dyDescent="0.25">
      <c r="A350" s="91" t="s">
        <v>96</v>
      </c>
      <c r="B350" s="92">
        <v>89</v>
      </c>
      <c r="C350" s="91" t="s">
        <v>2560</v>
      </c>
      <c r="D350" s="91" t="s">
        <v>2561</v>
      </c>
      <c r="E350" s="94" t="s">
        <v>1864</v>
      </c>
      <c r="F350" s="94" t="s">
        <v>2562</v>
      </c>
      <c r="G350" s="91" t="s">
        <v>803</v>
      </c>
      <c r="H350" s="91" t="s">
        <v>29</v>
      </c>
      <c r="I350" s="94"/>
      <c r="J350" s="94"/>
      <c r="K350" s="91" t="s">
        <v>31</v>
      </c>
      <c r="L350" s="205">
        <v>45470</v>
      </c>
      <c r="M350" s="94"/>
      <c r="N350" s="94"/>
      <c r="O350" s="91"/>
      <c r="P350" s="95"/>
      <c r="Q350" s="95"/>
      <c r="R350" s="95"/>
      <c r="S350" s="95" t="s">
        <v>2530</v>
      </c>
      <c r="T350" s="91" t="s">
        <v>2563</v>
      </c>
      <c r="U350" s="97">
        <v>3435</v>
      </c>
      <c r="V350" s="97"/>
      <c r="W350" s="91"/>
      <c r="X350" s="91"/>
      <c r="Y350" s="91"/>
      <c r="Z350" s="97"/>
      <c r="AA350" s="97">
        <f>V350+X350-Z350</f>
        <v>0</v>
      </c>
      <c r="AB350" s="54"/>
      <c r="AC350" s="106"/>
      <c r="AD350"/>
    </row>
    <row r="351" spans="1:30" x14ac:dyDescent="0.25">
      <c r="A351" s="91" t="s">
        <v>45</v>
      </c>
      <c r="B351" s="92">
        <v>1</v>
      </c>
      <c r="C351" s="91" t="s">
        <v>2564</v>
      </c>
      <c r="D351" s="91" t="s">
        <v>2565</v>
      </c>
      <c r="E351" s="94" t="s">
        <v>2054</v>
      </c>
      <c r="F351" s="94" t="s">
        <v>2566</v>
      </c>
      <c r="G351" s="91" t="s">
        <v>2052</v>
      </c>
      <c r="H351" s="91" t="s">
        <v>2567</v>
      </c>
      <c r="I351" s="94"/>
      <c r="J351" s="94"/>
      <c r="K351" s="91" t="s">
        <v>31</v>
      </c>
      <c r="L351" s="93" t="s">
        <v>53</v>
      </c>
      <c r="M351" s="94"/>
      <c r="N351" s="94"/>
      <c r="O351" s="91"/>
      <c r="P351" s="95"/>
      <c r="Q351" s="95"/>
      <c r="R351" s="95"/>
      <c r="S351" s="95" t="s">
        <v>2530</v>
      </c>
      <c r="T351" s="91"/>
      <c r="U351" s="97">
        <v>2605</v>
      </c>
      <c r="V351" s="97"/>
      <c r="W351" s="91"/>
      <c r="X351" s="91"/>
      <c r="Y351" s="91"/>
      <c r="Z351" s="97"/>
      <c r="AA351" s="97">
        <f>V351+X351-Z351</f>
        <v>0</v>
      </c>
      <c r="AB351" s="81">
        <f>W351+Y351-AA351</f>
        <v>0</v>
      </c>
      <c r="AC351" s="106">
        <f>IF(K351="YES",0,1)</f>
        <v>1</v>
      </c>
      <c r="AD351"/>
    </row>
    <row r="352" spans="1:30" x14ac:dyDescent="0.25">
      <c r="A352" s="91" t="s">
        <v>96</v>
      </c>
      <c r="B352" s="92">
        <v>206</v>
      </c>
      <c r="C352" s="91" t="s">
        <v>2568</v>
      </c>
      <c r="D352" s="91" t="s">
        <v>2569</v>
      </c>
      <c r="E352" s="94" t="s">
        <v>1768</v>
      </c>
      <c r="F352" s="94" t="s">
        <v>2570</v>
      </c>
      <c r="G352" s="91" t="s">
        <v>2571</v>
      </c>
      <c r="H352" s="91" t="s">
        <v>29</v>
      </c>
      <c r="I352" s="94"/>
      <c r="J352" s="94"/>
      <c r="K352" s="91" t="s">
        <v>38</v>
      </c>
      <c r="L352" s="93" t="s">
        <v>53</v>
      </c>
      <c r="M352" s="94"/>
      <c r="N352" s="94"/>
      <c r="O352" s="91"/>
      <c r="P352" s="95"/>
      <c r="Q352" s="95"/>
      <c r="R352" s="95"/>
      <c r="S352" s="95" t="s">
        <v>2530</v>
      </c>
      <c r="T352" s="91"/>
      <c r="U352" s="97">
        <f>2355+2746</f>
        <v>5101</v>
      </c>
      <c r="V352" s="97"/>
      <c r="W352" s="91"/>
      <c r="X352" s="91"/>
      <c r="Y352" s="91"/>
      <c r="Z352" s="97"/>
      <c r="AA352" s="97">
        <f>V352+X352-Z352</f>
        <v>0</v>
      </c>
      <c r="AC352" s="106">
        <f>IF(J352="YES",0,1)</f>
        <v>1</v>
      </c>
      <c r="AD352"/>
    </row>
    <row r="353" spans="1:30" x14ac:dyDescent="0.25">
      <c r="A353" s="91" t="s">
        <v>96</v>
      </c>
      <c r="B353" s="92">
        <v>247</v>
      </c>
      <c r="C353" s="91" t="s">
        <v>2572</v>
      </c>
      <c r="D353" s="91" t="s">
        <v>2573</v>
      </c>
      <c r="E353" s="94" t="s">
        <v>2574</v>
      </c>
      <c r="F353" s="94" t="s">
        <v>2575</v>
      </c>
      <c r="G353" s="91" t="s">
        <v>2576</v>
      </c>
      <c r="H353" s="91" t="s">
        <v>29</v>
      </c>
      <c r="I353" s="94"/>
      <c r="J353" s="94"/>
      <c r="K353" s="91" t="s">
        <v>1002</v>
      </c>
      <c r="L353" s="93" t="s">
        <v>53</v>
      </c>
      <c r="M353" s="94"/>
      <c r="N353" s="94"/>
      <c r="O353" s="91"/>
      <c r="P353" s="95"/>
      <c r="Q353" s="95"/>
      <c r="R353" s="95"/>
      <c r="S353" s="95" t="s">
        <v>2530</v>
      </c>
      <c r="T353" s="91"/>
      <c r="U353" s="97">
        <f>2648.5+7581.4</f>
        <v>10229.9</v>
      </c>
      <c r="V353" s="97"/>
      <c r="W353" s="91"/>
      <c r="X353" s="91"/>
      <c r="Y353" s="91"/>
      <c r="Z353" s="97"/>
      <c r="AA353" s="97">
        <f>V353+X353-Z353</f>
        <v>0</v>
      </c>
      <c r="AC353" s="106">
        <f>IF(J353="YES",0,1)</f>
        <v>1</v>
      </c>
      <c r="AD353"/>
    </row>
    <row r="354" spans="1:30" x14ac:dyDescent="0.25">
      <c r="A354" s="202" t="s">
        <v>96</v>
      </c>
      <c r="B354" s="203">
        <v>174</v>
      </c>
      <c r="C354" s="202" t="s">
        <v>2577</v>
      </c>
      <c r="D354" s="202" t="s">
        <v>2578</v>
      </c>
      <c r="E354" s="204" t="s">
        <v>1630</v>
      </c>
      <c r="F354" s="204" t="s">
        <v>2579</v>
      </c>
      <c r="G354" s="202" t="s">
        <v>2580</v>
      </c>
      <c r="H354" s="202" t="s">
        <v>29</v>
      </c>
      <c r="I354" s="204"/>
      <c r="J354" s="204"/>
      <c r="K354" s="202" t="s">
        <v>2581</v>
      </c>
      <c r="L354" s="205">
        <v>45470</v>
      </c>
      <c r="M354" s="204"/>
      <c r="N354" s="204"/>
      <c r="O354" s="202"/>
      <c r="P354" s="206"/>
      <c r="Q354" s="206"/>
      <c r="R354" s="206"/>
      <c r="S354" s="206" t="s">
        <v>2530</v>
      </c>
      <c r="T354" s="202" t="s">
        <v>1658</v>
      </c>
      <c r="U354" s="207">
        <v>2250</v>
      </c>
      <c r="V354" s="207"/>
      <c r="W354" s="202"/>
      <c r="X354" s="202"/>
      <c r="Y354" s="202"/>
      <c r="Z354" s="207"/>
      <c r="AA354" s="207">
        <f>V354+X354-Z354</f>
        <v>0</v>
      </c>
      <c r="AC354" s="106">
        <v>1</v>
      </c>
      <c r="AD354"/>
    </row>
    <row r="355" spans="1:30" x14ac:dyDescent="0.25">
      <c r="A355" s="91" t="s">
        <v>45</v>
      </c>
      <c r="B355" s="92">
        <v>9098</v>
      </c>
      <c r="C355" s="91" t="s">
        <v>2582</v>
      </c>
      <c r="D355" s="91" t="s">
        <v>2583</v>
      </c>
      <c r="E355" s="93">
        <v>44995</v>
      </c>
      <c r="F355" s="91" t="s">
        <v>591</v>
      </c>
      <c r="G355" s="91" t="s">
        <v>2584</v>
      </c>
      <c r="H355" s="91" t="s">
        <v>29</v>
      </c>
      <c r="I355" s="94"/>
      <c r="J355" s="95"/>
      <c r="K355" s="91"/>
      <c r="L355" s="91"/>
      <c r="M355" s="94"/>
      <c r="N355" s="91"/>
      <c r="O355" s="95"/>
      <c r="P355" s="95"/>
      <c r="Q355" s="95"/>
      <c r="R355" s="95"/>
      <c r="S355" s="91" t="s">
        <v>2585</v>
      </c>
      <c r="T355" s="96">
        <f>1525+864+121</f>
        <v>2510</v>
      </c>
      <c r="U355" s="97">
        <v>1525</v>
      </c>
      <c r="V355" s="98">
        <v>45001</v>
      </c>
      <c r="W355" s="91"/>
      <c r="X355" s="98"/>
      <c r="Y355" s="97"/>
      <c r="Z355" s="99">
        <v>27.61</v>
      </c>
      <c r="AA355" s="100" t="s">
        <v>2586</v>
      </c>
      <c r="AC355" s="106">
        <v>1</v>
      </c>
      <c r="AD355"/>
    </row>
    <row r="356" spans="1:30" x14ac:dyDescent="0.25">
      <c r="A356" s="91" t="s">
        <v>45</v>
      </c>
      <c r="B356" s="92">
        <v>9091</v>
      </c>
      <c r="C356" s="91" t="s">
        <v>2587</v>
      </c>
      <c r="D356" s="91" t="s">
        <v>2588</v>
      </c>
      <c r="E356" s="93">
        <v>44963</v>
      </c>
      <c r="F356" s="93"/>
      <c r="G356" s="91" t="s">
        <v>101</v>
      </c>
      <c r="H356" s="91" t="s">
        <v>29</v>
      </c>
      <c r="I356" s="94"/>
      <c r="J356" s="95">
        <v>44987</v>
      </c>
      <c r="L356" s="91"/>
      <c r="M356" s="91"/>
      <c r="N356" s="91"/>
      <c r="O356" s="94"/>
      <c r="P356" s="91"/>
      <c r="Q356" s="95"/>
      <c r="R356" s="95"/>
      <c r="S356" s="95" t="s">
        <v>2585</v>
      </c>
      <c r="T356" s="95"/>
      <c r="U356" s="96">
        <v>2150</v>
      </c>
      <c r="V356" s="97">
        <v>1525</v>
      </c>
      <c r="W356" s="98">
        <v>44987</v>
      </c>
      <c r="X356" s="91"/>
      <c r="Y356" s="91"/>
      <c r="Z356" s="97">
        <f>14.34+5.18+165+910</f>
        <v>1094.52</v>
      </c>
      <c r="AA356" s="97">
        <f>V356-Z356</f>
        <v>430.48</v>
      </c>
      <c r="AC356" s="106">
        <v>1</v>
      </c>
      <c r="AD356"/>
    </row>
    <row r="357" spans="1:30" x14ac:dyDescent="0.25">
      <c r="A357" s="91" t="s">
        <v>45</v>
      </c>
      <c r="B357" s="92" t="s">
        <v>2589</v>
      </c>
      <c r="C357" s="91" t="s">
        <v>2590</v>
      </c>
      <c r="D357" s="91" t="s">
        <v>2591</v>
      </c>
      <c r="E357" s="94" t="s">
        <v>1485</v>
      </c>
      <c r="F357" s="94" t="s">
        <v>2592</v>
      </c>
      <c r="G357" s="91" t="s">
        <v>78</v>
      </c>
      <c r="H357" s="91"/>
      <c r="I357" s="91" t="s">
        <v>2593</v>
      </c>
      <c r="J357" s="94"/>
      <c r="K357" s="94"/>
      <c r="L357" s="91" t="s">
        <v>31</v>
      </c>
      <c r="M357" s="93">
        <v>45457</v>
      </c>
      <c r="N357" s="94"/>
      <c r="O357" s="94"/>
      <c r="P357" s="91"/>
      <c r="Q357" s="95"/>
      <c r="R357" s="95"/>
      <c r="S357" s="95" t="s">
        <v>2585</v>
      </c>
      <c r="T357" s="95"/>
      <c r="U357" s="91"/>
      <c r="V357" s="97"/>
      <c r="W357" s="97"/>
      <c r="X357" s="91"/>
      <c r="Y357" s="91"/>
      <c r="Z357" s="91"/>
      <c r="AA357" s="97"/>
      <c r="AC357" s="106">
        <v>1</v>
      </c>
      <c r="AD357"/>
    </row>
    <row r="358" spans="1:30" x14ac:dyDescent="0.25">
      <c r="A358" s="91" t="s">
        <v>96</v>
      </c>
      <c r="B358" s="92">
        <v>189</v>
      </c>
      <c r="C358" s="91" t="s">
        <v>2594</v>
      </c>
      <c r="D358" s="91" t="s">
        <v>2595</v>
      </c>
      <c r="E358" s="94" t="s">
        <v>1797</v>
      </c>
      <c r="F358" s="94" t="s">
        <v>2596</v>
      </c>
      <c r="G358" s="91" t="s">
        <v>2597</v>
      </c>
      <c r="H358" s="91" t="s">
        <v>29</v>
      </c>
      <c r="I358" s="94"/>
      <c r="J358" s="94"/>
      <c r="K358" s="91" t="s">
        <v>38</v>
      </c>
      <c r="L358" s="93" t="s">
        <v>53</v>
      </c>
      <c r="M358" s="94"/>
      <c r="N358" s="94"/>
      <c r="O358" s="91"/>
      <c r="P358" s="95"/>
      <c r="Q358" s="95"/>
      <c r="R358" s="95"/>
      <c r="S358" s="95" t="s">
        <v>2530</v>
      </c>
      <c r="T358" s="91"/>
      <c r="U358" s="97">
        <f>2205+939</f>
        <v>3144</v>
      </c>
      <c r="V358" s="97"/>
      <c r="W358" s="91"/>
      <c r="X358" s="91"/>
      <c r="Y358" s="91"/>
      <c r="Z358" s="97"/>
      <c r="AA358" s="97">
        <f>V358+X358-Z358</f>
        <v>0</v>
      </c>
      <c r="AC358" s="106">
        <v>1</v>
      </c>
      <c r="AD358"/>
    </row>
    <row r="359" spans="1:30" x14ac:dyDescent="0.25">
      <c r="A359" s="91" t="s">
        <v>96</v>
      </c>
      <c r="B359" s="92">
        <v>198</v>
      </c>
      <c r="C359" s="91" t="s">
        <v>2598</v>
      </c>
      <c r="D359" s="91" t="s">
        <v>2599</v>
      </c>
      <c r="E359" s="94" t="s">
        <v>1867</v>
      </c>
      <c r="F359" s="94" t="s">
        <v>2600</v>
      </c>
      <c r="G359" s="91" t="s">
        <v>2601</v>
      </c>
      <c r="H359" s="91" t="s">
        <v>29</v>
      </c>
      <c r="I359" s="94"/>
      <c r="J359" s="94"/>
      <c r="K359" s="91" t="s">
        <v>31</v>
      </c>
      <c r="L359" s="93" t="s">
        <v>53</v>
      </c>
      <c r="M359" s="94"/>
      <c r="N359" s="94"/>
      <c r="O359" s="91"/>
      <c r="P359" s="95"/>
      <c r="Q359" s="95"/>
      <c r="R359" s="95"/>
      <c r="S359" s="95" t="s">
        <v>2530</v>
      </c>
      <c r="T359" s="91"/>
      <c r="U359" s="97">
        <v>2005</v>
      </c>
      <c r="V359" s="97"/>
      <c r="W359" s="91"/>
      <c r="X359" s="91"/>
      <c r="Y359" s="91"/>
      <c r="Z359" s="97"/>
      <c r="AA359" s="97">
        <f>V359+X359-Z359</f>
        <v>0</v>
      </c>
      <c r="AC359" s="106">
        <f>IF(J359="YES",0,1)</f>
        <v>1</v>
      </c>
      <c r="AD359"/>
    </row>
    <row r="360" spans="1:30" x14ac:dyDescent="0.25">
      <c r="A360" s="91" t="s">
        <v>96</v>
      </c>
      <c r="B360" s="92">
        <v>192</v>
      </c>
      <c r="C360" s="91" t="s">
        <v>2602</v>
      </c>
      <c r="D360" s="91" t="s">
        <v>2603</v>
      </c>
      <c r="E360" s="94" t="s">
        <v>1802</v>
      </c>
      <c r="F360" s="94" t="s">
        <v>2604</v>
      </c>
      <c r="G360" s="91" t="s">
        <v>2605</v>
      </c>
      <c r="H360" s="91" t="s">
        <v>29</v>
      </c>
      <c r="I360" s="94"/>
      <c r="J360" s="94"/>
      <c r="K360" s="91" t="s">
        <v>38</v>
      </c>
      <c r="L360" s="93" t="s">
        <v>53</v>
      </c>
      <c r="M360" s="94"/>
      <c r="N360" s="94"/>
      <c r="O360" s="91"/>
      <c r="P360" s="95"/>
      <c r="Q360" s="95"/>
      <c r="R360" s="95"/>
      <c r="S360" s="95" t="s">
        <v>2530</v>
      </c>
      <c r="T360" s="91"/>
      <c r="U360" s="97">
        <f>1855+637</f>
        <v>2492</v>
      </c>
      <c r="V360" s="97"/>
      <c r="W360" s="91"/>
      <c r="X360" s="91"/>
      <c r="Y360" s="91"/>
      <c r="Z360" s="97"/>
      <c r="AA360" s="97"/>
      <c r="AC360" s="106"/>
      <c r="AD360"/>
    </row>
    <row r="361" spans="1:30" x14ac:dyDescent="0.25">
      <c r="A361" s="91" t="s">
        <v>45</v>
      </c>
      <c r="B361" s="92">
        <v>9312</v>
      </c>
      <c r="C361" s="91" t="s">
        <v>843</v>
      </c>
      <c r="D361" s="91" t="s">
        <v>844</v>
      </c>
      <c r="E361" s="94" t="s">
        <v>1721</v>
      </c>
      <c r="F361" s="94" t="s">
        <v>2606</v>
      </c>
      <c r="G361" s="91" t="s">
        <v>162</v>
      </c>
      <c r="H361" s="91" t="s">
        <v>2607</v>
      </c>
      <c r="I361" s="94"/>
      <c r="J361" s="94"/>
      <c r="K361" s="91" t="s">
        <v>31</v>
      </c>
      <c r="L361" s="93" t="s">
        <v>53</v>
      </c>
      <c r="M361" s="94"/>
      <c r="N361" s="94"/>
      <c r="O361" s="91"/>
      <c r="P361" s="95"/>
      <c r="Q361" s="95"/>
      <c r="R361" s="95"/>
      <c r="S361" s="95" t="s">
        <v>2530</v>
      </c>
      <c r="T361" s="91" t="s">
        <v>2532</v>
      </c>
      <c r="U361" s="97">
        <v>2687</v>
      </c>
      <c r="V361" s="97"/>
      <c r="W361" s="91"/>
      <c r="X361" s="91"/>
      <c r="Y361" s="91"/>
      <c r="Z361" s="97"/>
      <c r="AA361" s="97">
        <f>V361+X361-Z361</f>
        <v>0</v>
      </c>
      <c r="AB361" s="81">
        <f t="shared" ref="AB361:AB362" si="49">W361+Y361-AA361</f>
        <v>0</v>
      </c>
      <c r="AC361" s="106">
        <f>IF(K361="YES",0,1)</f>
        <v>1</v>
      </c>
      <c r="AD361"/>
    </row>
    <row r="362" spans="1:30" x14ac:dyDescent="0.25">
      <c r="A362" s="91" t="s">
        <v>96</v>
      </c>
      <c r="B362" s="92">
        <v>35</v>
      </c>
      <c r="C362" s="91" t="s">
        <v>2608</v>
      </c>
      <c r="D362" s="91" t="s">
        <v>2609</v>
      </c>
      <c r="E362" s="94" t="s">
        <v>1012</v>
      </c>
      <c r="F362" s="94" t="s">
        <v>2610</v>
      </c>
      <c r="G362" s="91" t="s">
        <v>2153</v>
      </c>
      <c r="H362" s="91" t="s">
        <v>29</v>
      </c>
      <c r="I362" s="94"/>
      <c r="J362" s="94" t="s">
        <v>103</v>
      </c>
      <c r="K362" s="91" t="s">
        <v>31</v>
      </c>
      <c r="L362" s="205">
        <v>45440</v>
      </c>
      <c r="M362" s="94"/>
      <c r="N362" s="94"/>
      <c r="O362" s="91"/>
      <c r="P362" s="95"/>
      <c r="Q362" s="95"/>
      <c r="R362" s="95"/>
      <c r="S362" s="95" t="s">
        <v>2530</v>
      </c>
      <c r="T362" s="91" t="s">
        <v>2611</v>
      </c>
      <c r="U362" s="97">
        <v>5244</v>
      </c>
      <c r="V362" s="97">
        <v>2294</v>
      </c>
      <c r="W362" s="91" t="s">
        <v>2612</v>
      </c>
      <c r="X362" s="91">
        <v>1750</v>
      </c>
      <c r="Y362" s="91" t="s">
        <v>1240</v>
      </c>
      <c r="Z362" s="97">
        <f>23.6+675.8+1459.4+5.38</f>
        <v>2164.1800000000003</v>
      </c>
      <c r="AA362" s="91"/>
      <c r="AB362" s="81" t="e">
        <f t="shared" si="49"/>
        <v>#VALUE!</v>
      </c>
      <c r="AC362" s="106">
        <f>IF(K362="YES",0,1)</f>
        <v>1</v>
      </c>
      <c r="AD362"/>
    </row>
    <row r="363" spans="1:30" x14ac:dyDescent="0.25">
      <c r="A363" s="91" t="s">
        <v>2613</v>
      </c>
      <c r="B363" s="92">
        <v>83</v>
      </c>
      <c r="C363" s="91" t="s">
        <v>2614</v>
      </c>
      <c r="D363" s="91" t="s">
        <v>2615</v>
      </c>
      <c r="E363" s="94" t="s">
        <v>1160</v>
      </c>
      <c r="F363" s="94" t="s">
        <v>2616</v>
      </c>
      <c r="G363" s="91" t="s">
        <v>2617</v>
      </c>
      <c r="H363" s="91" t="s">
        <v>29</v>
      </c>
      <c r="I363" s="94"/>
      <c r="J363" s="94"/>
      <c r="K363" s="91" t="s">
        <v>1902</v>
      </c>
      <c r="L363" s="205">
        <v>45469</v>
      </c>
      <c r="M363" s="94"/>
      <c r="N363" s="94"/>
      <c r="O363" s="91"/>
      <c r="P363" s="95"/>
      <c r="Q363" s="95"/>
      <c r="R363" s="95"/>
      <c r="S363" s="95" t="s">
        <v>2530</v>
      </c>
      <c r="T363" s="91" t="s">
        <v>2618</v>
      </c>
      <c r="U363" s="97">
        <v>4411</v>
      </c>
      <c r="V363" s="97"/>
      <c r="W363" s="91"/>
      <c r="X363" s="91"/>
      <c r="Y363" s="91"/>
      <c r="Z363" s="97"/>
      <c r="AA363" s="97">
        <f>V363+X363-Z363</f>
        <v>0</v>
      </c>
      <c r="AC363" s="106">
        <f>IF(J363="YES",0,1)</f>
        <v>1</v>
      </c>
      <c r="AD363"/>
    </row>
    <row r="364" spans="1:30" x14ac:dyDescent="0.25">
      <c r="A364" s="91" t="s">
        <v>2619</v>
      </c>
      <c r="B364" s="92">
        <v>113</v>
      </c>
      <c r="C364" s="91" t="s">
        <v>2620</v>
      </c>
      <c r="D364" s="91" t="s">
        <v>2621</v>
      </c>
      <c r="E364" s="93" t="s">
        <v>1572</v>
      </c>
      <c r="F364" s="94" t="s">
        <v>2622</v>
      </c>
      <c r="G364" s="91" t="s">
        <v>78</v>
      </c>
      <c r="H364" s="91" t="s">
        <v>2623</v>
      </c>
      <c r="I364" s="94"/>
      <c r="J364" s="94"/>
      <c r="K364" s="91" t="s">
        <v>31</v>
      </c>
      <c r="L364" s="93">
        <v>45470</v>
      </c>
      <c r="M364" s="94"/>
      <c r="N364" s="94"/>
      <c r="O364" s="91"/>
      <c r="P364" s="95"/>
      <c r="Q364" s="95"/>
      <c r="R364" s="95"/>
      <c r="S364" s="95" t="s">
        <v>2530</v>
      </c>
      <c r="T364" s="91" t="s">
        <v>2624</v>
      </c>
      <c r="U364" s="97">
        <v>2462</v>
      </c>
      <c r="V364" s="97"/>
      <c r="W364" s="91"/>
      <c r="X364" s="91"/>
      <c r="Y364" s="91"/>
      <c r="Z364" s="97"/>
      <c r="AA364" s="97">
        <f>V364+X364-Z364</f>
        <v>0</v>
      </c>
      <c r="AC364" s="106">
        <f>IF(J364="YES",0,1)</f>
        <v>1</v>
      </c>
      <c r="AD364"/>
    </row>
    <row r="365" spans="1:30" x14ac:dyDescent="0.25">
      <c r="A365" s="91" t="s">
        <v>96</v>
      </c>
      <c r="B365" s="92">
        <v>125</v>
      </c>
      <c r="C365" s="91" t="s">
        <v>2625</v>
      </c>
      <c r="D365" s="91" t="s">
        <v>2626</v>
      </c>
      <c r="E365" s="93" t="s">
        <v>1489</v>
      </c>
      <c r="F365" s="94" t="s">
        <v>2627</v>
      </c>
      <c r="G365" s="91" t="s">
        <v>2628</v>
      </c>
      <c r="H365" s="91" t="s">
        <v>29</v>
      </c>
      <c r="I365" s="94"/>
      <c r="J365" s="94" t="s">
        <v>103</v>
      </c>
      <c r="K365" s="91" t="s">
        <v>2629</v>
      </c>
      <c r="L365" s="93">
        <v>45470</v>
      </c>
      <c r="M365" s="94"/>
      <c r="N365" s="94"/>
      <c r="O365" s="91"/>
      <c r="P365" s="95"/>
      <c r="Q365" s="95"/>
      <c r="R365" s="95"/>
      <c r="S365" s="95" t="s">
        <v>2530</v>
      </c>
      <c r="T365" s="91" t="s">
        <v>2630</v>
      </c>
      <c r="U365" s="97">
        <v>2350</v>
      </c>
      <c r="V365" s="97"/>
      <c r="W365" s="91"/>
      <c r="X365" s="91"/>
      <c r="Y365" s="91"/>
      <c r="Z365" s="97"/>
      <c r="AA365" s="97">
        <f>V365+X365-Z365</f>
        <v>0</v>
      </c>
      <c r="AC365" s="106">
        <v>1</v>
      </c>
      <c r="AD365"/>
    </row>
    <row r="366" spans="1:30" x14ac:dyDescent="0.25">
      <c r="A366" s="91" t="s">
        <v>96</v>
      </c>
      <c r="B366" s="92">
        <v>128</v>
      </c>
      <c r="C366" s="91" t="s">
        <v>1952</v>
      </c>
      <c r="D366" s="91" t="s">
        <v>1675</v>
      </c>
      <c r="E366" s="94" t="s">
        <v>1954</v>
      </c>
      <c r="F366" s="94" t="s">
        <v>2631</v>
      </c>
      <c r="G366" s="91" t="s">
        <v>72</v>
      </c>
      <c r="H366" s="91" t="s">
        <v>29</v>
      </c>
      <c r="I366" s="94"/>
      <c r="J366" s="94"/>
      <c r="K366" s="91" t="s">
        <v>31</v>
      </c>
      <c r="L366" s="93">
        <v>45464</v>
      </c>
      <c r="M366" s="94"/>
      <c r="N366" s="94"/>
      <c r="O366" s="91"/>
      <c r="P366" s="95"/>
      <c r="Q366" s="95"/>
      <c r="R366" s="95"/>
      <c r="S366" s="95" t="s">
        <v>2530</v>
      </c>
      <c r="T366" s="91" t="s">
        <v>2632</v>
      </c>
      <c r="U366" s="97">
        <v>4248</v>
      </c>
      <c r="V366" s="97"/>
      <c r="W366" s="91"/>
      <c r="X366" s="91"/>
      <c r="Y366" s="91"/>
      <c r="Z366" s="97"/>
      <c r="AA366" s="97">
        <f>V366+X366-Z366</f>
        <v>0</v>
      </c>
      <c r="AC366" s="106">
        <v>1</v>
      </c>
      <c r="AD366"/>
    </row>
    <row r="367" spans="1:30" x14ac:dyDescent="0.25">
      <c r="A367" s="91" t="s">
        <v>96</v>
      </c>
      <c r="B367" s="92">
        <v>214</v>
      </c>
      <c r="C367" s="91" t="s">
        <v>2633</v>
      </c>
      <c r="D367" s="91" t="s">
        <v>2634</v>
      </c>
      <c r="E367" s="94" t="s">
        <v>90</v>
      </c>
      <c r="F367" s="94" t="s">
        <v>2635</v>
      </c>
      <c r="G367" s="91" t="s">
        <v>2636</v>
      </c>
      <c r="H367" s="91" t="s">
        <v>29</v>
      </c>
      <c r="I367" s="94"/>
      <c r="J367" s="94"/>
      <c r="K367" s="91" t="s">
        <v>410</v>
      </c>
      <c r="L367" s="93" t="s">
        <v>53</v>
      </c>
      <c r="M367" s="94"/>
      <c r="N367" s="94"/>
      <c r="O367" s="91"/>
      <c r="P367" s="95"/>
      <c r="Q367" s="95"/>
      <c r="R367" s="95"/>
      <c r="S367" s="95" t="s">
        <v>2530</v>
      </c>
      <c r="T367" s="91"/>
      <c r="U367" s="97">
        <v>2105</v>
      </c>
      <c r="V367" s="97"/>
      <c r="W367" s="91"/>
      <c r="X367" s="91"/>
      <c r="Y367" s="91"/>
      <c r="Z367" s="97"/>
      <c r="AA367" s="97">
        <f t="shared" ref="AA367:AA377" si="50">V367+X367-Z367</f>
        <v>0</v>
      </c>
      <c r="AC367" s="106">
        <f>IF(J367="YES",0,1)</f>
        <v>1</v>
      </c>
      <c r="AD367"/>
    </row>
    <row r="368" spans="1:30" x14ac:dyDescent="0.25">
      <c r="A368" s="91" t="s">
        <v>96</v>
      </c>
      <c r="B368" s="92">
        <v>255</v>
      </c>
      <c r="C368" s="91" t="s">
        <v>2637</v>
      </c>
      <c r="D368" s="91" t="s">
        <v>2638</v>
      </c>
      <c r="E368" s="94" t="s">
        <v>2096</v>
      </c>
      <c r="F368" s="94" t="s">
        <v>2639</v>
      </c>
      <c r="G368" s="91" t="s">
        <v>625</v>
      </c>
      <c r="H368" s="91" t="s">
        <v>29</v>
      </c>
      <c r="I368" s="94"/>
      <c r="J368" s="94"/>
      <c r="K368" s="91" t="s">
        <v>38</v>
      </c>
      <c r="L368" s="93" t="s">
        <v>53</v>
      </c>
      <c r="M368" s="94"/>
      <c r="N368" s="94"/>
      <c r="O368" s="91"/>
      <c r="P368" s="95"/>
      <c r="Q368" s="95"/>
      <c r="R368" s="95"/>
      <c r="S368" s="95" t="s">
        <v>2530</v>
      </c>
      <c r="T368" s="91"/>
      <c r="U368" s="97">
        <f>646</f>
        <v>646</v>
      </c>
      <c r="V368" s="97"/>
      <c r="W368" s="91"/>
      <c r="X368" s="91"/>
      <c r="Y368" s="91"/>
      <c r="Z368" s="97"/>
      <c r="AA368" s="97">
        <f>V368+X368-Z368</f>
        <v>0</v>
      </c>
      <c r="AC368" s="106">
        <v>1</v>
      </c>
      <c r="AD368"/>
    </row>
    <row r="369" spans="1:30" x14ac:dyDescent="0.25">
      <c r="A369" s="91" t="s">
        <v>45</v>
      </c>
      <c r="B369" s="92">
        <v>5</v>
      </c>
      <c r="C369" s="91" t="s">
        <v>2640</v>
      </c>
      <c r="D369" s="91" t="s">
        <v>2641</v>
      </c>
      <c r="E369" s="94" t="s">
        <v>2039</v>
      </c>
      <c r="F369" s="94" t="s">
        <v>2642</v>
      </c>
      <c r="G369" s="91" t="s">
        <v>2643</v>
      </c>
      <c r="H369" s="91" t="s">
        <v>29</v>
      </c>
      <c r="I369" s="94"/>
      <c r="J369" s="94"/>
      <c r="K369" s="91" t="s">
        <v>60</v>
      </c>
      <c r="L369" s="93" t="s">
        <v>53</v>
      </c>
      <c r="M369" s="94"/>
      <c r="N369" s="94"/>
      <c r="O369" s="91"/>
      <c r="P369" s="95"/>
      <c r="Q369" s="95"/>
      <c r="R369" s="95"/>
      <c r="S369" s="95" t="s">
        <v>2530</v>
      </c>
      <c r="T369" s="91"/>
      <c r="U369" s="97">
        <v>1955</v>
      </c>
      <c r="V369" s="97"/>
      <c r="W369" s="91"/>
      <c r="X369" s="91"/>
      <c r="Y369" s="91"/>
      <c r="Z369" s="97"/>
      <c r="AA369" s="97">
        <f t="shared" si="50"/>
        <v>0</v>
      </c>
      <c r="AC369" s="106">
        <v>1</v>
      </c>
      <c r="AD369"/>
    </row>
    <row r="370" spans="1:30" x14ac:dyDescent="0.25">
      <c r="A370" s="91" t="s">
        <v>45</v>
      </c>
      <c r="B370" s="92">
        <v>17</v>
      </c>
      <c r="C370" s="91" t="s">
        <v>2644</v>
      </c>
      <c r="D370" s="91" t="s">
        <v>2645</v>
      </c>
      <c r="E370" s="94" t="s">
        <v>2274</v>
      </c>
      <c r="F370" s="94" t="s">
        <v>2646</v>
      </c>
      <c r="G370" s="91" t="s">
        <v>260</v>
      </c>
      <c r="H370" s="91" t="s">
        <v>374</v>
      </c>
      <c r="I370" s="94"/>
      <c r="J370" s="94"/>
      <c r="K370" s="91" t="s">
        <v>60</v>
      </c>
      <c r="L370" s="93" t="s">
        <v>53</v>
      </c>
      <c r="M370" s="94"/>
      <c r="N370" s="94"/>
      <c r="O370" s="91"/>
      <c r="P370" s="95"/>
      <c r="Q370" s="95"/>
      <c r="R370" s="95"/>
      <c r="S370" s="95" t="s">
        <v>2530</v>
      </c>
      <c r="T370" s="91"/>
      <c r="U370" s="97">
        <v>4472</v>
      </c>
      <c r="V370" s="97"/>
      <c r="W370" s="91"/>
      <c r="X370" s="91"/>
      <c r="Y370" s="91"/>
      <c r="Z370" s="97"/>
      <c r="AA370" s="97">
        <v>453</v>
      </c>
      <c r="AC370" s="106">
        <v>1</v>
      </c>
      <c r="AD370"/>
    </row>
    <row r="371" spans="1:30" x14ac:dyDescent="0.25">
      <c r="A371" s="91" t="s">
        <v>45</v>
      </c>
      <c r="B371" s="92">
        <v>373</v>
      </c>
      <c r="C371" s="91" t="s">
        <v>2647</v>
      </c>
      <c r="D371" s="91" t="s">
        <v>2648</v>
      </c>
      <c r="E371" s="94" t="s">
        <v>2649</v>
      </c>
      <c r="F371" s="94" t="s">
        <v>2650</v>
      </c>
      <c r="G371" s="91" t="s">
        <v>917</v>
      </c>
      <c r="H371" s="91" t="s">
        <v>29</v>
      </c>
      <c r="I371" s="94"/>
      <c r="J371" s="94"/>
      <c r="K371" s="91" t="s">
        <v>67</v>
      </c>
      <c r="L371" s="93" t="s">
        <v>53</v>
      </c>
      <c r="M371" s="94"/>
      <c r="N371" s="94"/>
      <c r="O371" s="91"/>
      <c r="P371" s="95"/>
      <c r="Q371" s="95"/>
      <c r="R371" s="95"/>
      <c r="S371" s="95" t="s">
        <v>2530</v>
      </c>
      <c r="T371" s="91"/>
      <c r="U371" s="97">
        <v>5422</v>
      </c>
      <c r="V371" s="97"/>
      <c r="W371" s="91"/>
      <c r="X371" s="91"/>
      <c r="Y371" s="91"/>
      <c r="Z371" s="97"/>
      <c r="AA371" s="97">
        <v>2547.7199999999998</v>
      </c>
      <c r="AC371" s="106">
        <v>1</v>
      </c>
      <c r="AD371"/>
    </row>
    <row r="372" spans="1:30" x14ac:dyDescent="0.25">
      <c r="A372" s="91" t="s">
        <v>96</v>
      </c>
      <c r="B372" s="92">
        <v>249</v>
      </c>
      <c r="C372" s="91" t="s">
        <v>2651</v>
      </c>
      <c r="D372" s="91" t="s">
        <v>2652</v>
      </c>
      <c r="E372" s="94" t="s">
        <v>2574</v>
      </c>
      <c r="F372" s="94" t="s">
        <v>2653</v>
      </c>
      <c r="G372" s="91" t="s">
        <v>1779</v>
      </c>
      <c r="H372" s="91" t="s">
        <v>29</v>
      </c>
      <c r="I372" s="94"/>
      <c r="J372" s="94"/>
      <c r="K372" s="91" t="s">
        <v>422</v>
      </c>
      <c r="L372" s="93" t="s">
        <v>53</v>
      </c>
      <c r="M372" s="94"/>
      <c r="N372" s="94"/>
      <c r="O372" s="91"/>
      <c r="P372" s="95"/>
      <c r="Q372" s="95"/>
      <c r="R372" s="95"/>
      <c r="S372" s="95" t="s">
        <v>2530</v>
      </c>
      <c r="T372" s="91"/>
      <c r="U372" s="97">
        <f>2205+939</f>
        <v>3144</v>
      </c>
      <c r="V372" s="97"/>
      <c r="W372" s="91"/>
      <c r="X372" s="91"/>
      <c r="Y372" s="91"/>
      <c r="Z372" s="97"/>
      <c r="AA372" s="97">
        <f>V372+X372-Z372</f>
        <v>0</v>
      </c>
      <c r="AC372" s="106">
        <v>1</v>
      </c>
      <c r="AD372"/>
    </row>
    <row r="373" spans="1:30" x14ac:dyDescent="0.25">
      <c r="A373" s="91" t="s">
        <v>96</v>
      </c>
      <c r="B373" s="92">
        <v>316</v>
      </c>
      <c r="C373" s="91" t="s">
        <v>2654</v>
      </c>
      <c r="D373" s="91" t="s">
        <v>2655</v>
      </c>
      <c r="E373" s="94" t="s">
        <v>463</v>
      </c>
      <c r="F373" s="94" t="s">
        <v>2656</v>
      </c>
      <c r="G373" s="91" t="s">
        <v>2597</v>
      </c>
      <c r="H373" s="91" t="s">
        <v>40</v>
      </c>
      <c r="I373" s="94"/>
      <c r="J373" s="94"/>
      <c r="K373" s="91" t="s">
        <v>111</v>
      </c>
      <c r="L373" s="93" t="s">
        <v>53</v>
      </c>
      <c r="M373" s="94"/>
      <c r="N373" s="94"/>
      <c r="O373" s="91"/>
      <c r="P373" s="95"/>
      <c r="Q373" s="95"/>
      <c r="R373" s="95"/>
      <c r="S373" s="95" t="s">
        <v>2530</v>
      </c>
      <c r="T373" s="91"/>
      <c r="U373" s="97">
        <v>3342</v>
      </c>
      <c r="V373" s="97"/>
      <c r="W373" s="91"/>
      <c r="X373" s="91"/>
      <c r="Y373" s="91"/>
      <c r="Z373" s="97"/>
      <c r="AA373" s="97">
        <f>V373+X373-Z373</f>
        <v>0</v>
      </c>
      <c r="AC373" s="106">
        <v>1</v>
      </c>
      <c r="AD373"/>
    </row>
    <row r="374" spans="1:30" x14ac:dyDescent="0.25">
      <c r="A374" t="s">
        <v>96</v>
      </c>
      <c r="B374" s="41">
        <v>160</v>
      </c>
      <c r="C374" t="s">
        <v>2657</v>
      </c>
      <c r="E374" s="13" t="s">
        <v>1740</v>
      </c>
      <c r="F374" s="13" t="s">
        <v>2658</v>
      </c>
      <c r="G374" t="s">
        <v>385</v>
      </c>
      <c r="H374" t="s">
        <v>29</v>
      </c>
      <c r="I374" s="13" t="s">
        <v>41</v>
      </c>
      <c r="J374" s="13"/>
      <c r="K374" t="s">
        <v>387</v>
      </c>
      <c r="L374" s="52">
        <v>45449</v>
      </c>
      <c r="M374" s="13"/>
      <c r="T374" t="s">
        <v>2659</v>
      </c>
      <c r="U374" s="54">
        <v>3237</v>
      </c>
      <c r="AA374" s="81">
        <f t="shared" si="50"/>
        <v>0</v>
      </c>
      <c r="AC374" s="106">
        <f>IF(J374="YES",0,1)</f>
        <v>1</v>
      </c>
      <c r="AD374"/>
    </row>
    <row r="375" spans="1:30" x14ac:dyDescent="0.25">
      <c r="A375" t="s">
        <v>96</v>
      </c>
      <c r="B375" s="41">
        <v>171</v>
      </c>
      <c r="C375" t="s">
        <v>2660</v>
      </c>
      <c r="D375" t="s">
        <v>2661</v>
      </c>
      <c r="E375" s="13" t="s">
        <v>1625</v>
      </c>
      <c r="F375" s="13" t="s">
        <v>2662</v>
      </c>
      <c r="G375" t="s">
        <v>2663</v>
      </c>
      <c r="H375" t="s">
        <v>29</v>
      </c>
      <c r="I375" s="13" t="s">
        <v>41</v>
      </c>
      <c r="J375" s="13"/>
      <c r="K375" t="s">
        <v>31</v>
      </c>
      <c r="L375" s="52">
        <v>45470</v>
      </c>
      <c r="M375" s="13"/>
      <c r="T375" t="s">
        <v>1963</v>
      </c>
      <c r="U375" s="54">
        <v>3082.5</v>
      </c>
      <c r="AA375" s="81">
        <f t="shared" si="50"/>
        <v>0</v>
      </c>
      <c r="AC375" s="106">
        <f>IF(J375="YES",0,1)</f>
        <v>1</v>
      </c>
      <c r="AD375"/>
    </row>
    <row r="376" spans="1:30" x14ac:dyDescent="0.25">
      <c r="A376" t="s">
        <v>96</v>
      </c>
      <c r="B376" s="41">
        <v>150</v>
      </c>
      <c r="C376" t="s">
        <v>2664</v>
      </c>
      <c r="D376" t="s">
        <v>2665</v>
      </c>
      <c r="E376" s="13" t="s">
        <v>167</v>
      </c>
      <c r="F376" s="13" t="s">
        <v>2666</v>
      </c>
      <c r="G376" t="s">
        <v>2667</v>
      </c>
      <c r="H376" t="s">
        <v>29</v>
      </c>
      <c r="I376" s="13" t="s">
        <v>41</v>
      </c>
      <c r="J376" s="13"/>
      <c r="L376" s="52">
        <v>45446</v>
      </c>
      <c r="M376" s="13"/>
      <c r="T376" t="s">
        <v>2668</v>
      </c>
      <c r="U376" s="54">
        <v>4035</v>
      </c>
      <c r="AA376" s="81">
        <f t="shared" si="50"/>
        <v>0</v>
      </c>
      <c r="AC376" s="106">
        <f>IF(J376="YES",0,1)</f>
        <v>1</v>
      </c>
      <c r="AD376"/>
    </row>
    <row r="377" spans="1:30" x14ac:dyDescent="0.25">
      <c r="A377" t="s">
        <v>45</v>
      </c>
      <c r="B377" s="41">
        <v>9249</v>
      </c>
      <c r="C377" t="s">
        <v>2669</v>
      </c>
      <c r="D377" t="s">
        <v>2670</v>
      </c>
      <c r="E377" s="52">
        <v>44935</v>
      </c>
      <c r="F377" s="13" t="s">
        <v>2671</v>
      </c>
      <c r="G377" t="s">
        <v>72</v>
      </c>
      <c r="H377" t="s">
        <v>29</v>
      </c>
      <c r="I377" s="13" t="s">
        <v>41</v>
      </c>
      <c r="J377" s="75"/>
      <c r="K377" t="s">
        <v>31</v>
      </c>
      <c r="L377" s="161">
        <v>45449</v>
      </c>
      <c r="M377" s="13"/>
      <c r="T377" s="62" t="s">
        <v>2672</v>
      </c>
      <c r="U377" s="38">
        <v>3610</v>
      </c>
      <c r="AA377" s="81">
        <f t="shared" si="50"/>
        <v>0</v>
      </c>
      <c r="AC377" s="106">
        <f>IF(J377="YES",0,1)</f>
        <v>1</v>
      </c>
      <c r="AD377"/>
    </row>
    <row r="378" spans="1:30" x14ac:dyDescent="0.25">
      <c r="A378" s="72" t="s">
        <v>96</v>
      </c>
      <c r="B378" s="118">
        <v>22</v>
      </c>
      <c r="C378" s="72" t="s">
        <v>2673</v>
      </c>
      <c r="D378" s="72" t="s">
        <v>2674</v>
      </c>
      <c r="E378" s="74">
        <v>45096</v>
      </c>
      <c r="F378" s="75" t="s">
        <v>2675</v>
      </c>
      <c r="G378" s="72" t="s">
        <v>2676</v>
      </c>
      <c r="H378" s="72" t="s">
        <v>1135</v>
      </c>
      <c r="I378" s="75" t="s">
        <v>2677</v>
      </c>
      <c r="J378" s="13"/>
      <c r="K378" s="72"/>
      <c r="L378" s="160">
        <v>45401</v>
      </c>
      <c r="M378" s="13"/>
      <c r="N378" s="74"/>
      <c r="O378" s="72"/>
      <c r="P378" s="76"/>
      <c r="Q378" s="76"/>
      <c r="R378" s="76"/>
      <c r="S378" s="76"/>
      <c r="T378" s="72" t="s">
        <v>2678</v>
      </c>
      <c r="U378" s="80">
        <v>7802.14</v>
      </c>
      <c r="V378" s="81">
        <v>2957.14</v>
      </c>
      <c r="W378" s="72"/>
      <c r="X378" s="81"/>
      <c r="Y378" s="72"/>
      <c r="Z378" s="81">
        <f>34.96</f>
        <v>34.96</v>
      </c>
      <c r="AA378" s="81">
        <f>V378+X378-Z378</f>
        <v>2922.18</v>
      </c>
      <c r="AC378" s="106">
        <f>IF(J378="YES",0,1)</f>
        <v>1</v>
      </c>
      <c r="AD378"/>
    </row>
    <row r="379" spans="1:30" x14ac:dyDescent="0.25">
      <c r="L379" s="38"/>
      <c r="M379" s="38"/>
      <c r="N379" s="52"/>
      <c r="U379" s="53"/>
      <c r="X379" s="54"/>
      <c r="AA379" s="54"/>
      <c r="AD379"/>
    </row>
    <row r="380" spans="1:30" x14ac:dyDescent="0.25">
      <c r="L380" s="38"/>
      <c r="M380" s="38"/>
      <c r="N380" s="52"/>
      <c r="U380" s="53"/>
      <c r="X380" s="54"/>
      <c r="AA380" s="54"/>
      <c r="AD380"/>
    </row>
    <row r="381" spans="1:30" x14ac:dyDescent="0.25">
      <c r="L381" s="38"/>
      <c r="M381" s="38"/>
      <c r="N381" s="52"/>
      <c r="U381" s="53"/>
      <c r="X381" s="54"/>
      <c r="AA381" s="54"/>
      <c r="AD381"/>
    </row>
    <row r="382" spans="1:30" x14ac:dyDescent="0.25">
      <c r="L382" s="38"/>
      <c r="M382" s="38"/>
      <c r="N382" s="52"/>
      <c r="U382" s="53"/>
      <c r="X382" s="54"/>
      <c r="AA382" s="54"/>
      <c r="AD382"/>
    </row>
    <row r="383" spans="1:30" x14ac:dyDescent="0.25">
      <c r="L383" s="38"/>
      <c r="M383" s="38"/>
      <c r="N383" s="52"/>
      <c r="U383" s="53"/>
      <c r="X383" s="54"/>
      <c r="AA383" s="54"/>
      <c r="AD383"/>
    </row>
    <row r="384" spans="1:30" x14ac:dyDescent="0.25">
      <c r="L384" s="38"/>
      <c r="M384" s="38"/>
      <c r="N384" s="52"/>
      <c r="U384" s="53"/>
      <c r="X384" s="54"/>
      <c r="AA384" s="54"/>
      <c r="AD384"/>
    </row>
    <row r="385" spans="12:30" x14ac:dyDescent="0.25">
      <c r="L385" s="38"/>
      <c r="M385" s="38"/>
      <c r="N385" s="52"/>
      <c r="U385" s="53"/>
      <c r="X385" s="54"/>
      <c r="AA385" s="54"/>
      <c r="AD385"/>
    </row>
    <row r="386" spans="12:30" x14ac:dyDescent="0.25">
      <c r="L386" s="38"/>
      <c r="M386" s="38"/>
      <c r="N386" s="52"/>
      <c r="U386" s="53"/>
      <c r="X386" s="54"/>
      <c r="AA386" s="54"/>
      <c r="AD386"/>
    </row>
    <row r="387" spans="12:30" x14ac:dyDescent="0.25">
      <c r="L387" s="38"/>
      <c r="M387" s="38"/>
      <c r="N387" s="52"/>
      <c r="U387" s="53"/>
      <c r="X387" s="54"/>
      <c r="AA387" s="54"/>
      <c r="AD387"/>
    </row>
    <row r="388" spans="12:30" x14ac:dyDescent="0.25">
      <c r="L388" s="38"/>
      <c r="M388" s="38"/>
      <c r="N388" s="52"/>
      <c r="U388" s="53"/>
      <c r="X388" s="54"/>
      <c r="AA388" s="54"/>
      <c r="AD388"/>
    </row>
    <row r="389" spans="12:30" x14ac:dyDescent="0.25">
      <c r="L389" s="38"/>
      <c r="M389" s="38"/>
      <c r="N389" s="52"/>
      <c r="U389" s="53"/>
      <c r="X389" s="54"/>
      <c r="AA389" s="54"/>
      <c r="AD389"/>
    </row>
    <row r="390" spans="12:30" x14ac:dyDescent="0.25">
      <c r="L390" s="38"/>
      <c r="M390" s="38"/>
      <c r="N390" s="52"/>
      <c r="U390" s="53"/>
      <c r="X390" s="54"/>
      <c r="AA390" s="54"/>
      <c r="AD390"/>
    </row>
    <row r="391" spans="12:30" x14ac:dyDescent="0.25">
      <c r="L391" s="38"/>
      <c r="M391" s="38"/>
      <c r="N391" s="52"/>
      <c r="U391" s="53"/>
      <c r="X391" s="54"/>
      <c r="AA391" s="54"/>
      <c r="AD391"/>
    </row>
    <row r="392" spans="12:30" x14ac:dyDescent="0.25">
      <c r="L392" s="38"/>
      <c r="M392" s="38"/>
      <c r="N392" s="52"/>
      <c r="U392" s="53"/>
      <c r="X392" s="54"/>
      <c r="AA392" s="54"/>
      <c r="AD392"/>
    </row>
    <row r="393" spans="12:30" x14ac:dyDescent="0.25">
      <c r="L393" s="38"/>
      <c r="M393" s="38"/>
      <c r="N393" s="52"/>
      <c r="U393" s="53"/>
      <c r="X393" s="54"/>
      <c r="AA393" s="54"/>
      <c r="AD393"/>
    </row>
    <row r="394" spans="12:30" x14ac:dyDescent="0.25">
      <c r="L394" s="38"/>
      <c r="M394" s="38"/>
      <c r="N394" s="52"/>
      <c r="U394" s="53"/>
      <c r="X394" s="54"/>
      <c r="AA394" s="54"/>
      <c r="AD394"/>
    </row>
    <row r="395" spans="12:30" x14ac:dyDescent="0.25">
      <c r="L395" s="38"/>
      <c r="M395" s="38"/>
      <c r="N395" s="52"/>
      <c r="U395" s="53"/>
      <c r="X395" s="54"/>
      <c r="AA395" s="54"/>
      <c r="AD395"/>
    </row>
    <row r="396" spans="12:30" x14ac:dyDescent="0.25">
      <c r="L396" s="38"/>
      <c r="M396" s="38"/>
      <c r="N396" s="52"/>
      <c r="U396" s="53"/>
      <c r="X396" s="54"/>
      <c r="AA396" s="54"/>
      <c r="AD396"/>
    </row>
    <row r="397" spans="12:30" x14ac:dyDescent="0.25">
      <c r="L397" s="38"/>
      <c r="M397" s="38"/>
      <c r="N397" s="52"/>
      <c r="U397" s="53"/>
      <c r="X397" s="54"/>
      <c r="AA397" s="54"/>
      <c r="AD397"/>
    </row>
    <row r="398" spans="12:30" x14ac:dyDescent="0.25">
      <c r="L398" s="38"/>
      <c r="M398" s="38"/>
      <c r="N398" s="52"/>
      <c r="U398" s="53"/>
      <c r="X398" s="54"/>
      <c r="AA398" s="54"/>
      <c r="AD398"/>
    </row>
    <row r="399" spans="12:30" x14ac:dyDescent="0.25">
      <c r="L399" s="38"/>
      <c r="M399" s="38"/>
      <c r="N399" s="52"/>
      <c r="U399" s="53"/>
      <c r="X399" s="54"/>
      <c r="AA399" s="54"/>
      <c r="AD399"/>
    </row>
    <row r="400" spans="12:30" x14ac:dyDescent="0.25">
      <c r="L400" s="38"/>
      <c r="M400" s="38"/>
      <c r="N400" s="52"/>
      <c r="U400" s="53"/>
      <c r="X400" s="54"/>
      <c r="AA400" s="54"/>
      <c r="AD400"/>
    </row>
    <row r="401" spans="12:30" x14ac:dyDescent="0.25">
      <c r="L401" s="38"/>
      <c r="M401" s="38"/>
      <c r="N401" s="52"/>
      <c r="U401" s="53"/>
      <c r="X401" s="54"/>
      <c r="AA401" s="54"/>
      <c r="AD401"/>
    </row>
    <row r="402" spans="12:30" x14ac:dyDescent="0.25">
      <c r="L402" s="38"/>
      <c r="M402" s="38"/>
      <c r="N402" s="52"/>
      <c r="U402" s="53"/>
      <c r="X402" s="54"/>
      <c r="AA402" s="54"/>
      <c r="AD402"/>
    </row>
    <row r="403" spans="12:30" x14ac:dyDescent="0.25">
      <c r="L403" s="38"/>
      <c r="M403" s="38"/>
      <c r="N403" s="52"/>
      <c r="U403" s="53"/>
      <c r="X403" s="54"/>
      <c r="AA403" s="54"/>
      <c r="AD403"/>
    </row>
    <row r="404" spans="12:30" x14ac:dyDescent="0.25">
      <c r="L404" s="38"/>
      <c r="M404" s="38"/>
      <c r="N404" s="52"/>
      <c r="U404" s="53"/>
      <c r="X404" s="54"/>
      <c r="AA404" s="54"/>
      <c r="AD404"/>
    </row>
    <row r="405" spans="12:30" x14ac:dyDescent="0.25">
      <c r="L405" s="38"/>
      <c r="M405" s="38"/>
      <c r="N405" s="52"/>
      <c r="U405" s="53"/>
      <c r="X405" s="54"/>
      <c r="AA405" s="54"/>
      <c r="AD405"/>
    </row>
    <row r="406" spans="12:30" x14ac:dyDescent="0.25">
      <c r="L406" s="38"/>
      <c r="M406" s="38"/>
      <c r="N406" s="52"/>
      <c r="U406" s="53"/>
      <c r="X406" s="54"/>
      <c r="AA406" s="54"/>
      <c r="AD406"/>
    </row>
    <row r="407" spans="12:30" x14ac:dyDescent="0.25">
      <c r="L407" s="38"/>
      <c r="M407" s="38"/>
      <c r="N407" s="52"/>
      <c r="U407" s="53"/>
      <c r="X407" s="54"/>
      <c r="AA407" s="54"/>
      <c r="AD407"/>
    </row>
    <row r="408" spans="12:30" x14ac:dyDescent="0.25">
      <c r="L408" s="38"/>
      <c r="M408" s="38"/>
      <c r="N408" s="52"/>
      <c r="U408" s="53"/>
      <c r="X408" s="54"/>
      <c r="AA408" s="54"/>
      <c r="AD408"/>
    </row>
    <row r="409" spans="12:30" x14ac:dyDescent="0.25">
      <c r="L409" s="38"/>
      <c r="M409" s="38"/>
      <c r="N409" s="52"/>
      <c r="U409" s="53"/>
      <c r="X409" s="54"/>
      <c r="AA409" s="54"/>
      <c r="AD409"/>
    </row>
    <row r="410" spans="12:30" x14ac:dyDescent="0.25">
      <c r="L410" s="38"/>
      <c r="M410" s="38"/>
      <c r="N410" s="52"/>
      <c r="U410" s="53"/>
      <c r="X410" s="54"/>
      <c r="AA410" s="54"/>
      <c r="AD410"/>
    </row>
    <row r="411" spans="12:30" x14ac:dyDescent="0.25">
      <c r="L411" s="38"/>
      <c r="M411" s="38"/>
      <c r="N411" s="52"/>
      <c r="U411" s="53"/>
      <c r="X411" s="54"/>
      <c r="AA411" s="54"/>
      <c r="AD411"/>
    </row>
    <row r="412" spans="12:30" x14ac:dyDescent="0.25">
      <c r="L412" s="38"/>
      <c r="M412" s="38"/>
      <c r="N412" s="52"/>
      <c r="U412" s="53"/>
      <c r="X412" s="54"/>
      <c r="AA412" s="54"/>
      <c r="AD412"/>
    </row>
    <row r="413" spans="12:30" x14ac:dyDescent="0.25">
      <c r="L413" s="38"/>
      <c r="M413" s="38"/>
      <c r="N413" s="52"/>
      <c r="U413" s="53"/>
      <c r="X413" s="54"/>
      <c r="AA413" s="54"/>
      <c r="AD413"/>
    </row>
    <row r="414" spans="12:30" x14ac:dyDescent="0.25">
      <c r="L414" s="38"/>
      <c r="M414" s="38"/>
      <c r="N414" s="52"/>
      <c r="U414" s="53"/>
      <c r="X414" s="54"/>
      <c r="AA414" s="54"/>
      <c r="AD414"/>
    </row>
    <row r="415" spans="12:30" x14ac:dyDescent="0.25">
      <c r="L415" s="38"/>
      <c r="M415" s="38"/>
      <c r="N415" s="52"/>
      <c r="U415" s="53"/>
      <c r="X415" s="54"/>
      <c r="AA415" s="54"/>
      <c r="AD415"/>
    </row>
    <row r="416" spans="12:30" x14ac:dyDescent="0.25">
      <c r="L416" s="38"/>
      <c r="M416" s="38"/>
      <c r="N416" s="52"/>
      <c r="U416" s="53"/>
      <c r="X416" s="54"/>
      <c r="AA416" s="54"/>
      <c r="AD416"/>
    </row>
    <row r="417" spans="12:30" x14ac:dyDescent="0.25">
      <c r="L417" s="38"/>
      <c r="M417" s="38"/>
      <c r="N417" s="52"/>
      <c r="U417" s="53"/>
      <c r="X417" s="54"/>
      <c r="AA417" s="54"/>
      <c r="AD417"/>
    </row>
    <row r="418" spans="12:30" x14ac:dyDescent="0.25">
      <c r="L418" s="38"/>
      <c r="M418" s="38"/>
      <c r="N418" s="52"/>
      <c r="U418" s="53"/>
      <c r="X418" s="54"/>
      <c r="AA418" s="54"/>
      <c r="AD418"/>
    </row>
    <row r="419" spans="12:30" x14ac:dyDescent="0.25">
      <c r="L419" s="38"/>
      <c r="M419" s="38"/>
      <c r="N419" s="52"/>
      <c r="U419" s="53"/>
      <c r="X419" s="54"/>
      <c r="AA419" s="54"/>
      <c r="AD419"/>
    </row>
    <row r="420" spans="12:30" x14ac:dyDescent="0.25">
      <c r="L420" s="38"/>
      <c r="M420" s="38"/>
      <c r="N420" s="52"/>
      <c r="U420" s="53"/>
      <c r="X420" s="54"/>
      <c r="AA420" s="54"/>
      <c r="AD420"/>
    </row>
    <row r="421" spans="12:30" x14ac:dyDescent="0.25">
      <c r="L421" s="38"/>
      <c r="M421" s="38"/>
      <c r="N421" s="52"/>
      <c r="U421" s="53"/>
      <c r="X421" s="54"/>
      <c r="AA421" s="54"/>
      <c r="AD421"/>
    </row>
    <row r="422" spans="12:30" x14ac:dyDescent="0.25">
      <c r="L422" s="38"/>
      <c r="M422" s="38"/>
      <c r="N422" s="52"/>
      <c r="U422" s="53"/>
      <c r="X422" s="54"/>
      <c r="AA422" s="54"/>
      <c r="AD422"/>
    </row>
    <row r="423" spans="12:30" x14ac:dyDescent="0.25">
      <c r="L423" s="38"/>
      <c r="M423" s="38"/>
      <c r="N423" s="52"/>
      <c r="U423" s="53"/>
      <c r="X423" s="54"/>
      <c r="AA423" s="54"/>
      <c r="AD423"/>
    </row>
    <row r="424" spans="12:30" x14ac:dyDescent="0.25">
      <c r="L424" s="38"/>
      <c r="M424" s="38"/>
      <c r="N424" s="52"/>
      <c r="U424" s="53"/>
      <c r="X424" s="54"/>
      <c r="AA424" s="54"/>
      <c r="AD424"/>
    </row>
    <row r="425" spans="12:30" x14ac:dyDescent="0.25">
      <c r="L425" s="38"/>
      <c r="M425" s="38"/>
      <c r="N425" s="52"/>
      <c r="U425" s="53"/>
      <c r="X425" s="54"/>
      <c r="AA425" s="54"/>
      <c r="AD425"/>
    </row>
    <row r="426" spans="12:30" x14ac:dyDescent="0.25">
      <c r="L426" s="38"/>
      <c r="M426" s="38"/>
      <c r="N426" s="52"/>
      <c r="U426" s="53"/>
      <c r="X426" s="54"/>
      <c r="AA426" s="54"/>
      <c r="AD426"/>
    </row>
    <row r="427" spans="12:30" x14ac:dyDescent="0.25">
      <c r="L427" s="38"/>
      <c r="M427" s="38"/>
      <c r="N427" s="52"/>
      <c r="U427" s="53"/>
      <c r="X427" s="54"/>
      <c r="AA427" s="54"/>
      <c r="AD427"/>
    </row>
    <row r="428" spans="12:30" x14ac:dyDescent="0.25">
      <c r="L428" s="38"/>
      <c r="M428" s="38"/>
      <c r="N428" s="52"/>
      <c r="U428" s="53"/>
      <c r="X428" s="54"/>
      <c r="AA428" s="54"/>
      <c r="AD428"/>
    </row>
    <row r="429" spans="12:30" x14ac:dyDescent="0.25">
      <c r="L429" s="38"/>
      <c r="M429" s="38"/>
      <c r="N429" s="52"/>
      <c r="U429" s="53"/>
      <c r="X429" s="54"/>
      <c r="AA429" s="54"/>
      <c r="AD429"/>
    </row>
    <row r="430" spans="12:30" x14ac:dyDescent="0.25">
      <c r="L430" s="38"/>
      <c r="M430" s="38"/>
      <c r="N430" s="52"/>
      <c r="U430" s="53"/>
      <c r="X430" s="54"/>
      <c r="AA430" s="54"/>
      <c r="AD430"/>
    </row>
    <row r="431" spans="12:30" x14ac:dyDescent="0.25">
      <c r="L431" s="38"/>
      <c r="M431" s="38"/>
      <c r="N431" s="52"/>
      <c r="U431" s="53"/>
      <c r="X431" s="54"/>
      <c r="AA431" s="54"/>
      <c r="AD431"/>
    </row>
    <row r="432" spans="12:30" x14ac:dyDescent="0.25">
      <c r="L432" s="38"/>
      <c r="M432" s="38"/>
      <c r="N432" s="52"/>
      <c r="U432" s="53"/>
      <c r="X432" s="54"/>
      <c r="AA432" s="54"/>
      <c r="AD432"/>
    </row>
    <row r="433" spans="12:30" x14ac:dyDescent="0.25">
      <c r="L433" s="38"/>
      <c r="M433" s="38"/>
      <c r="N433" s="52"/>
      <c r="U433" s="53"/>
      <c r="X433" s="54"/>
      <c r="AA433" s="54"/>
      <c r="AD433"/>
    </row>
    <row r="434" spans="12:30" x14ac:dyDescent="0.25">
      <c r="L434" s="38"/>
      <c r="M434" s="38"/>
      <c r="N434" s="52"/>
      <c r="U434" s="53"/>
      <c r="X434" s="54"/>
      <c r="AA434" s="54"/>
      <c r="AD434"/>
    </row>
    <row r="435" spans="12:30" x14ac:dyDescent="0.25">
      <c r="L435" s="38"/>
      <c r="M435" s="38"/>
      <c r="N435" s="52"/>
      <c r="U435" s="53"/>
      <c r="X435" s="54"/>
      <c r="AA435" s="54"/>
      <c r="AD435"/>
    </row>
    <row r="436" spans="12:30" x14ac:dyDescent="0.25">
      <c r="L436" s="38"/>
      <c r="M436" s="38"/>
      <c r="N436" s="52"/>
      <c r="U436" s="53"/>
      <c r="X436" s="54"/>
      <c r="AA436" s="54"/>
      <c r="AD436"/>
    </row>
    <row r="437" spans="12:30" x14ac:dyDescent="0.25">
      <c r="L437" s="38"/>
      <c r="M437" s="38"/>
      <c r="N437" s="52"/>
      <c r="U437" s="53"/>
      <c r="X437" s="54"/>
      <c r="AA437" s="54"/>
      <c r="AD437"/>
    </row>
    <row r="438" spans="12:30" x14ac:dyDescent="0.25">
      <c r="L438" s="38"/>
      <c r="M438" s="38"/>
      <c r="N438" s="52"/>
      <c r="U438" s="53"/>
      <c r="X438" s="54"/>
      <c r="AA438" s="54"/>
      <c r="AD438"/>
    </row>
    <row r="439" spans="12:30" x14ac:dyDescent="0.25">
      <c r="L439" s="38"/>
      <c r="M439" s="38"/>
      <c r="N439" s="52"/>
      <c r="U439" s="53"/>
      <c r="X439" s="54"/>
      <c r="AA439" s="54"/>
      <c r="AD439"/>
    </row>
    <row r="440" spans="12:30" x14ac:dyDescent="0.25">
      <c r="L440" s="38"/>
      <c r="M440" s="38"/>
      <c r="N440" s="52"/>
      <c r="U440" s="53"/>
      <c r="X440" s="54"/>
      <c r="AA440" s="54"/>
      <c r="AD440"/>
    </row>
    <row r="441" spans="12:30" x14ac:dyDescent="0.25">
      <c r="L441" s="38"/>
      <c r="M441" s="38"/>
      <c r="N441" s="52"/>
      <c r="U441" s="53"/>
      <c r="X441" s="54"/>
      <c r="AA441" s="54"/>
      <c r="AD441"/>
    </row>
    <row r="442" spans="12:30" x14ac:dyDescent="0.25">
      <c r="L442" s="38"/>
      <c r="M442" s="38"/>
      <c r="N442" s="52"/>
      <c r="U442" s="53"/>
      <c r="X442" s="54"/>
      <c r="AA442" s="54"/>
      <c r="AD442"/>
    </row>
    <row r="443" spans="12:30" x14ac:dyDescent="0.25">
      <c r="L443" s="38"/>
      <c r="M443" s="38"/>
      <c r="N443" s="52"/>
      <c r="U443" s="53"/>
      <c r="X443" s="54"/>
      <c r="AA443" s="54"/>
      <c r="AD443"/>
    </row>
    <row r="444" spans="12:30" x14ac:dyDescent="0.25">
      <c r="L444" s="38"/>
      <c r="M444" s="38"/>
      <c r="N444" s="52"/>
      <c r="U444" s="53"/>
      <c r="X444" s="54"/>
      <c r="AA444" s="54"/>
      <c r="AD444"/>
    </row>
    <row r="445" spans="12:30" x14ac:dyDescent="0.25">
      <c r="L445" s="38"/>
      <c r="M445" s="38"/>
      <c r="N445" s="52"/>
      <c r="U445" s="53"/>
      <c r="X445" s="54"/>
      <c r="AA445" s="54"/>
      <c r="AD445"/>
    </row>
    <row r="446" spans="12:30" x14ac:dyDescent="0.25">
      <c r="L446" s="38"/>
      <c r="M446" s="38"/>
      <c r="N446" s="52"/>
      <c r="U446" s="53"/>
      <c r="X446" s="54"/>
      <c r="AA446" s="54"/>
      <c r="AD446"/>
    </row>
    <row r="447" spans="12:30" x14ac:dyDescent="0.25">
      <c r="L447" s="38"/>
      <c r="M447" s="38"/>
      <c r="N447" s="52"/>
      <c r="U447" s="53"/>
      <c r="X447" s="54"/>
      <c r="AA447" s="54"/>
      <c r="AD447"/>
    </row>
    <row r="448" spans="12:30" x14ac:dyDescent="0.25">
      <c r="L448" s="38"/>
      <c r="M448" s="38"/>
      <c r="N448" s="52"/>
      <c r="U448" s="53"/>
      <c r="X448" s="54"/>
      <c r="AA448" s="54"/>
      <c r="AD448"/>
    </row>
    <row r="449" spans="12:30" x14ac:dyDescent="0.25">
      <c r="L449" s="38"/>
      <c r="M449" s="38"/>
      <c r="N449" s="52"/>
      <c r="U449" s="53"/>
      <c r="X449" s="54"/>
      <c r="AA449" s="54"/>
      <c r="AD449"/>
    </row>
    <row r="450" spans="12:30" x14ac:dyDescent="0.25">
      <c r="L450" s="38"/>
      <c r="M450" s="38"/>
      <c r="N450" s="52"/>
      <c r="U450" s="53"/>
      <c r="X450" s="54"/>
      <c r="AA450" s="54"/>
      <c r="AD450"/>
    </row>
    <row r="451" spans="12:30" x14ac:dyDescent="0.25">
      <c r="L451" s="38"/>
      <c r="M451" s="38"/>
      <c r="N451" s="52"/>
      <c r="U451" s="53"/>
      <c r="X451" s="54"/>
      <c r="AA451" s="54"/>
      <c r="AD451"/>
    </row>
    <row r="452" spans="12:30" x14ac:dyDescent="0.25">
      <c r="L452" s="38"/>
      <c r="M452" s="38"/>
      <c r="N452" s="52"/>
      <c r="U452" s="53"/>
      <c r="X452" s="54"/>
      <c r="AA452" s="54"/>
      <c r="AD452"/>
    </row>
    <row r="453" spans="12:30" x14ac:dyDescent="0.25">
      <c r="L453" s="38"/>
      <c r="M453" s="38"/>
      <c r="N453" s="52"/>
      <c r="U453" s="53"/>
      <c r="X453" s="54"/>
      <c r="AA453" s="54"/>
      <c r="AD453"/>
    </row>
    <row r="454" spans="12:30" x14ac:dyDescent="0.25">
      <c r="L454" s="38"/>
      <c r="M454" s="38"/>
      <c r="N454" s="52"/>
      <c r="U454" s="53"/>
      <c r="X454" s="54"/>
      <c r="AA454" s="54"/>
      <c r="AD454"/>
    </row>
    <row r="455" spans="12:30" x14ac:dyDescent="0.25">
      <c r="L455" s="38"/>
      <c r="M455" s="38"/>
      <c r="N455" s="52"/>
      <c r="U455" s="53"/>
      <c r="X455" s="54"/>
      <c r="AA455" s="54"/>
      <c r="AD455"/>
    </row>
    <row r="456" spans="12:30" x14ac:dyDescent="0.25">
      <c r="L456" s="38"/>
      <c r="M456" s="38"/>
      <c r="N456" s="52"/>
      <c r="U456" s="53"/>
      <c r="X456" s="54"/>
      <c r="AA456" s="54"/>
      <c r="AD456"/>
    </row>
    <row r="457" spans="12:30" x14ac:dyDescent="0.25">
      <c r="L457" s="38"/>
      <c r="M457" s="38"/>
      <c r="N457" s="52"/>
      <c r="U457" s="53"/>
      <c r="X457" s="54"/>
      <c r="AA457" s="54"/>
      <c r="AD457"/>
    </row>
    <row r="458" spans="12:30" x14ac:dyDescent="0.25">
      <c r="L458" s="38"/>
      <c r="M458" s="38"/>
      <c r="N458" s="52"/>
      <c r="U458" s="53"/>
      <c r="X458" s="54"/>
      <c r="AA458" s="54"/>
      <c r="AD458"/>
    </row>
    <row r="459" spans="12:30" x14ac:dyDescent="0.25">
      <c r="L459" s="38"/>
      <c r="M459" s="38"/>
      <c r="N459" s="52"/>
      <c r="U459" s="53"/>
      <c r="X459" s="54"/>
      <c r="AA459" s="54"/>
      <c r="AD459"/>
    </row>
    <row r="460" spans="12:30" x14ac:dyDescent="0.25">
      <c r="L460" s="38"/>
      <c r="M460" s="38"/>
      <c r="N460" s="52"/>
      <c r="U460" s="53"/>
      <c r="X460" s="54"/>
      <c r="AA460" s="54"/>
      <c r="AD460"/>
    </row>
    <row r="461" spans="12:30" x14ac:dyDescent="0.25">
      <c r="L461" s="38"/>
      <c r="M461" s="38"/>
      <c r="N461" s="52"/>
      <c r="U461" s="53"/>
      <c r="X461" s="54"/>
      <c r="AA461" s="54"/>
      <c r="AD461"/>
    </row>
    <row r="462" spans="12:30" x14ac:dyDescent="0.25">
      <c r="L462" s="38"/>
      <c r="M462" s="38"/>
      <c r="N462" s="52"/>
      <c r="U462" s="53"/>
      <c r="X462" s="54"/>
      <c r="AA462" s="54"/>
      <c r="AD462"/>
    </row>
    <row r="463" spans="12:30" x14ac:dyDescent="0.25">
      <c r="L463" s="38"/>
      <c r="M463" s="38"/>
      <c r="N463" s="52"/>
      <c r="U463" s="53"/>
      <c r="X463" s="54"/>
      <c r="AA463" s="54"/>
      <c r="AD463"/>
    </row>
    <row r="464" spans="12:30" x14ac:dyDescent="0.25">
      <c r="L464" s="38"/>
      <c r="M464" s="38"/>
      <c r="N464" s="52"/>
      <c r="U464" s="53"/>
      <c r="X464" s="54"/>
      <c r="AA464" s="54"/>
      <c r="AD464"/>
    </row>
    <row r="465" spans="12:27" x14ac:dyDescent="0.25">
      <c r="L465" s="38"/>
      <c r="M465" s="38"/>
      <c r="N465" s="52"/>
      <c r="U465" s="53"/>
      <c r="X465" s="54"/>
      <c r="AA465" s="54"/>
    </row>
    <row r="466" spans="12:27" x14ac:dyDescent="0.25">
      <c r="L466" s="38"/>
      <c r="M466" s="38"/>
      <c r="N466" s="52"/>
      <c r="U466" s="53"/>
      <c r="X466" s="54"/>
      <c r="AA466" s="54"/>
    </row>
    <row r="467" spans="12:27" x14ac:dyDescent="0.25">
      <c r="L467" s="38"/>
      <c r="M467" s="38"/>
      <c r="N467" s="52"/>
      <c r="U467" s="53"/>
      <c r="X467" s="54"/>
      <c r="AA467" s="54"/>
    </row>
    <row r="468" spans="12:27" x14ac:dyDescent="0.25">
      <c r="L468" s="38"/>
      <c r="M468" s="38"/>
      <c r="N468" s="52"/>
      <c r="U468" s="53"/>
      <c r="X468" s="54"/>
      <c r="AA468" s="54"/>
    </row>
    <row r="469" spans="12:27" x14ac:dyDescent="0.25">
      <c r="L469" s="38"/>
      <c r="M469" s="38"/>
      <c r="N469" s="52"/>
      <c r="U469" s="53"/>
      <c r="X469" s="54"/>
      <c r="AA469" s="54"/>
    </row>
    <row r="470" spans="12:27" x14ac:dyDescent="0.25">
      <c r="L470" s="38"/>
      <c r="M470" s="38"/>
      <c r="N470" s="52"/>
      <c r="U470" s="53"/>
      <c r="X470" s="54"/>
      <c r="AA470" s="54"/>
    </row>
    <row r="471" spans="12:27" x14ac:dyDescent="0.25">
      <c r="L471" s="38"/>
      <c r="M471" s="38"/>
      <c r="N471" s="52"/>
      <c r="U471" s="53"/>
      <c r="X471" s="54"/>
      <c r="AA471" s="54"/>
    </row>
    <row r="472" spans="12:27" x14ac:dyDescent="0.25">
      <c r="L472" s="38"/>
      <c r="M472" s="38"/>
      <c r="N472" s="52"/>
      <c r="U472" s="53"/>
      <c r="X472" s="54"/>
      <c r="AA472" s="54"/>
    </row>
    <row r="473" spans="12:27" x14ac:dyDescent="0.25">
      <c r="L473" s="38"/>
      <c r="M473" s="38"/>
      <c r="N473" s="52"/>
      <c r="U473" s="53"/>
      <c r="X473" s="54"/>
      <c r="AA473" s="54"/>
    </row>
    <row r="474" spans="12:27" x14ac:dyDescent="0.25">
      <c r="L474" s="38"/>
      <c r="M474" s="38"/>
      <c r="N474" s="52"/>
      <c r="U474" s="53"/>
      <c r="X474" s="54"/>
      <c r="AA474" s="54"/>
    </row>
    <row r="475" spans="12:27" x14ac:dyDescent="0.25">
      <c r="L475" s="38"/>
      <c r="M475" s="38"/>
      <c r="N475" s="52"/>
      <c r="U475" s="53"/>
      <c r="X475" s="54"/>
      <c r="AA475" s="54"/>
    </row>
    <row r="476" spans="12:27" x14ac:dyDescent="0.25">
      <c r="L476" s="38"/>
      <c r="M476" s="38"/>
      <c r="N476" s="52"/>
      <c r="U476" s="53"/>
      <c r="X476" s="54"/>
      <c r="AA476" s="54"/>
    </row>
    <row r="477" spans="12:27" x14ac:dyDescent="0.25">
      <c r="L477" s="38"/>
      <c r="M477" s="38"/>
      <c r="N477" s="52"/>
      <c r="U477" s="53"/>
      <c r="X477" s="54"/>
      <c r="AA477" s="54"/>
    </row>
    <row r="478" spans="12:27" x14ac:dyDescent="0.25">
      <c r="L478" s="38"/>
      <c r="M478" s="38"/>
      <c r="N478" s="52"/>
      <c r="U478" s="53"/>
      <c r="X478" s="54"/>
      <c r="AA478" s="54"/>
    </row>
    <row r="479" spans="12:27" x14ac:dyDescent="0.25">
      <c r="L479" s="38"/>
      <c r="M479" s="38"/>
      <c r="N479" s="52"/>
      <c r="U479" s="53"/>
      <c r="X479" s="54"/>
      <c r="AA479" s="54"/>
    </row>
    <row r="480" spans="12:27" x14ac:dyDescent="0.25">
      <c r="L480" s="38"/>
      <c r="M480" s="38"/>
      <c r="N480" s="52"/>
      <c r="U480" s="53"/>
      <c r="X480" s="54"/>
      <c r="AA480" s="54"/>
    </row>
    <row r="481" spans="12:27" x14ac:dyDescent="0.25">
      <c r="L481" s="38"/>
      <c r="M481" s="38"/>
      <c r="N481" s="52"/>
      <c r="U481" s="53"/>
      <c r="X481" s="54"/>
      <c r="AA481" s="54"/>
    </row>
    <row r="482" spans="12:27" x14ac:dyDescent="0.25">
      <c r="L482" s="38"/>
      <c r="M482" s="38"/>
      <c r="N482" s="52"/>
      <c r="U482" s="53"/>
      <c r="X482" s="54"/>
      <c r="AA482" s="54"/>
    </row>
    <row r="483" spans="12:27" x14ac:dyDescent="0.25">
      <c r="L483" s="38"/>
      <c r="M483" s="38"/>
      <c r="N483" s="52"/>
      <c r="U483" s="53"/>
      <c r="X483" s="54"/>
      <c r="AA483" s="54"/>
    </row>
    <row r="484" spans="12:27" x14ac:dyDescent="0.25">
      <c r="L484" s="38"/>
      <c r="M484" s="38"/>
      <c r="N484" s="52"/>
      <c r="U484" s="53"/>
      <c r="X484" s="54"/>
      <c r="AA484" s="54"/>
    </row>
    <row r="485" spans="12:27" x14ac:dyDescent="0.25">
      <c r="L485" s="38"/>
      <c r="M485" s="38"/>
      <c r="N485" s="52"/>
      <c r="U485" s="53"/>
      <c r="X485" s="54"/>
      <c r="AA485" s="54"/>
    </row>
    <row r="486" spans="12:27" x14ac:dyDescent="0.25">
      <c r="L486" s="38"/>
      <c r="M486" s="38"/>
      <c r="N486" s="52"/>
      <c r="U486" s="53"/>
      <c r="X486" s="54"/>
      <c r="AA486" s="54"/>
    </row>
    <row r="487" spans="12:27" x14ac:dyDescent="0.25">
      <c r="L487" s="38"/>
      <c r="M487" s="38"/>
      <c r="N487" s="52"/>
      <c r="U487" s="53"/>
      <c r="X487" s="54"/>
      <c r="AA487" s="54"/>
    </row>
    <row r="488" spans="12:27" x14ac:dyDescent="0.25">
      <c r="L488" s="38"/>
      <c r="M488" s="38"/>
      <c r="N488" s="52"/>
      <c r="U488" s="53"/>
      <c r="X488" s="54"/>
      <c r="AA488" s="54"/>
    </row>
    <row r="489" spans="12:27" x14ac:dyDescent="0.25">
      <c r="L489" s="38"/>
      <c r="M489" s="38"/>
      <c r="N489" s="52"/>
      <c r="U489" s="53"/>
      <c r="X489" s="54"/>
      <c r="AA489" s="54"/>
    </row>
    <row r="490" spans="12:27" x14ac:dyDescent="0.25">
      <c r="L490" s="38"/>
      <c r="M490" s="38"/>
      <c r="N490" s="52"/>
      <c r="U490" s="53"/>
      <c r="X490" s="54"/>
      <c r="AA490" s="54"/>
    </row>
    <row r="491" spans="12:27" x14ac:dyDescent="0.25">
      <c r="L491" s="38"/>
      <c r="M491" s="38"/>
      <c r="N491" s="52"/>
      <c r="U491" s="53"/>
      <c r="X491" s="54"/>
      <c r="AA491" s="54"/>
    </row>
    <row r="492" spans="12:27" x14ac:dyDescent="0.25">
      <c r="L492" s="38"/>
      <c r="M492" s="38"/>
      <c r="N492" s="52"/>
      <c r="U492" s="53"/>
      <c r="X492" s="54"/>
      <c r="AA492" s="54"/>
    </row>
    <row r="493" spans="12:27" x14ac:dyDescent="0.25">
      <c r="L493" s="38"/>
      <c r="M493" s="38"/>
      <c r="N493" s="52"/>
      <c r="U493" s="53"/>
      <c r="X493" s="54"/>
      <c r="AA493" s="54"/>
    </row>
    <row r="494" spans="12:27" x14ac:dyDescent="0.25">
      <c r="L494" s="38"/>
      <c r="M494" s="38"/>
      <c r="N494" s="52"/>
      <c r="U494" s="53"/>
      <c r="X494" s="54"/>
      <c r="AA494" s="54"/>
    </row>
    <row r="495" spans="12:27" x14ac:dyDescent="0.25">
      <c r="L495" s="38"/>
      <c r="M495" s="38"/>
      <c r="N495" s="52"/>
      <c r="U495" s="53"/>
      <c r="X495" s="54"/>
      <c r="AA495" s="54"/>
    </row>
    <row r="496" spans="12:27" x14ac:dyDescent="0.25">
      <c r="L496" s="38"/>
      <c r="M496" s="38"/>
      <c r="N496" s="52"/>
      <c r="U496" s="53"/>
      <c r="X496" s="54"/>
      <c r="AA496" s="54"/>
    </row>
    <row r="497" spans="12:27" x14ac:dyDescent="0.25">
      <c r="L497" s="38"/>
      <c r="M497" s="38"/>
      <c r="N497" s="52"/>
      <c r="U497" s="53"/>
      <c r="X497" s="54"/>
      <c r="AA497" s="54"/>
    </row>
    <row r="498" spans="12:27" x14ac:dyDescent="0.25">
      <c r="L498" s="38"/>
      <c r="M498" s="38"/>
      <c r="N498" s="52"/>
      <c r="U498" s="53"/>
      <c r="X498" s="54"/>
      <c r="AA498" s="54"/>
    </row>
    <row r="499" spans="12:27" x14ac:dyDescent="0.25">
      <c r="L499" s="38"/>
      <c r="M499" s="38"/>
      <c r="N499" s="52"/>
      <c r="U499" s="53"/>
      <c r="X499" s="54"/>
      <c r="AA499" s="54"/>
    </row>
    <row r="500" spans="12:27" x14ac:dyDescent="0.25">
      <c r="L500" s="38"/>
      <c r="M500" s="38"/>
      <c r="N500" s="52"/>
      <c r="U500" s="53"/>
      <c r="X500" s="54"/>
      <c r="AA500" s="54"/>
    </row>
    <row r="501" spans="12:27" x14ac:dyDescent="0.25">
      <c r="L501" s="38"/>
      <c r="M501" s="38"/>
      <c r="N501" s="52"/>
      <c r="U501" s="53"/>
      <c r="X501" s="54"/>
      <c r="AA501" s="54"/>
    </row>
    <row r="502" spans="12:27" x14ac:dyDescent="0.25">
      <c r="L502" s="38"/>
      <c r="M502" s="38"/>
      <c r="N502" s="52"/>
      <c r="U502" s="53"/>
      <c r="X502" s="54"/>
      <c r="AA502" s="54"/>
    </row>
    <row r="503" spans="12:27" x14ac:dyDescent="0.25">
      <c r="L503" s="38"/>
      <c r="M503" s="38"/>
      <c r="N503" s="52"/>
      <c r="U503" s="53"/>
      <c r="X503" s="54"/>
      <c r="AA503" s="54"/>
    </row>
    <row r="504" spans="12:27" x14ac:dyDescent="0.25">
      <c r="L504" s="38"/>
      <c r="M504" s="38"/>
      <c r="N504" s="52"/>
      <c r="U504" s="53"/>
      <c r="X504" s="54"/>
      <c r="AA504" s="54"/>
    </row>
    <row r="505" spans="12:27" x14ac:dyDescent="0.25">
      <c r="L505" s="38"/>
      <c r="M505" s="38"/>
      <c r="N505" s="52"/>
      <c r="U505" s="53"/>
      <c r="X505" s="54"/>
      <c r="AA505" s="54"/>
    </row>
    <row r="506" spans="12:27" x14ac:dyDescent="0.25">
      <c r="L506" s="38"/>
      <c r="M506" s="38"/>
      <c r="N506" s="52"/>
      <c r="U506" s="53"/>
      <c r="X506" s="54"/>
      <c r="AA506" s="54"/>
    </row>
    <row r="507" spans="12:27" x14ac:dyDescent="0.25">
      <c r="L507" s="38"/>
      <c r="M507" s="38"/>
      <c r="N507" s="52"/>
      <c r="U507" s="53"/>
      <c r="X507" s="54"/>
      <c r="AA507" s="54"/>
    </row>
    <row r="508" spans="12:27" x14ac:dyDescent="0.25">
      <c r="L508" s="38"/>
      <c r="M508" s="38"/>
      <c r="N508" s="52"/>
      <c r="U508" s="53"/>
      <c r="X508" s="54"/>
      <c r="AA508" s="54"/>
    </row>
    <row r="509" spans="12:27" x14ac:dyDescent="0.25">
      <c r="L509" s="38"/>
      <c r="M509" s="38"/>
      <c r="N509" s="52"/>
      <c r="U509" s="53"/>
      <c r="X509" s="54"/>
      <c r="AA509" s="54"/>
    </row>
    <row r="510" spans="12:27" x14ac:dyDescent="0.25">
      <c r="L510" s="38"/>
      <c r="M510" s="38"/>
      <c r="N510" s="52"/>
      <c r="U510" s="53"/>
      <c r="X510" s="54"/>
      <c r="AA510" s="54"/>
    </row>
    <row r="511" spans="12:27" x14ac:dyDescent="0.25">
      <c r="L511" s="38"/>
      <c r="M511" s="38"/>
      <c r="N511" s="52"/>
      <c r="U511" s="53"/>
      <c r="X511" s="54"/>
      <c r="AA511" s="54"/>
    </row>
    <row r="512" spans="12:27" x14ac:dyDescent="0.25">
      <c r="L512" s="38"/>
      <c r="M512" s="38"/>
      <c r="N512" s="52"/>
      <c r="U512" s="53"/>
      <c r="X512" s="54"/>
      <c r="AA512" s="54"/>
    </row>
    <row r="513" spans="12:27" x14ac:dyDescent="0.25">
      <c r="L513" s="38"/>
      <c r="M513" s="38"/>
      <c r="N513" s="52"/>
      <c r="U513" s="53"/>
      <c r="X513" s="54"/>
      <c r="AA513" s="54"/>
    </row>
    <row r="514" spans="12:27" x14ac:dyDescent="0.25">
      <c r="L514" s="38"/>
      <c r="M514" s="38"/>
      <c r="N514" s="52"/>
      <c r="U514" s="53"/>
      <c r="X514" s="54"/>
      <c r="AA514" s="54"/>
    </row>
    <row r="515" spans="12:27" x14ac:dyDescent="0.25">
      <c r="L515" s="38"/>
      <c r="M515" s="38"/>
      <c r="N515" s="52"/>
      <c r="U515" s="53"/>
      <c r="X515" s="54"/>
      <c r="AA515" s="54"/>
    </row>
    <row r="516" spans="12:27" x14ac:dyDescent="0.25">
      <c r="L516" s="38"/>
      <c r="M516" s="38"/>
      <c r="N516" s="52"/>
      <c r="U516" s="53"/>
      <c r="X516" s="54"/>
      <c r="AA516" s="54"/>
    </row>
    <row r="517" spans="12:27" x14ac:dyDescent="0.25">
      <c r="L517" s="38"/>
      <c r="M517" s="38"/>
      <c r="N517" s="52"/>
      <c r="U517" s="53"/>
      <c r="X517" s="54"/>
      <c r="AA517" s="54"/>
    </row>
    <row r="518" spans="12:27" x14ac:dyDescent="0.25">
      <c r="L518" s="38"/>
      <c r="M518" s="38"/>
      <c r="N518" s="52"/>
      <c r="U518" s="53"/>
      <c r="X518" s="54"/>
      <c r="AA518" s="54"/>
    </row>
    <row r="519" spans="12:27" x14ac:dyDescent="0.25">
      <c r="L519" s="38"/>
      <c r="M519" s="38"/>
      <c r="N519" s="52"/>
      <c r="U519" s="53"/>
      <c r="X519" s="54"/>
      <c r="AA519" s="54"/>
    </row>
    <row r="520" spans="12:27" x14ac:dyDescent="0.25">
      <c r="L520" s="38"/>
      <c r="M520" s="38"/>
      <c r="N520" s="52"/>
      <c r="U520" s="53"/>
      <c r="X520" s="54"/>
      <c r="AA520" s="54"/>
    </row>
    <row r="521" spans="12:27" x14ac:dyDescent="0.25">
      <c r="L521" s="38"/>
      <c r="M521" s="38"/>
      <c r="N521" s="52"/>
      <c r="U521" s="53"/>
      <c r="X521" s="54"/>
      <c r="AA521" s="54"/>
    </row>
    <row r="522" spans="12:27" x14ac:dyDescent="0.25">
      <c r="L522" s="38"/>
      <c r="M522" s="38"/>
      <c r="N522" s="52"/>
      <c r="U522" s="53"/>
      <c r="X522" s="54"/>
      <c r="AA522" s="54"/>
    </row>
    <row r="523" spans="12:27" x14ac:dyDescent="0.25">
      <c r="L523" s="38"/>
      <c r="M523" s="38"/>
      <c r="N523" s="52"/>
      <c r="U523" s="53"/>
      <c r="X523" s="54"/>
      <c r="AA523" s="54"/>
    </row>
    <row r="524" spans="12:27" x14ac:dyDescent="0.25">
      <c r="L524" s="38"/>
      <c r="M524" s="38"/>
      <c r="N524" s="52"/>
      <c r="U524" s="53"/>
      <c r="X524" s="54"/>
      <c r="AA524" s="54"/>
    </row>
    <row r="525" spans="12:27" x14ac:dyDescent="0.25">
      <c r="L525" s="38"/>
      <c r="M525" s="38"/>
      <c r="N525" s="52"/>
      <c r="U525" s="53"/>
      <c r="X525" s="54"/>
      <c r="AA525" s="54"/>
    </row>
    <row r="526" spans="12:27" x14ac:dyDescent="0.25">
      <c r="L526" s="38"/>
      <c r="M526" s="38"/>
      <c r="N526" s="52"/>
      <c r="U526" s="53"/>
      <c r="X526" s="54"/>
      <c r="AA526" s="54"/>
    </row>
    <row r="527" spans="12:27" x14ac:dyDescent="0.25">
      <c r="L527" s="38"/>
      <c r="M527" s="38"/>
      <c r="N527" s="52"/>
      <c r="U527" s="53"/>
      <c r="X527" s="54"/>
      <c r="AA527" s="54"/>
    </row>
    <row r="528" spans="12:27" x14ac:dyDescent="0.25">
      <c r="L528" s="38"/>
      <c r="M528" s="38"/>
      <c r="N528" s="52"/>
      <c r="U528" s="53"/>
      <c r="X528" s="54"/>
      <c r="AA528" s="54"/>
    </row>
    <row r="529" spans="12:27" x14ac:dyDescent="0.25">
      <c r="L529" s="38"/>
      <c r="M529" s="38"/>
      <c r="N529" s="52"/>
      <c r="U529" s="53"/>
      <c r="X529" s="54"/>
      <c r="AA529" s="54"/>
    </row>
    <row r="530" spans="12:27" x14ac:dyDescent="0.25">
      <c r="L530" s="38"/>
      <c r="M530" s="38"/>
      <c r="N530" s="52"/>
      <c r="U530" s="53"/>
      <c r="X530" s="54"/>
      <c r="AA530" s="54"/>
    </row>
    <row r="531" spans="12:27" x14ac:dyDescent="0.25">
      <c r="L531" s="38"/>
      <c r="M531" s="38"/>
      <c r="N531" s="52"/>
      <c r="U531" s="53"/>
      <c r="X531" s="54"/>
      <c r="AA531" s="54"/>
    </row>
    <row r="532" spans="12:27" x14ac:dyDescent="0.25">
      <c r="L532" s="38"/>
      <c r="M532" s="38"/>
      <c r="N532" s="52"/>
      <c r="U532" s="53"/>
      <c r="X532" s="54"/>
      <c r="AA532" s="54"/>
    </row>
    <row r="533" spans="12:27" x14ac:dyDescent="0.25">
      <c r="L533" s="38"/>
      <c r="M533" s="38"/>
      <c r="N533" s="52"/>
      <c r="U533" s="53"/>
      <c r="X533" s="54"/>
      <c r="AA533" s="54"/>
    </row>
    <row r="534" spans="12:27" x14ac:dyDescent="0.25">
      <c r="L534" s="38"/>
      <c r="M534" s="38"/>
      <c r="N534" s="52"/>
      <c r="U534" s="53"/>
      <c r="X534" s="54"/>
      <c r="AA534" s="54"/>
    </row>
    <row r="535" spans="12:27" x14ac:dyDescent="0.25">
      <c r="L535" s="38"/>
      <c r="M535" s="38"/>
      <c r="N535" s="52"/>
      <c r="U535" s="53"/>
      <c r="X535" s="54"/>
      <c r="AA535" s="54"/>
    </row>
    <row r="536" spans="12:27" x14ac:dyDescent="0.25">
      <c r="L536" s="38"/>
      <c r="M536" s="38"/>
      <c r="N536" s="52"/>
      <c r="U536" s="53"/>
      <c r="X536" s="54"/>
      <c r="AA536" s="54"/>
    </row>
    <row r="537" spans="12:27" x14ac:dyDescent="0.25">
      <c r="L537" s="38"/>
      <c r="M537" s="38"/>
      <c r="N537" s="52"/>
      <c r="U537" s="53"/>
      <c r="X537" s="54"/>
      <c r="AA537" s="54"/>
    </row>
    <row r="538" spans="12:27" x14ac:dyDescent="0.25">
      <c r="L538" s="38"/>
      <c r="M538" s="38"/>
      <c r="N538" s="52"/>
      <c r="U538" s="53"/>
      <c r="X538" s="54"/>
      <c r="AA538" s="54"/>
    </row>
    <row r="539" spans="12:27" x14ac:dyDescent="0.25">
      <c r="L539" s="38"/>
      <c r="M539" s="38"/>
      <c r="N539" s="52"/>
      <c r="U539" s="53"/>
      <c r="X539" s="54"/>
      <c r="AA539" s="54"/>
    </row>
    <row r="540" spans="12:27" x14ac:dyDescent="0.25">
      <c r="L540" s="38"/>
      <c r="M540" s="38"/>
      <c r="N540" s="52"/>
      <c r="U540" s="53"/>
      <c r="X540" s="54"/>
      <c r="AA540" s="54"/>
    </row>
    <row r="541" spans="12:27" x14ac:dyDescent="0.25">
      <c r="L541" s="38"/>
      <c r="M541" s="38"/>
      <c r="N541" s="52"/>
      <c r="U541" s="53"/>
      <c r="X541" s="54"/>
      <c r="AA541" s="54"/>
    </row>
    <row r="542" spans="12:27" x14ac:dyDescent="0.25">
      <c r="L542" s="38"/>
      <c r="M542" s="38"/>
      <c r="N542" s="52"/>
      <c r="U542" s="53"/>
      <c r="X542" s="54"/>
      <c r="AA542" s="54"/>
    </row>
    <row r="543" spans="12:27" x14ac:dyDescent="0.25">
      <c r="L543" s="38"/>
      <c r="M543" s="38"/>
      <c r="N543" s="52"/>
      <c r="U543" s="53"/>
      <c r="X543" s="54"/>
      <c r="AA543" s="54"/>
    </row>
    <row r="544" spans="12:27" x14ac:dyDescent="0.25">
      <c r="L544" s="38"/>
      <c r="M544" s="38"/>
      <c r="N544" s="52"/>
      <c r="U544" s="53"/>
      <c r="X544" s="54"/>
      <c r="AA544" s="54"/>
    </row>
    <row r="545" spans="12:27" x14ac:dyDescent="0.25">
      <c r="L545" s="38"/>
      <c r="M545" s="38"/>
      <c r="N545" s="52"/>
      <c r="U545" s="53"/>
      <c r="X545" s="54"/>
      <c r="AA545" s="54"/>
    </row>
    <row r="546" spans="12:27" x14ac:dyDescent="0.25">
      <c r="L546" s="38"/>
      <c r="M546" s="38"/>
      <c r="N546" s="52"/>
      <c r="U546" s="53"/>
      <c r="X546" s="54"/>
      <c r="AA546" s="54"/>
    </row>
    <row r="547" spans="12:27" x14ac:dyDescent="0.25">
      <c r="L547" s="38"/>
      <c r="M547" s="38"/>
      <c r="N547" s="52"/>
      <c r="U547" s="53"/>
      <c r="X547" s="54"/>
      <c r="AA547" s="54"/>
    </row>
    <row r="548" spans="12:27" x14ac:dyDescent="0.25">
      <c r="L548" s="38"/>
      <c r="M548" s="38"/>
      <c r="N548" s="52"/>
      <c r="U548" s="53"/>
      <c r="X548" s="54"/>
      <c r="AA548" s="54"/>
    </row>
    <row r="549" spans="12:27" x14ac:dyDescent="0.25">
      <c r="L549" s="38"/>
      <c r="M549" s="38"/>
      <c r="N549" s="52"/>
      <c r="U549" s="53"/>
      <c r="X549" s="54"/>
      <c r="AA549" s="54"/>
    </row>
    <row r="550" spans="12:27" x14ac:dyDescent="0.25">
      <c r="L550" s="38"/>
      <c r="M550" s="38"/>
      <c r="N550" s="52"/>
      <c r="U550" s="53"/>
      <c r="X550" s="54"/>
      <c r="AA550" s="54"/>
    </row>
    <row r="551" spans="12:27" x14ac:dyDescent="0.25">
      <c r="L551" s="38"/>
      <c r="M551" s="38"/>
      <c r="N551" s="52"/>
      <c r="U551" s="53"/>
      <c r="X551" s="54"/>
      <c r="AA551" s="54"/>
    </row>
    <row r="552" spans="12:27" x14ac:dyDescent="0.25">
      <c r="L552" s="38"/>
      <c r="M552" s="38"/>
      <c r="N552" s="52"/>
      <c r="U552" s="53"/>
      <c r="X552" s="54"/>
      <c r="AA552" s="54"/>
    </row>
    <row r="553" spans="12:27" x14ac:dyDescent="0.25">
      <c r="L553" s="38"/>
      <c r="M553" s="38"/>
      <c r="N553" s="52"/>
      <c r="U553" s="53"/>
      <c r="X553" s="54"/>
      <c r="AA553" s="54"/>
    </row>
    <row r="554" spans="12:27" x14ac:dyDescent="0.25">
      <c r="L554" s="38"/>
      <c r="M554" s="38"/>
      <c r="N554" s="52"/>
      <c r="U554" s="53"/>
      <c r="X554" s="54"/>
      <c r="AA554" s="54"/>
    </row>
    <row r="555" spans="12:27" x14ac:dyDescent="0.25">
      <c r="L555" s="38"/>
      <c r="M555" s="38"/>
      <c r="N555" s="52"/>
      <c r="U555" s="53"/>
      <c r="X555" s="54"/>
      <c r="AA555" s="54"/>
    </row>
    <row r="556" spans="12:27" x14ac:dyDescent="0.25">
      <c r="L556" s="38"/>
      <c r="M556" s="38"/>
      <c r="N556" s="52"/>
      <c r="U556" s="53"/>
      <c r="X556" s="54"/>
      <c r="AA556" s="54"/>
    </row>
    <row r="557" spans="12:27" x14ac:dyDescent="0.25">
      <c r="L557" s="38"/>
      <c r="M557" s="38"/>
      <c r="N557" s="52"/>
      <c r="U557" s="53"/>
      <c r="X557" s="54"/>
      <c r="AA557" s="54"/>
    </row>
    <row r="558" spans="12:27" x14ac:dyDescent="0.25">
      <c r="L558" s="38"/>
      <c r="M558" s="38"/>
      <c r="N558" s="52"/>
      <c r="U558" s="53"/>
      <c r="X558" s="54"/>
      <c r="AA558" s="54"/>
    </row>
    <row r="559" spans="12:27" x14ac:dyDescent="0.25">
      <c r="L559" s="38"/>
      <c r="M559" s="38"/>
      <c r="N559" s="52"/>
      <c r="U559" s="53"/>
      <c r="X559" s="54"/>
      <c r="AA559" s="54"/>
    </row>
    <row r="560" spans="12:27" x14ac:dyDescent="0.25">
      <c r="L560" s="38"/>
      <c r="M560" s="38"/>
      <c r="N560" s="52"/>
      <c r="U560" s="53"/>
      <c r="X560" s="54"/>
      <c r="AA560" s="54"/>
    </row>
    <row r="561" spans="12:27" x14ac:dyDescent="0.25">
      <c r="L561" s="38"/>
      <c r="M561" s="38"/>
      <c r="N561" s="52"/>
      <c r="U561" s="53"/>
      <c r="X561" s="54"/>
      <c r="AA561" s="54"/>
    </row>
    <row r="562" spans="12:27" x14ac:dyDescent="0.25">
      <c r="L562" s="38"/>
      <c r="M562" s="38"/>
      <c r="N562" s="52"/>
      <c r="U562" s="53"/>
      <c r="X562" s="54"/>
      <c r="AA562" s="54"/>
    </row>
    <row r="563" spans="12:27" x14ac:dyDescent="0.25">
      <c r="L563" s="38"/>
      <c r="M563" s="38"/>
      <c r="N563" s="52"/>
      <c r="U563" s="53"/>
      <c r="AA563" s="54"/>
    </row>
    <row r="564" spans="12:27" x14ac:dyDescent="0.25">
      <c r="L564" s="38"/>
      <c r="M564" s="38"/>
      <c r="N564" s="52"/>
      <c r="U564" s="53"/>
      <c r="AA564" s="54"/>
    </row>
    <row r="565" spans="12:27" x14ac:dyDescent="0.25">
      <c r="L565" s="38"/>
      <c r="M565" s="38"/>
      <c r="N565" s="52"/>
      <c r="U565" s="53"/>
      <c r="AA565" s="54"/>
    </row>
    <row r="566" spans="12:27" x14ac:dyDescent="0.25">
      <c r="L566" s="38"/>
      <c r="M566" s="38"/>
      <c r="N566" s="52"/>
      <c r="U566" s="53"/>
      <c r="AA566" s="54"/>
    </row>
    <row r="567" spans="12:27" x14ac:dyDescent="0.25">
      <c r="L567" s="38"/>
      <c r="M567" s="38"/>
      <c r="N567" s="52"/>
      <c r="U567" s="53"/>
      <c r="AA567" s="54"/>
    </row>
    <row r="568" spans="12:27" x14ac:dyDescent="0.25">
      <c r="L568" s="38"/>
      <c r="M568" s="38"/>
      <c r="N568" s="52"/>
      <c r="U568" s="53"/>
      <c r="AA568" s="54"/>
    </row>
    <row r="569" spans="12:27" x14ac:dyDescent="0.25">
      <c r="L569" s="38"/>
      <c r="M569" s="38"/>
      <c r="N569" s="52"/>
      <c r="U569" s="53"/>
      <c r="AA569" s="54"/>
    </row>
    <row r="570" spans="12:27" x14ac:dyDescent="0.25">
      <c r="L570" s="38"/>
      <c r="M570" s="38"/>
      <c r="N570" s="52"/>
      <c r="U570" s="53"/>
      <c r="AA570" s="54"/>
    </row>
    <row r="571" spans="12:27" x14ac:dyDescent="0.25">
      <c r="L571" s="38"/>
      <c r="M571" s="38"/>
      <c r="N571" s="52"/>
      <c r="U571" s="53"/>
      <c r="AA571" s="54"/>
    </row>
    <row r="572" spans="12:27" x14ac:dyDescent="0.25">
      <c r="L572" s="38"/>
      <c r="M572" s="38"/>
      <c r="N572" s="52"/>
      <c r="U572" s="53"/>
      <c r="AA572" s="54"/>
    </row>
    <row r="573" spans="12:27" x14ac:dyDescent="0.25">
      <c r="L573" s="38"/>
      <c r="M573" s="38"/>
      <c r="N573" s="52"/>
      <c r="U573" s="53"/>
      <c r="AA573" s="54"/>
    </row>
    <row r="574" spans="12:27" x14ac:dyDescent="0.25">
      <c r="L574" s="38"/>
      <c r="M574" s="38"/>
      <c r="N574" s="52"/>
      <c r="U574" s="53"/>
      <c r="AA574" s="54"/>
    </row>
    <row r="575" spans="12:27" x14ac:dyDescent="0.25">
      <c r="L575" s="38"/>
      <c r="M575" s="38"/>
      <c r="N575" s="52"/>
      <c r="U575" s="53"/>
      <c r="AA575" s="54"/>
    </row>
    <row r="576" spans="12:27" x14ac:dyDescent="0.25">
      <c r="L576" s="38"/>
      <c r="M576" s="38"/>
      <c r="N576" s="52"/>
      <c r="U576" s="53"/>
      <c r="AA576" s="54"/>
    </row>
    <row r="577" spans="1:30" x14ac:dyDescent="0.25">
      <c r="L577" s="38"/>
      <c r="M577" s="38"/>
      <c r="N577" s="52"/>
      <c r="U577" s="53"/>
      <c r="AA577" s="54"/>
    </row>
    <row r="578" spans="1:30" x14ac:dyDescent="0.25">
      <c r="L578" s="38"/>
      <c r="M578" s="38"/>
      <c r="N578" s="52"/>
      <c r="U578" s="53"/>
      <c r="AA578" s="54"/>
    </row>
    <row r="579" spans="1:30" x14ac:dyDescent="0.25">
      <c r="L579" s="38"/>
      <c r="M579" s="38"/>
      <c r="N579" s="52"/>
      <c r="U579" s="53"/>
      <c r="AA579" s="54"/>
    </row>
    <row r="580" spans="1:30" x14ac:dyDescent="0.25">
      <c r="L580" s="38"/>
      <c r="M580" s="38"/>
      <c r="N580" s="52"/>
      <c r="U580" s="53"/>
      <c r="AA580" s="54"/>
    </row>
    <row r="581" spans="1:30" x14ac:dyDescent="0.25">
      <c r="L581" s="38"/>
      <c r="M581" s="38"/>
      <c r="N581" s="52"/>
      <c r="U581" s="53"/>
      <c r="AA581" s="54"/>
    </row>
    <row r="582" spans="1:30" x14ac:dyDescent="0.25">
      <c r="L582" s="38"/>
      <c r="M582" s="38"/>
      <c r="N582" s="52"/>
      <c r="U582" s="53"/>
      <c r="AA582" s="54"/>
    </row>
    <row r="583" spans="1:30" x14ac:dyDescent="0.25">
      <c r="L583" s="38"/>
      <c r="M583" s="38"/>
      <c r="N583" s="52"/>
      <c r="U583" s="53"/>
      <c r="AA583" s="54"/>
    </row>
    <row r="584" spans="1:30" x14ac:dyDescent="0.25">
      <c r="L584" s="38"/>
      <c r="M584" s="38"/>
      <c r="N584" s="52"/>
      <c r="U584" s="53"/>
      <c r="AA584" s="54"/>
    </row>
    <row r="585" spans="1:30" x14ac:dyDescent="0.25">
      <c r="L585" s="38"/>
      <c r="M585" s="38"/>
      <c r="N585" s="52"/>
      <c r="U585" s="53"/>
      <c r="AA585" s="54"/>
    </row>
    <row r="586" spans="1:30" x14ac:dyDescent="0.25">
      <c r="L586" s="38"/>
      <c r="M586" s="38"/>
      <c r="N586" s="52"/>
      <c r="U586" s="53"/>
    </row>
    <row r="587" spans="1:30" x14ac:dyDescent="0.25">
      <c r="L587" s="38"/>
      <c r="M587" s="38"/>
      <c r="N587" s="52"/>
      <c r="U587" s="53"/>
    </row>
    <row r="588" spans="1:30" s="54" customFormat="1" x14ac:dyDescent="0.25">
      <c r="A588"/>
      <c r="B588" s="41"/>
      <c r="C588"/>
      <c r="D588"/>
      <c r="E588" s="13"/>
      <c r="F588"/>
      <c r="G588"/>
      <c r="H588"/>
      <c r="I588" s="13"/>
      <c r="J588"/>
      <c r="K588"/>
      <c r="L588" s="38"/>
      <c r="M588" s="38"/>
      <c r="N588" s="52"/>
      <c r="O588"/>
      <c r="P588" s="38"/>
      <c r="Q588" s="38"/>
      <c r="R588" s="38"/>
      <c r="S588" s="38"/>
      <c r="T588"/>
      <c r="U588" s="53"/>
      <c r="W588"/>
      <c r="X588"/>
      <c r="Y588"/>
      <c r="AA588"/>
      <c r="AD588" s="177"/>
    </row>
    <row r="589" spans="1:30" s="54" customFormat="1" x14ac:dyDescent="0.25">
      <c r="A589"/>
      <c r="B589" s="41"/>
      <c r="C589"/>
      <c r="D589"/>
      <c r="E589" s="13"/>
      <c r="F589"/>
      <c r="G589"/>
      <c r="H589"/>
      <c r="I589" s="13"/>
      <c r="J589"/>
      <c r="K589"/>
      <c r="L589" s="38"/>
      <c r="M589" s="38"/>
      <c r="N589" s="52"/>
      <c r="O589"/>
      <c r="P589" s="38"/>
      <c r="Q589" s="38"/>
      <c r="R589" s="38"/>
      <c r="S589" s="38"/>
      <c r="T589"/>
      <c r="U589" s="53"/>
      <c r="W589"/>
      <c r="X589"/>
      <c r="Y589"/>
      <c r="AA589"/>
      <c r="AD589" s="177"/>
    </row>
    <row r="590" spans="1:30" s="54" customFormat="1" x14ac:dyDescent="0.25">
      <c r="A590"/>
      <c r="B590" s="41"/>
      <c r="C590"/>
      <c r="D590"/>
      <c r="E590" s="13"/>
      <c r="F590"/>
      <c r="G590"/>
      <c r="H590"/>
      <c r="I590" s="13"/>
      <c r="J590"/>
      <c r="K590"/>
      <c r="L590" s="38"/>
      <c r="M590" s="38"/>
      <c r="N590" s="52"/>
      <c r="O590"/>
      <c r="P590" s="38"/>
      <c r="Q590" s="38"/>
      <c r="R590" s="38"/>
      <c r="S590" s="38"/>
      <c r="T590"/>
      <c r="U590" s="53"/>
      <c r="W590"/>
      <c r="X590"/>
      <c r="Y590"/>
      <c r="AA590"/>
      <c r="AD590" s="177"/>
    </row>
    <row r="591" spans="1:30" s="54" customFormat="1" x14ac:dyDescent="0.25">
      <c r="A591"/>
      <c r="B591" s="41"/>
      <c r="C591"/>
      <c r="D591"/>
      <c r="E591" s="13"/>
      <c r="F591"/>
      <c r="G591"/>
      <c r="H591"/>
      <c r="I591" s="13"/>
      <c r="J591"/>
      <c r="K591"/>
      <c r="L591" s="38"/>
      <c r="M591" s="38"/>
      <c r="N591" s="52"/>
      <c r="O591"/>
      <c r="P591" s="38"/>
      <c r="Q591" s="38"/>
      <c r="R591" s="38"/>
      <c r="S591" s="38"/>
      <c r="T591"/>
      <c r="U591" s="53"/>
      <c r="W591"/>
      <c r="X591"/>
      <c r="Y591"/>
      <c r="AA591"/>
      <c r="AD591" s="177"/>
    </row>
    <row r="592" spans="1:30" s="54" customFormat="1" x14ac:dyDescent="0.25">
      <c r="A592"/>
      <c r="B592" s="41"/>
      <c r="C592"/>
      <c r="D592"/>
      <c r="E592" s="13"/>
      <c r="F592"/>
      <c r="G592"/>
      <c r="H592"/>
      <c r="I592" s="13"/>
      <c r="J592"/>
      <c r="K592"/>
      <c r="L592" s="38"/>
      <c r="M592" s="38"/>
      <c r="N592" s="52"/>
      <c r="O592"/>
      <c r="P592" s="38"/>
      <c r="Q592" s="38"/>
      <c r="R592" s="38"/>
      <c r="S592" s="38"/>
      <c r="T592"/>
      <c r="U592" s="53"/>
      <c r="W592"/>
      <c r="X592"/>
      <c r="Y592"/>
      <c r="AA592"/>
      <c r="AD592" s="177"/>
    </row>
    <row r="593" spans="1:30" s="54" customFormat="1" x14ac:dyDescent="0.25">
      <c r="A593"/>
      <c r="B593" s="41"/>
      <c r="C593"/>
      <c r="D593"/>
      <c r="E593" s="13"/>
      <c r="F593"/>
      <c r="G593"/>
      <c r="H593"/>
      <c r="I593" s="13"/>
      <c r="J593"/>
      <c r="K593"/>
      <c r="L593" s="38"/>
      <c r="M593" s="38"/>
      <c r="N593" s="52"/>
      <c r="O593"/>
      <c r="P593" s="38"/>
      <c r="Q593" s="38"/>
      <c r="R593" s="38"/>
      <c r="S593" s="38"/>
      <c r="T593"/>
      <c r="U593" s="53"/>
      <c r="W593"/>
      <c r="X593"/>
      <c r="Y593"/>
      <c r="AA593"/>
      <c r="AD593" s="177"/>
    </row>
    <row r="594" spans="1:30" s="54" customFormat="1" x14ac:dyDescent="0.25">
      <c r="A594"/>
      <c r="B594" s="41"/>
      <c r="C594"/>
      <c r="D594"/>
      <c r="E594" s="13"/>
      <c r="F594"/>
      <c r="G594"/>
      <c r="H594"/>
      <c r="I594" s="13"/>
      <c r="J594"/>
      <c r="K594"/>
      <c r="L594" s="38"/>
      <c r="M594" s="38"/>
      <c r="N594" s="52"/>
      <c r="O594"/>
      <c r="P594" s="38"/>
      <c r="Q594" s="38"/>
      <c r="R594" s="38"/>
      <c r="S594" s="38"/>
      <c r="T594"/>
      <c r="U594" s="53"/>
      <c r="W594"/>
      <c r="X594"/>
      <c r="Y594"/>
      <c r="AA594"/>
      <c r="AD594" s="177"/>
    </row>
    <row r="595" spans="1:30" s="54" customFormat="1" x14ac:dyDescent="0.25">
      <c r="A595"/>
      <c r="B595" s="41"/>
      <c r="C595"/>
      <c r="D595"/>
      <c r="E595" s="13"/>
      <c r="F595"/>
      <c r="G595"/>
      <c r="H595"/>
      <c r="I595" s="13"/>
      <c r="J595"/>
      <c r="K595"/>
      <c r="L595" s="38"/>
      <c r="M595" s="38"/>
      <c r="N595" s="52"/>
      <c r="O595"/>
      <c r="P595" s="38"/>
      <c r="Q595" s="38"/>
      <c r="R595" s="38"/>
      <c r="S595" s="38"/>
      <c r="T595"/>
      <c r="U595" s="53"/>
      <c r="W595"/>
      <c r="X595"/>
      <c r="Y595"/>
      <c r="AA595"/>
      <c r="AD595" s="177"/>
    </row>
    <row r="596" spans="1:30" s="54" customFormat="1" x14ac:dyDescent="0.25">
      <c r="A596"/>
      <c r="B596" s="41"/>
      <c r="C596"/>
      <c r="D596"/>
      <c r="E596" s="13"/>
      <c r="F596"/>
      <c r="G596"/>
      <c r="H596"/>
      <c r="I596" s="13"/>
      <c r="J596"/>
      <c r="K596"/>
      <c r="L596" s="38"/>
      <c r="M596" s="38"/>
      <c r="N596" s="52"/>
      <c r="O596"/>
      <c r="P596" s="38"/>
      <c r="Q596" s="38"/>
      <c r="R596" s="38"/>
      <c r="S596" s="38"/>
      <c r="T596"/>
      <c r="U596" s="53"/>
      <c r="W596"/>
      <c r="X596"/>
      <c r="Y596"/>
      <c r="AA596"/>
      <c r="AD596" s="177"/>
    </row>
    <row r="597" spans="1:30" s="54" customFormat="1" x14ac:dyDescent="0.25">
      <c r="A597"/>
      <c r="B597" s="41"/>
      <c r="C597"/>
      <c r="D597"/>
      <c r="E597" s="13"/>
      <c r="F597"/>
      <c r="G597"/>
      <c r="H597"/>
      <c r="I597" s="13"/>
      <c r="J597"/>
      <c r="K597"/>
      <c r="L597" s="38"/>
      <c r="M597" s="38"/>
      <c r="N597" s="52"/>
      <c r="O597"/>
      <c r="P597" s="38"/>
      <c r="Q597" s="38"/>
      <c r="R597" s="38"/>
      <c r="S597" s="38"/>
      <c r="T597"/>
      <c r="U597" s="53"/>
      <c r="W597"/>
      <c r="X597"/>
      <c r="Y597"/>
      <c r="AA597"/>
      <c r="AD597" s="177"/>
    </row>
    <row r="598" spans="1:30" s="54" customFormat="1" x14ac:dyDescent="0.25">
      <c r="A598"/>
      <c r="B598" s="41"/>
      <c r="C598"/>
      <c r="D598"/>
      <c r="E598" s="13"/>
      <c r="F598"/>
      <c r="G598"/>
      <c r="H598"/>
      <c r="I598" s="13"/>
      <c r="J598"/>
      <c r="K598"/>
      <c r="L598" s="38"/>
      <c r="M598" s="38"/>
      <c r="N598" s="52"/>
      <c r="O598"/>
      <c r="P598" s="38"/>
      <c r="Q598" s="38"/>
      <c r="R598" s="38"/>
      <c r="S598" s="38"/>
      <c r="T598"/>
      <c r="U598" s="53"/>
      <c r="W598"/>
      <c r="X598"/>
      <c r="Y598"/>
      <c r="AA598"/>
      <c r="AD598" s="177"/>
    </row>
    <row r="599" spans="1:30" s="54" customFormat="1" x14ac:dyDescent="0.25">
      <c r="A599"/>
      <c r="B599" s="41"/>
      <c r="C599"/>
      <c r="D599"/>
      <c r="E599" s="13"/>
      <c r="F599"/>
      <c r="G599"/>
      <c r="H599"/>
      <c r="I599" s="13"/>
      <c r="J599"/>
      <c r="K599"/>
      <c r="L599" s="38"/>
      <c r="M599" s="38"/>
      <c r="N599" s="52"/>
      <c r="O599"/>
      <c r="P599" s="38"/>
      <c r="Q599" s="38"/>
      <c r="R599" s="38"/>
      <c r="S599" s="38"/>
      <c r="T599"/>
      <c r="U599" s="53"/>
      <c r="W599"/>
      <c r="X599"/>
      <c r="Y599"/>
      <c r="AA599"/>
      <c r="AD599" s="177"/>
    </row>
    <row r="600" spans="1:30" s="54" customFormat="1" x14ac:dyDescent="0.25">
      <c r="A600"/>
      <c r="B600" s="41"/>
      <c r="C600"/>
      <c r="D600"/>
      <c r="E600" s="13"/>
      <c r="F600"/>
      <c r="G600"/>
      <c r="H600"/>
      <c r="I600" s="13"/>
      <c r="J600"/>
      <c r="K600"/>
      <c r="L600" s="38"/>
      <c r="M600" s="38"/>
      <c r="N600" s="52"/>
      <c r="O600"/>
      <c r="P600" s="38"/>
      <c r="Q600" s="38"/>
      <c r="R600" s="38"/>
      <c r="S600" s="38"/>
      <c r="T600"/>
      <c r="U600" s="53"/>
      <c r="W600"/>
      <c r="X600"/>
      <c r="Y600"/>
      <c r="AA600"/>
      <c r="AD600" s="177"/>
    </row>
    <row r="601" spans="1:30" s="54" customFormat="1" x14ac:dyDescent="0.25">
      <c r="A601"/>
      <c r="B601" s="41"/>
      <c r="C601"/>
      <c r="D601"/>
      <c r="E601" s="13"/>
      <c r="F601"/>
      <c r="G601"/>
      <c r="H601"/>
      <c r="I601" s="13"/>
      <c r="J601"/>
      <c r="K601"/>
      <c r="L601" s="38"/>
      <c r="M601" s="38"/>
      <c r="N601" s="52"/>
      <c r="O601"/>
      <c r="P601" s="38"/>
      <c r="Q601" s="38"/>
      <c r="R601" s="38"/>
      <c r="S601" s="38"/>
      <c r="T601"/>
      <c r="U601" s="53"/>
      <c r="W601"/>
      <c r="X601"/>
      <c r="Y601"/>
      <c r="AA601"/>
      <c r="AD601" s="177"/>
    </row>
    <row r="602" spans="1:30" s="54" customFormat="1" x14ac:dyDescent="0.25">
      <c r="A602"/>
      <c r="B602" s="41"/>
      <c r="C602"/>
      <c r="D602"/>
      <c r="E602" s="13"/>
      <c r="F602"/>
      <c r="G602"/>
      <c r="H602"/>
      <c r="I602" s="13"/>
      <c r="J602"/>
      <c r="K602"/>
      <c r="L602" s="38"/>
      <c r="M602" s="38"/>
      <c r="N602" s="52"/>
      <c r="O602"/>
      <c r="P602" s="38"/>
      <c r="Q602" s="38"/>
      <c r="R602" s="38"/>
      <c r="S602" s="38"/>
      <c r="T602"/>
      <c r="U602" s="53"/>
      <c r="W602"/>
      <c r="X602"/>
      <c r="Y602"/>
      <c r="AA602"/>
      <c r="AD602" s="177"/>
    </row>
    <row r="603" spans="1:30" s="54" customFormat="1" x14ac:dyDescent="0.25">
      <c r="A603"/>
      <c r="B603" s="41"/>
      <c r="C603"/>
      <c r="D603"/>
      <c r="E603" s="13"/>
      <c r="F603"/>
      <c r="G603"/>
      <c r="H603"/>
      <c r="I603" s="13"/>
      <c r="J603"/>
      <c r="K603"/>
      <c r="L603" s="38"/>
      <c r="M603" s="38"/>
      <c r="N603" s="52"/>
      <c r="O603"/>
      <c r="P603" s="38"/>
      <c r="Q603" s="38"/>
      <c r="R603" s="38"/>
      <c r="S603" s="38"/>
      <c r="T603"/>
      <c r="U603" s="53"/>
      <c r="W603"/>
      <c r="X603"/>
      <c r="Y603"/>
      <c r="AA603"/>
      <c r="AD603" s="177"/>
    </row>
    <row r="604" spans="1:30" s="54" customFormat="1" x14ac:dyDescent="0.25">
      <c r="A604"/>
      <c r="B604" s="41"/>
      <c r="C604"/>
      <c r="D604"/>
      <c r="E604" s="13"/>
      <c r="F604"/>
      <c r="G604"/>
      <c r="H604"/>
      <c r="I604" s="13"/>
      <c r="J604"/>
      <c r="K604"/>
      <c r="L604" s="38"/>
      <c r="M604" s="38"/>
      <c r="N604" s="52"/>
      <c r="O604"/>
      <c r="P604" s="38"/>
      <c r="Q604" s="38"/>
      <c r="R604" s="38"/>
      <c r="S604" s="38"/>
      <c r="T604"/>
      <c r="U604" s="53"/>
      <c r="W604"/>
      <c r="X604"/>
      <c r="Y604"/>
      <c r="AA604"/>
      <c r="AD604" s="177"/>
    </row>
    <row r="605" spans="1:30" s="54" customFormat="1" x14ac:dyDescent="0.25">
      <c r="A605"/>
      <c r="B605" s="41"/>
      <c r="C605"/>
      <c r="D605"/>
      <c r="E605" s="13"/>
      <c r="F605"/>
      <c r="G605"/>
      <c r="H605"/>
      <c r="I605" s="13"/>
      <c r="J605"/>
      <c r="K605"/>
      <c r="L605" s="38"/>
      <c r="M605" s="38"/>
      <c r="N605" s="52"/>
      <c r="O605"/>
      <c r="P605" s="38"/>
      <c r="Q605" s="38"/>
      <c r="R605" s="38"/>
      <c r="S605" s="38"/>
      <c r="T605"/>
      <c r="U605" s="53"/>
      <c r="W605"/>
      <c r="X605"/>
      <c r="Y605"/>
      <c r="AA605"/>
      <c r="AD605" s="177"/>
    </row>
    <row r="606" spans="1:30" s="54" customFormat="1" x14ac:dyDescent="0.25">
      <c r="A606"/>
      <c r="B606" s="41"/>
      <c r="C606"/>
      <c r="D606"/>
      <c r="E606" s="13"/>
      <c r="F606"/>
      <c r="G606"/>
      <c r="H606"/>
      <c r="I606" s="13"/>
      <c r="J606"/>
      <c r="K606"/>
      <c r="L606" s="38"/>
      <c r="M606" s="38"/>
      <c r="N606" s="52"/>
      <c r="O606"/>
      <c r="P606" s="38"/>
      <c r="Q606" s="38"/>
      <c r="R606" s="38"/>
      <c r="S606" s="38"/>
      <c r="T606"/>
      <c r="U606" s="53"/>
      <c r="W606"/>
      <c r="X606"/>
      <c r="Y606"/>
      <c r="AA606"/>
      <c r="AD606" s="177"/>
    </row>
    <row r="607" spans="1:30" s="54" customFormat="1" x14ac:dyDescent="0.25">
      <c r="A607"/>
      <c r="B607" s="41"/>
      <c r="C607"/>
      <c r="D607"/>
      <c r="E607" s="13"/>
      <c r="F607"/>
      <c r="G607"/>
      <c r="H607"/>
      <c r="I607" s="13"/>
      <c r="J607"/>
      <c r="K607"/>
      <c r="L607" s="38"/>
      <c r="M607" s="38"/>
      <c r="N607" s="52"/>
      <c r="O607"/>
      <c r="P607" s="38"/>
      <c r="Q607" s="38"/>
      <c r="R607" s="38"/>
      <c r="S607" s="38"/>
      <c r="T607"/>
      <c r="U607" s="53"/>
      <c r="W607"/>
      <c r="X607"/>
      <c r="Y607"/>
      <c r="AA607"/>
      <c r="AD607" s="177"/>
    </row>
    <row r="608" spans="1:30" s="54" customFormat="1" x14ac:dyDescent="0.25">
      <c r="A608"/>
      <c r="B608" s="41"/>
      <c r="C608"/>
      <c r="D608"/>
      <c r="E608" s="13"/>
      <c r="F608"/>
      <c r="G608"/>
      <c r="H608"/>
      <c r="I608" s="13"/>
      <c r="J608"/>
      <c r="K608"/>
      <c r="L608" s="38"/>
      <c r="M608" s="38"/>
      <c r="N608" s="52"/>
      <c r="O608"/>
      <c r="P608" s="38"/>
      <c r="Q608" s="38"/>
      <c r="R608" s="38"/>
      <c r="S608" s="38"/>
      <c r="T608"/>
      <c r="U608" s="53"/>
      <c r="W608"/>
      <c r="X608"/>
      <c r="Y608"/>
      <c r="AA608"/>
      <c r="AD608" s="177"/>
    </row>
    <row r="609" spans="1:30" s="54" customFormat="1" x14ac:dyDescent="0.25">
      <c r="A609"/>
      <c r="B609" s="41"/>
      <c r="C609"/>
      <c r="D609"/>
      <c r="E609" s="13"/>
      <c r="F609"/>
      <c r="G609"/>
      <c r="H609"/>
      <c r="I609" s="13"/>
      <c r="J609"/>
      <c r="K609"/>
      <c r="L609" s="38"/>
      <c r="M609" s="38"/>
      <c r="N609" s="52"/>
      <c r="O609"/>
      <c r="P609" s="38"/>
      <c r="Q609" s="38"/>
      <c r="R609" s="38"/>
      <c r="S609" s="38"/>
      <c r="T609"/>
      <c r="U609" s="53"/>
      <c r="W609"/>
      <c r="X609"/>
      <c r="Y609"/>
      <c r="AA609"/>
      <c r="AD609" s="177"/>
    </row>
    <row r="610" spans="1:30" s="54" customFormat="1" x14ac:dyDescent="0.25">
      <c r="A610"/>
      <c r="B610" s="41"/>
      <c r="C610"/>
      <c r="D610"/>
      <c r="E610" s="13"/>
      <c r="F610"/>
      <c r="G610"/>
      <c r="H610"/>
      <c r="I610" s="13"/>
      <c r="J610"/>
      <c r="K610"/>
      <c r="L610" s="38"/>
      <c r="M610" s="38"/>
      <c r="N610" s="52"/>
      <c r="O610"/>
      <c r="P610" s="38"/>
      <c r="Q610" s="38"/>
      <c r="R610" s="38"/>
      <c r="S610" s="38"/>
      <c r="T610"/>
      <c r="U610" s="53"/>
      <c r="W610"/>
      <c r="X610"/>
      <c r="Y610"/>
      <c r="AA610"/>
      <c r="AD610" s="177"/>
    </row>
    <row r="611" spans="1:30" s="54" customFormat="1" x14ac:dyDescent="0.25">
      <c r="A611"/>
      <c r="B611" s="41"/>
      <c r="C611"/>
      <c r="D611"/>
      <c r="E611" s="13"/>
      <c r="F611"/>
      <c r="G611"/>
      <c r="H611"/>
      <c r="I611" s="13"/>
      <c r="J611"/>
      <c r="K611"/>
      <c r="L611" s="38"/>
      <c r="M611" s="38"/>
      <c r="N611" s="52"/>
      <c r="O611"/>
      <c r="P611" s="38"/>
      <c r="Q611" s="38"/>
      <c r="R611" s="38"/>
      <c r="S611" s="38"/>
      <c r="T611"/>
      <c r="U611" s="53"/>
      <c r="W611"/>
      <c r="X611"/>
      <c r="Y611"/>
      <c r="AA611"/>
      <c r="AD611" s="177"/>
    </row>
    <row r="612" spans="1:30" s="54" customFormat="1" x14ac:dyDescent="0.25">
      <c r="A612"/>
      <c r="B612" s="41"/>
      <c r="C612"/>
      <c r="D612"/>
      <c r="E612" s="13"/>
      <c r="F612"/>
      <c r="G612"/>
      <c r="H612"/>
      <c r="I612" s="13"/>
      <c r="J612"/>
      <c r="K612"/>
      <c r="L612" s="38"/>
      <c r="M612" s="38"/>
      <c r="N612" s="52"/>
      <c r="O612"/>
      <c r="P612" s="38"/>
      <c r="Q612" s="38"/>
      <c r="R612" s="38"/>
      <c r="S612" s="38"/>
      <c r="T612"/>
      <c r="U612" s="53"/>
      <c r="W612"/>
      <c r="X612"/>
      <c r="Y612"/>
      <c r="AA612"/>
      <c r="AD612" s="177"/>
    </row>
    <row r="613" spans="1:30" s="54" customFormat="1" x14ac:dyDescent="0.25">
      <c r="A613"/>
      <c r="B613" s="41"/>
      <c r="C613"/>
      <c r="D613"/>
      <c r="E613" s="13"/>
      <c r="F613"/>
      <c r="G613"/>
      <c r="H613"/>
      <c r="I613" s="13"/>
      <c r="J613"/>
      <c r="K613"/>
      <c r="L613" s="38"/>
      <c r="M613" s="38"/>
      <c r="N613" s="52"/>
      <c r="O613"/>
      <c r="P613" s="38"/>
      <c r="Q613" s="38"/>
      <c r="R613" s="38"/>
      <c r="S613" s="38"/>
      <c r="T613"/>
      <c r="U613" s="53"/>
      <c r="W613"/>
      <c r="X613"/>
      <c r="Y613"/>
      <c r="AA613"/>
      <c r="AD613" s="177"/>
    </row>
    <row r="614" spans="1:30" s="54" customFormat="1" x14ac:dyDescent="0.25">
      <c r="A614"/>
      <c r="B614" s="41"/>
      <c r="C614"/>
      <c r="D614"/>
      <c r="E614" s="13"/>
      <c r="F614"/>
      <c r="G614"/>
      <c r="H614"/>
      <c r="I614" s="13"/>
      <c r="J614"/>
      <c r="K614"/>
      <c r="L614" s="38"/>
      <c r="M614" s="38"/>
      <c r="N614" s="52"/>
      <c r="O614"/>
      <c r="P614" s="38"/>
      <c r="Q614" s="38"/>
      <c r="R614" s="38"/>
      <c r="S614" s="38"/>
      <c r="T614"/>
      <c r="U614" s="53"/>
      <c r="W614"/>
      <c r="X614"/>
      <c r="Y614"/>
      <c r="AA614"/>
      <c r="AD614" s="177"/>
    </row>
    <row r="615" spans="1:30" s="54" customFormat="1" x14ac:dyDescent="0.25">
      <c r="A615"/>
      <c r="B615" s="41"/>
      <c r="C615"/>
      <c r="D615"/>
      <c r="E615" s="13"/>
      <c r="F615"/>
      <c r="G615"/>
      <c r="H615"/>
      <c r="I615" s="13"/>
      <c r="J615"/>
      <c r="K615"/>
      <c r="L615" s="38"/>
      <c r="M615" s="38"/>
      <c r="N615" s="52"/>
      <c r="O615"/>
      <c r="P615" s="38"/>
      <c r="Q615" s="38"/>
      <c r="R615" s="38"/>
      <c r="S615" s="38"/>
      <c r="T615"/>
      <c r="U615" s="53"/>
      <c r="W615"/>
      <c r="X615"/>
      <c r="Y615"/>
      <c r="AA615"/>
      <c r="AD615" s="177"/>
    </row>
    <row r="616" spans="1:30" s="54" customFormat="1" x14ac:dyDescent="0.25">
      <c r="A616"/>
      <c r="B616" s="41"/>
      <c r="C616"/>
      <c r="D616"/>
      <c r="E616" s="13"/>
      <c r="F616"/>
      <c r="G616"/>
      <c r="H616"/>
      <c r="I616" s="13"/>
      <c r="J616"/>
      <c r="K616"/>
      <c r="L616" s="38"/>
      <c r="M616" s="38"/>
      <c r="N616" s="52"/>
      <c r="O616"/>
      <c r="P616" s="38"/>
      <c r="Q616" s="38"/>
      <c r="R616" s="38"/>
      <c r="S616" s="38"/>
      <c r="T616"/>
      <c r="U616" s="53"/>
      <c r="W616"/>
      <c r="X616"/>
      <c r="Y616"/>
      <c r="AA616"/>
      <c r="AD616" s="177"/>
    </row>
    <row r="617" spans="1:30" s="54" customFormat="1" x14ac:dyDescent="0.25">
      <c r="A617"/>
      <c r="B617" s="41"/>
      <c r="C617"/>
      <c r="D617"/>
      <c r="E617" s="13"/>
      <c r="F617"/>
      <c r="G617"/>
      <c r="H617"/>
      <c r="I617" s="13"/>
      <c r="J617"/>
      <c r="K617"/>
      <c r="L617" s="38"/>
      <c r="M617" s="38"/>
      <c r="N617" s="52"/>
      <c r="O617"/>
      <c r="P617" s="38"/>
      <c r="Q617" s="38"/>
      <c r="R617" s="38"/>
      <c r="S617" s="38"/>
      <c r="T617"/>
      <c r="U617" s="53"/>
      <c r="W617"/>
      <c r="X617"/>
      <c r="Y617"/>
      <c r="AA617"/>
      <c r="AD617" s="177"/>
    </row>
    <row r="618" spans="1:30" s="54" customFormat="1" x14ac:dyDescent="0.25">
      <c r="A618"/>
      <c r="B618" s="41"/>
      <c r="C618"/>
      <c r="D618"/>
      <c r="E618" s="13"/>
      <c r="F618"/>
      <c r="G618"/>
      <c r="H618"/>
      <c r="I618" s="13"/>
      <c r="J618"/>
      <c r="K618"/>
      <c r="L618" s="38"/>
      <c r="M618" s="38"/>
      <c r="N618" s="52"/>
      <c r="O618"/>
      <c r="P618" s="38"/>
      <c r="Q618" s="38"/>
      <c r="R618" s="38"/>
      <c r="S618" s="38"/>
      <c r="T618"/>
      <c r="U618" s="53"/>
      <c r="W618"/>
      <c r="X618"/>
      <c r="Y618"/>
      <c r="AA618"/>
      <c r="AD618" s="177"/>
    </row>
    <row r="619" spans="1:30" s="54" customFormat="1" x14ac:dyDescent="0.25">
      <c r="A619"/>
      <c r="B619" s="41"/>
      <c r="C619"/>
      <c r="D619"/>
      <c r="E619" s="13"/>
      <c r="F619"/>
      <c r="G619"/>
      <c r="H619"/>
      <c r="I619" s="13"/>
      <c r="J619"/>
      <c r="K619"/>
      <c r="L619" s="38"/>
      <c r="M619" s="38"/>
      <c r="N619" s="52"/>
      <c r="O619"/>
      <c r="P619" s="38"/>
      <c r="Q619" s="38"/>
      <c r="R619" s="38"/>
      <c r="S619" s="38"/>
      <c r="T619"/>
      <c r="U619" s="53"/>
      <c r="W619"/>
      <c r="X619"/>
      <c r="Y619"/>
      <c r="AA619"/>
      <c r="AD619" s="177"/>
    </row>
    <row r="620" spans="1:30" s="54" customFormat="1" x14ac:dyDescent="0.25">
      <c r="A620"/>
      <c r="B620" s="41"/>
      <c r="C620"/>
      <c r="D620"/>
      <c r="E620" s="13"/>
      <c r="F620"/>
      <c r="G620"/>
      <c r="H620"/>
      <c r="I620" s="13"/>
      <c r="J620"/>
      <c r="K620"/>
      <c r="L620" s="38"/>
      <c r="M620" s="38"/>
      <c r="N620" s="52"/>
      <c r="O620"/>
      <c r="P620" s="38"/>
      <c r="Q620" s="38"/>
      <c r="R620" s="38"/>
      <c r="S620" s="38"/>
      <c r="T620"/>
      <c r="U620" s="53"/>
      <c r="W620"/>
      <c r="X620"/>
      <c r="Y620"/>
      <c r="AA620"/>
      <c r="AD620" s="177"/>
    </row>
    <row r="621" spans="1:30" s="54" customFormat="1" x14ac:dyDescent="0.25">
      <c r="A621"/>
      <c r="B621" s="41"/>
      <c r="C621"/>
      <c r="D621"/>
      <c r="E621" s="13"/>
      <c r="F621"/>
      <c r="G621"/>
      <c r="H621"/>
      <c r="I621" s="13"/>
      <c r="J621"/>
      <c r="K621"/>
      <c r="L621" s="38"/>
      <c r="M621" s="38"/>
      <c r="N621" s="52"/>
      <c r="O621"/>
      <c r="P621" s="38"/>
      <c r="Q621" s="38"/>
      <c r="R621" s="38"/>
      <c r="S621" s="38"/>
      <c r="T621"/>
      <c r="U621" s="53"/>
      <c r="W621"/>
      <c r="X621"/>
      <c r="Y621"/>
      <c r="AA621"/>
      <c r="AD621" s="177"/>
    </row>
    <row r="622" spans="1:30" s="54" customFormat="1" x14ac:dyDescent="0.25">
      <c r="A622"/>
      <c r="B622" s="41"/>
      <c r="C622"/>
      <c r="D622"/>
      <c r="E622" s="13"/>
      <c r="F622"/>
      <c r="G622"/>
      <c r="H622"/>
      <c r="I622" s="13"/>
      <c r="J622"/>
      <c r="K622"/>
      <c r="L622" s="38"/>
      <c r="M622" s="38"/>
      <c r="N622" s="52"/>
      <c r="O622"/>
      <c r="P622" s="38"/>
      <c r="Q622" s="38"/>
      <c r="R622" s="38"/>
      <c r="S622" s="38"/>
      <c r="T622"/>
      <c r="U622" s="53"/>
      <c r="W622"/>
      <c r="X622"/>
      <c r="Y622"/>
      <c r="AA622"/>
      <c r="AD622" s="177"/>
    </row>
    <row r="623" spans="1:30" s="54" customFormat="1" x14ac:dyDescent="0.25">
      <c r="A623"/>
      <c r="B623" s="41"/>
      <c r="C623"/>
      <c r="D623"/>
      <c r="E623" s="13"/>
      <c r="F623"/>
      <c r="G623"/>
      <c r="H623"/>
      <c r="I623" s="13"/>
      <c r="J623"/>
      <c r="K623"/>
      <c r="L623" s="38"/>
      <c r="M623" s="38"/>
      <c r="N623" s="52"/>
      <c r="O623"/>
      <c r="P623" s="38"/>
      <c r="Q623" s="38"/>
      <c r="R623" s="38"/>
      <c r="S623" s="38"/>
      <c r="T623"/>
      <c r="U623" s="53"/>
      <c r="W623"/>
      <c r="X623"/>
      <c r="Y623"/>
      <c r="AA623"/>
      <c r="AD623" s="177"/>
    </row>
    <row r="624" spans="1:30" s="54" customFormat="1" x14ac:dyDescent="0.25">
      <c r="A624"/>
      <c r="B624" s="41"/>
      <c r="C624"/>
      <c r="D624"/>
      <c r="E624" s="13"/>
      <c r="F624"/>
      <c r="G624"/>
      <c r="H624"/>
      <c r="I624" s="13"/>
      <c r="J624"/>
      <c r="K624"/>
      <c r="L624" s="38"/>
      <c r="M624" s="38"/>
      <c r="N624" s="52"/>
      <c r="O624"/>
      <c r="P624" s="38"/>
      <c r="Q624" s="38"/>
      <c r="R624" s="38"/>
      <c r="S624" s="38"/>
      <c r="T624"/>
      <c r="U624" s="53"/>
      <c r="W624"/>
      <c r="X624"/>
      <c r="Y624"/>
      <c r="AA624"/>
      <c r="AD624" s="177"/>
    </row>
    <row r="625" spans="1:30" s="54" customFormat="1" x14ac:dyDescent="0.25">
      <c r="A625"/>
      <c r="B625" s="41"/>
      <c r="C625"/>
      <c r="D625"/>
      <c r="E625" s="13"/>
      <c r="F625"/>
      <c r="G625"/>
      <c r="H625"/>
      <c r="I625" s="13"/>
      <c r="J625"/>
      <c r="K625"/>
      <c r="L625" s="38"/>
      <c r="M625" s="38"/>
      <c r="N625" s="52"/>
      <c r="O625"/>
      <c r="P625" s="38"/>
      <c r="Q625" s="38"/>
      <c r="R625" s="38"/>
      <c r="S625" s="38"/>
      <c r="T625"/>
      <c r="U625" s="53"/>
      <c r="W625"/>
      <c r="X625"/>
      <c r="Y625"/>
      <c r="AA625"/>
      <c r="AD625" s="177"/>
    </row>
    <row r="626" spans="1:30" s="54" customFormat="1" x14ac:dyDescent="0.25">
      <c r="A626"/>
      <c r="B626" s="41"/>
      <c r="C626"/>
      <c r="D626"/>
      <c r="E626" s="13"/>
      <c r="F626"/>
      <c r="G626"/>
      <c r="H626"/>
      <c r="I626" s="13"/>
      <c r="J626"/>
      <c r="K626"/>
      <c r="L626" s="38"/>
      <c r="M626" s="38"/>
      <c r="N626" s="52"/>
      <c r="O626"/>
      <c r="P626" s="38"/>
      <c r="Q626" s="38"/>
      <c r="R626" s="38"/>
      <c r="S626" s="38"/>
      <c r="T626"/>
      <c r="U626" s="53"/>
      <c r="W626"/>
      <c r="X626"/>
      <c r="Y626"/>
      <c r="AA626"/>
      <c r="AD626" s="177"/>
    </row>
    <row r="627" spans="1:30" s="54" customFormat="1" x14ac:dyDescent="0.25">
      <c r="A627"/>
      <c r="B627" s="41"/>
      <c r="C627"/>
      <c r="D627"/>
      <c r="E627" s="13"/>
      <c r="F627"/>
      <c r="G627"/>
      <c r="H627"/>
      <c r="I627" s="13"/>
      <c r="J627"/>
      <c r="K627"/>
      <c r="L627" s="38"/>
      <c r="M627" s="38"/>
      <c r="N627" s="52"/>
      <c r="O627"/>
      <c r="P627" s="38"/>
      <c r="Q627" s="38"/>
      <c r="R627" s="38"/>
      <c r="S627" s="38"/>
      <c r="T627"/>
      <c r="U627" s="53"/>
      <c r="W627"/>
      <c r="X627"/>
      <c r="Y627"/>
      <c r="AA627"/>
      <c r="AD627" s="177"/>
    </row>
    <row r="628" spans="1:30" s="54" customFormat="1" x14ac:dyDescent="0.25">
      <c r="A628"/>
      <c r="B628" s="41"/>
      <c r="C628"/>
      <c r="D628"/>
      <c r="E628" s="13"/>
      <c r="F628"/>
      <c r="G628"/>
      <c r="H628"/>
      <c r="I628" s="13"/>
      <c r="J628"/>
      <c r="K628"/>
      <c r="L628" s="38"/>
      <c r="M628" s="38"/>
      <c r="N628" s="52"/>
      <c r="O628"/>
      <c r="P628" s="38"/>
      <c r="Q628" s="38"/>
      <c r="R628" s="38"/>
      <c r="S628" s="38"/>
      <c r="T628"/>
      <c r="U628" s="53"/>
      <c r="W628"/>
      <c r="X628"/>
      <c r="Y628"/>
      <c r="AA628"/>
      <c r="AD628" s="177"/>
    </row>
    <row r="629" spans="1:30" s="54" customFormat="1" x14ac:dyDescent="0.25">
      <c r="A629"/>
      <c r="B629" s="41"/>
      <c r="C629"/>
      <c r="D629"/>
      <c r="E629" s="13"/>
      <c r="F629"/>
      <c r="G629"/>
      <c r="H629"/>
      <c r="I629" s="13"/>
      <c r="J629"/>
      <c r="K629"/>
      <c r="L629" s="38"/>
      <c r="M629" s="38"/>
      <c r="N629" s="52"/>
      <c r="O629"/>
      <c r="P629" s="38"/>
      <c r="Q629" s="38"/>
      <c r="R629" s="38"/>
      <c r="S629" s="38"/>
      <c r="T629"/>
      <c r="U629" s="53"/>
      <c r="W629"/>
      <c r="X629"/>
      <c r="Y629"/>
      <c r="AA629"/>
      <c r="AD629" s="177"/>
    </row>
    <row r="630" spans="1:30" s="54" customFormat="1" x14ac:dyDescent="0.25">
      <c r="A630"/>
      <c r="B630" s="41"/>
      <c r="C630"/>
      <c r="D630"/>
      <c r="E630" s="13"/>
      <c r="F630"/>
      <c r="G630"/>
      <c r="H630"/>
      <c r="I630" s="13"/>
      <c r="J630"/>
      <c r="K630"/>
      <c r="L630" s="38"/>
      <c r="M630" s="38"/>
      <c r="N630" s="52"/>
      <c r="O630"/>
      <c r="P630" s="38"/>
      <c r="Q630" s="38"/>
      <c r="R630" s="38"/>
      <c r="S630" s="38"/>
      <c r="T630"/>
      <c r="U630" s="53"/>
      <c r="W630"/>
      <c r="X630"/>
      <c r="Y630"/>
      <c r="AA630"/>
      <c r="AD630" s="177"/>
    </row>
    <row r="631" spans="1:30" s="54" customFormat="1" x14ac:dyDescent="0.25">
      <c r="A631"/>
      <c r="B631" s="41"/>
      <c r="C631"/>
      <c r="D631"/>
      <c r="E631" s="13"/>
      <c r="F631"/>
      <c r="G631"/>
      <c r="H631"/>
      <c r="I631" s="13"/>
      <c r="J631"/>
      <c r="K631"/>
      <c r="L631" s="38"/>
      <c r="M631" s="38"/>
      <c r="N631" s="52"/>
      <c r="O631"/>
      <c r="P631" s="38"/>
      <c r="Q631" s="38"/>
      <c r="R631" s="38"/>
      <c r="S631" s="38"/>
      <c r="T631"/>
      <c r="U631" s="53"/>
      <c r="W631"/>
      <c r="X631"/>
      <c r="Y631"/>
      <c r="AA631"/>
      <c r="AD631" s="177"/>
    </row>
    <row r="632" spans="1:30" s="54" customFormat="1" x14ac:dyDescent="0.25">
      <c r="A632"/>
      <c r="B632" s="41"/>
      <c r="C632"/>
      <c r="D632"/>
      <c r="E632" s="13"/>
      <c r="F632"/>
      <c r="G632"/>
      <c r="H632"/>
      <c r="I632" s="13"/>
      <c r="J632"/>
      <c r="K632"/>
      <c r="L632" s="38"/>
      <c r="M632" s="38"/>
      <c r="N632" s="52"/>
      <c r="O632"/>
      <c r="P632" s="38"/>
      <c r="Q632" s="38"/>
      <c r="R632" s="38"/>
      <c r="S632" s="38"/>
      <c r="T632"/>
      <c r="U632" s="53"/>
      <c r="W632"/>
      <c r="X632"/>
      <c r="Y632"/>
      <c r="AA632"/>
      <c r="AD632" s="177"/>
    </row>
    <row r="633" spans="1:30" s="54" customFormat="1" x14ac:dyDescent="0.25">
      <c r="A633"/>
      <c r="B633" s="41"/>
      <c r="C633"/>
      <c r="D633"/>
      <c r="E633" s="13"/>
      <c r="F633"/>
      <c r="G633"/>
      <c r="H633"/>
      <c r="I633" s="13"/>
      <c r="J633"/>
      <c r="K633"/>
      <c r="L633" s="38"/>
      <c r="M633" s="38"/>
      <c r="N633" s="52"/>
      <c r="O633"/>
      <c r="P633" s="38"/>
      <c r="Q633" s="38"/>
      <c r="R633" s="38"/>
      <c r="S633" s="38"/>
      <c r="T633"/>
      <c r="U633" s="53"/>
      <c r="W633"/>
      <c r="X633"/>
      <c r="Y633"/>
      <c r="AA633"/>
      <c r="AD633" s="177"/>
    </row>
    <row r="634" spans="1:30" s="54" customFormat="1" x14ac:dyDescent="0.25">
      <c r="A634"/>
      <c r="B634" s="41"/>
      <c r="C634"/>
      <c r="D634"/>
      <c r="E634" s="13"/>
      <c r="F634"/>
      <c r="G634"/>
      <c r="H634"/>
      <c r="I634" s="13"/>
      <c r="J634"/>
      <c r="K634"/>
      <c r="L634" s="38"/>
      <c r="M634" s="38"/>
      <c r="N634" s="52"/>
      <c r="O634"/>
      <c r="P634" s="38"/>
      <c r="Q634" s="38"/>
      <c r="R634" s="38"/>
      <c r="S634" s="38"/>
      <c r="T634"/>
      <c r="U634" s="53"/>
      <c r="W634"/>
      <c r="X634"/>
      <c r="Y634"/>
      <c r="AA634"/>
      <c r="AD634" s="177"/>
    </row>
    <row r="635" spans="1:30" s="54" customFormat="1" x14ac:dyDescent="0.25">
      <c r="A635"/>
      <c r="B635" s="41"/>
      <c r="C635"/>
      <c r="D635"/>
      <c r="E635" s="13"/>
      <c r="F635"/>
      <c r="G635"/>
      <c r="H635"/>
      <c r="I635" s="13"/>
      <c r="J635"/>
      <c r="K635"/>
      <c r="L635" s="38"/>
      <c r="M635" s="38"/>
      <c r="N635" s="52"/>
      <c r="O635"/>
      <c r="P635" s="38"/>
      <c r="Q635" s="38"/>
      <c r="R635" s="38"/>
      <c r="S635" s="38"/>
      <c r="T635"/>
      <c r="U635" s="53"/>
      <c r="W635"/>
      <c r="X635"/>
      <c r="Y635"/>
      <c r="AA635"/>
      <c r="AD635" s="177"/>
    </row>
    <row r="636" spans="1:30" s="54" customFormat="1" x14ac:dyDescent="0.25">
      <c r="A636"/>
      <c r="B636" s="41"/>
      <c r="C636"/>
      <c r="D636"/>
      <c r="E636" s="13"/>
      <c r="F636"/>
      <c r="G636"/>
      <c r="H636"/>
      <c r="I636" s="13"/>
      <c r="J636"/>
      <c r="K636"/>
      <c r="L636" s="38"/>
      <c r="M636" s="38"/>
      <c r="N636" s="52"/>
      <c r="O636"/>
      <c r="P636" s="38"/>
      <c r="Q636" s="38"/>
      <c r="R636" s="38"/>
      <c r="S636" s="38"/>
      <c r="T636"/>
      <c r="U636" s="53"/>
      <c r="W636"/>
      <c r="X636"/>
      <c r="Y636"/>
      <c r="AA636"/>
      <c r="AD636" s="177"/>
    </row>
    <row r="637" spans="1:30" s="54" customFormat="1" x14ac:dyDescent="0.25">
      <c r="A637"/>
      <c r="B637" s="41"/>
      <c r="C637"/>
      <c r="D637"/>
      <c r="E637" s="13"/>
      <c r="F637"/>
      <c r="G637"/>
      <c r="H637"/>
      <c r="I637" s="13"/>
      <c r="J637"/>
      <c r="K637"/>
      <c r="L637" s="38"/>
      <c r="M637" s="38"/>
      <c r="N637" s="52"/>
      <c r="O637"/>
      <c r="P637" s="38"/>
      <c r="Q637" s="38"/>
      <c r="R637" s="38"/>
      <c r="S637" s="38"/>
      <c r="T637"/>
      <c r="U637" s="53"/>
      <c r="W637"/>
      <c r="X637"/>
      <c r="Y637"/>
      <c r="AA637"/>
      <c r="AD637" s="177"/>
    </row>
    <row r="638" spans="1:30" s="54" customFormat="1" x14ac:dyDescent="0.25">
      <c r="A638"/>
      <c r="B638" s="41"/>
      <c r="C638"/>
      <c r="D638"/>
      <c r="E638" s="13"/>
      <c r="F638"/>
      <c r="G638"/>
      <c r="H638"/>
      <c r="I638" s="13"/>
      <c r="J638"/>
      <c r="K638"/>
      <c r="L638" s="38"/>
      <c r="M638" s="38"/>
      <c r="N638" s="52"/>
      <c r="O638"/>
      <c r="P638" s="38"/>
      <c r="Q638" s="38"/>
      <c r="R638" s="38"/>
      <c r="S638" s="38"/>
      <c r="T638"/>
      <c r="U638" s="53"/>
      <c r="W638"/>
      <c r="X638"/>
      <c r="Y638"/>
      <c r="AA638"/>
      <c r="AD638" s="177"/>
    </row>
    <row r="639" spans="1:30" s="54" customFormat="1" x14ac:dyDescent="0.25">
      <c r="A639"/>
      <c r="B639" s="41"/>
      <c r="C639"/>
      <c r="D639"/>
      <c r="E639" s="13"/>
      <c r="F639"/>
      <c r="G639"/>
      <c r="H639"/>
      <c r="I639" s="13"/>
      <c r="J639"/>
      <c r="K639"/>
      <c r="L639" s="38"/>
      <c r="M639" s="38"/>
      <c r="N639" s="52"/>
      <c r="O639"/>
      <c r="P639" s="38"/>
      <c r="Q639" s="38"/>
      <c r="R639" s="38"/>
      <c r="S639" s="38"/>
      <c r="T639"/>
      <c r="U639" s="53"/>
      <c r="W639"/>
      <c r="X639"/>
      <c r="Y639"/>
      <c r="AA639"/>
      <c r="AD639" s="177"/>
    </row>
    <row r="640" spans="1:30" s="54" customFormat="1" x14ac:dyDescent="0.25">
      <c r="A640"/>
      <c r="B640" s="41"/>
      <c r="C640"/>
      <c r="D640"/>
      <c r="E640" s="13"/>
      <c r="F640"/>
      <c r="G640"/>
      <c r="H640"/>
      <c r="I640" s="13"/>
      <c r="J640"/>
      <c r="K640"/>
      <c r="L640" s="38"/>
      <c r="M640" s="38"/>
      <c r="N640" s="52"/>
      <c r="O640"/>
      <c r="P640" s="38"/>
      <c r="Q640" s="38"/>
      <c r="R640" s="38"/>
      <c r="S640" s="38"/>
      <c r="T640"/>
      <c r="U640" s="53"/>
      <c r="W640"/>
      <c r="X640"/>
      <c r="Y640"/>
      <c r="AA640"/>
      <c r="AD640" s="177"/>
    </row>
    <row r="641" spans="1:30" s="54" customFormat="1" x14ac:dyDescent="0.25">
      <c r="A641"/>
      <c r="B641" s="41"/>
      <c r="C641"/>
      <c r="D641"/>
      <c r="E641" s="13"/>
      <c r="F641"/>
      <c r="G641"/>
      <c r="H641"/>
      <c r="I641" s="13"/>
      <c r="J641"/>
      <c r="K641"/>
      <c r="L641" s="38"/>
      <c r="M641" s="38"/>
      <c r="N641" s="52"/>
      <c r="O641"/>
      <c r="P641" s="38"/>
      <c r="Q641" s="38"/>
      <c r="R641" s="38"/>
      <c r="S641" s="38"/>
      <c r="T641"/>
      <c r="U641" s="53"/>
      <c r="W641"/>
      <c r="X641"/>
      <c r="Y641"/>
      <c r="AA641"/>
      <c r="AD641" s="177"/>
    </row>
    <row r="642" spans="1:30" s="54" customFormat="1" x14ac:dyDescent="0.25">
      <c r="A642"/>
      <c r="B642" s="41"/>
      <c r="C642"/>
      <c r="D642"/>
      <c r="E642" s="13"/>
      <c r="F642"/>
      <c r="G642"/>
      <c r="H642"/>
      <c r="I642" s="13"/>
      <c r="J642"/>
      <c r="K642"/>
      <c r="L642" s="38"/>
      <c r="M642" s="38"/>
      <c r="N642" s="52"/>
      <c r="O642"/>
      <c r="P642" s="38"/>
      <c r="Q642" s="38"/>
      <c r="R642" s="38"/>
      <c r="S642" s="38"/>
      <c r="T642"/>
      <c r="U642" s="53"/>
      <c r="W642"/>
      <c r="X642"/>
      <c r="Y642"/>
      <c r="AA642"/>
      <c r="AD642" s="177"/>
    </row>
    <row r="643" spans="1:30" s="54" customFormat="1" x14ac:dyDescent="0.25">
      <c r="A643"/>
      <c r="B643" s="41"/>
      <c r="C643"/>
      <c r="D643"/>
      <c r="E643" s="13"/>
      <c r="F643"/>
      <c r="G643"/>
      <c r="H643"/>
      <c r="I643" s="13"/>
      <c r="J643"/>
      <c r="K643"/>
      <c r="L643" s="38"/>
      <c r="M643" s="38"/>
      <c r="N643" s="52"/>
      <c r="O643"/>
      <c r="P643" s="38"/>
      <c r="Q643" s="38"/>
      <c r="R643" s="38"/>
      <c r="S643" s="38"/>
      <c r="T643"/>
      <c r="U643" s="53"/>
      <c r="W643"/>
      <c r="X643"/>
      <c r="Y643"/>
      <c r="AA643"/>
      <c r="AD643" s="177"/>
    </row>
    <row r="644" spans="1:30" s="54" customFormat="1" x14ac:dyDescent="0.25">
      <c r="A644"/>
      <c r="B644" s="41"/>
      <c r="C644"/>
      <c r="D644"/>
      <c r="E644" s="13"/>
      <c r="F644"/>
      <c r="G644"/>
      <c r="H644"/>
      <c r="I644" s="13"/>
      <c r="J644"/>
      <c r="K644"/>
      <c r="L644" s="38"/>
      <c r="M644" s="38"/>
      <c r="N644" s="52"/>
      <c r="O644"/>
      <c r="P644" s="38"/>
      <c r="Q644" s="38"/>
      <c r="R644" s="38"/>
      <c r="S644" s="38"/>
      <c r="T644"/>
      <c r="U644" s="53"/>
      <c r="W644"/>
      <c r="X644"/>
      <c r="Y644"/>
      <c r="AA644"/>
      <c r="AD644" s="177"/>
    </row>
    <row r="645" spans="1:30" s="54" customFormat="1" x14ac:dyDescent="0.25">
      <c r="A645"/>
      <c r="B645" s="41"/>
      <c r="C645"/>
      <c r="D645"/>
      <c r="E645" s="13"/>
      <c r="F645"/>
      <c r="G645"/>
      <c r="H645"/>
      <c r="I645" s="13"/>
      <c r="J645"/>
      <c r="K645"/>
      <c r="L645" s="38"/>
      <c r="M645" s="38"/>
      <c r="N645" s="52"/>
      <c r="O645"/>
      <c r="P645" s="38"/>
      <c r="Q645" s="38"/>
      <c r="R645" s="38"/>
      <c r="S645" s="38"/>
      <c r="T645"/>
      <c r="U645" s="53"/>
      <c r="W645"/>
      <c r="X645"/>
      <c r="Y645"/>
      <c r="AA645"/>
      <c r="AD645" s="177"/>
    </row>
    <row r="646" spans="1:30" s="54" customFormat="1" x14ac:dyDescent="0.25">
      <c r="A646"/>
      <c r="B646" s="41"/>
      <c r="C646"/>
      <c r="D646"/>
      <c r="E646" s="13"/>
      <c r="F646"/>
      <c r="G646"/>
      <c r="H646"/>
      <c r="I646" s="13"/>
      <c r="J646"/>
      <c r="K646"/>
      <c r="L646" s="38"/>
      <c r="M646" s="38"/>
      <c r="N646" s="52"/>
      <c r="O646"/>
      <c r="P646" s="38"/>
      <c r="Q646" s="38"/>
      <c r="R646" s="38"/>
      <c r="S646" s="38"/>
      <c r="T646"/>
      <c r="U646" s="53"/>
      <c r="W646"/>
      <c r="X646"/>
      <c r="Y646"/>
      <c r="AA646"/>
      <c r="AD646" s="177"/>
    </row>
    <row r="647" spans="1:30" s="54" customFormat="1" x14ac:dyDescent="0.25">
      <c r="A647"/>
      <c r="B647" s="41"/>
      <c r="C647"/>
      <c r="D647"/>
      <c r="E647" s="13"/>
      <c r="F647"/>
      <c r="G647"/>
      <c r="H647"/>
      <c r="I647" s="13"/>
      <c r="J647"/>
      <c r="K647"/>
      <c r="L647" s="38"/>
      <c r="M647" s="38"/>
      <c r="N647" s="52"/>
      <c r="O647"/>
      <c r="P647" s="38"/>
      <c r="Q647" s="38"/>
      <c r="R647" s="38"/>
      <c r="S647" s="38"/>
      <c r="T647"/>
      <c r="U647" s="53"/>
      <c r="W647"/>
      <c r="X647"/>
      <c r="Y647"/>
      <c r="AA647"/>
      <c r="AD647" s="177"/>
    </row>
    <row r="648" spans="1:30" s="54" customFormat="1" x14ac:dyDescent="0.25">
      <c r="A648"/>
      <c r="B648" s="41"/>
      <c r="C648"/>
      <c r="D648"/>
      <c r="E648" s="13"/>
      <c r="F648"/>
      <c r="G648"/>
      <c r="H648"/>
      <c r="I648" s="13"/>
      <c r="J648"/>
      <c r="K648"/>
      <c r="L648" s="38"/>
      <c r="M648" s="38"/>
      <c r="N648" s="52"/>
      <c r="O648"/>
      <c r="P648" s="38"/>
      <c r="Q648" s="38"/>
      <c r="R648" s="38"/>
      <c r="S648" s="38"/>
      <c r="T648"/>
      <c r="U648" s="53"/>
      <c r="W648"/>
      <c r="X648"/>
      <c r="Y648"/>
      <c r="AA648"/>
      <c r="AD648" s="177"/>
    </row>
    <row r="649" spans="1:30" s="54" customFormat="1" x14ac:dyDescent="0.25">
      <c r="A649"/>
      <c r="B649" s="41"/>
      <c r="C649"/>
      <c r="D649"/>
      <c r="E649" s="13"/>
      <c r="F649"/>
      <c r="G649"/>
      <c r="H649"/>
      <c r="I649" s="13"/>
      <c r="J649"/>
      <c r="K649"/>
      <c r="L649" s="38"/>
      <c r="M649" s="38"/>
      <c r="N649" s="52"/>
      <c r="O649"/>
      <c r="P649" s="38"/>
      <c r="Q649" s="38"/>
      <c r="R649" s="38"/>
      <c r="S649" s="38"/>
      <c r="T649"/>
      <c r="U649" s="53"/>
      <c r="W649"/>
      <c r="X649"/>
      <c r="Y649"/>
      <c r="AA649"/>
      <c r="AD649" s="177"/>
    </row>
    <row r="650" spans="1:30" s="54" customFormat="1" x14ac:dyDescent="0.25">
      <c r="A650"/>
      <c r="B650" s="41"/>
      <c r="C650"/>
      <c r="D650"/>
      <c r="E650" s="13"/>
      <c r="F650"/>
      <c r="G650"/>
      <c r="H650"/>
      <c r="I650" s="13"/>
      <c r="J650"/>
      <c r="K650"/>
      <c r="L650" s="38"/>
      <c r="M650" s="38"/>
      <c r="N650" s="52"/>
      <c r="O650"/>
      <c r="P650" s="38"/>
      <c r="Q650" s="38"/>
      <c r="R650" s="38"/>
      <c r="S650" s="38"/>
      <c r="T650"/>
      <c r="U650" s="53"/>
      <c r="W650"/>
      <c r="X650"/>
      <c r="Y650"/>
      <c r="AA650"/>
      <c r="AD650" s="177"/>
    </row>
    <row r="651" spans="1:30" s="54" customFormat="1" x14ac:dyDescent="0.25">
      <c r="A651"/>
      <c r="B651" s="41"/>
      <c r="C651"/>
      <c r="D651"/>
      <c r="E651" s="13"/>
      <c r="F651"/>
      <c r="G651"/>
      <c r="H651"/>
      <c r="I651" s="13"/>
      <c r="J651"/>
      <c r="K651"/>
      <c r="L651" s="38"/>
      <c r="M651" s="38"/>
      <c r="N651" s="52"/>
      <c r="O651"/>
      <c r="P651" s="38"/>
      <c r="Q651" s="38"/>
      <c r="R651" s="38"/>
      <c r="S651" s="38"/>
      <c r="T651"/>
      <c r="U651" s="53"/>
      <c r="W651"/>
      <c r="X651"/>
      <c r="Y651"/>
      <c r="AA651"/>
      <c r="AD651" s="177"/>
    </row>
    <row r="652" spans="1:30" s="54" customFormat="1" x14ac:dyDescent="0.25">
      <c r="A652"/>
      <c r="B652" s="41"/>
      <c r="C652"/>
      <c r="D652"/>
      <c r="E652" s="13"/>
      <c r="F652"/>
      <c r="G652"/>
      <c r="H652"/>
      <c r="I652" s="13"/>
      <c r="J652"/>
      <c r="K652"/>
      <c r="L652" s="38"/>
      <c r="M652" s="38"/>
      <c r="N652" s="52"/>
      <c r="O652"/>
      <c r="P652" s="38"/>
      <c r="Q652" s="38"/>
      <c r="R652" s="38"/>
      <c r="S652" s="38"/>
      <c r="T652"/>
      <c r="U652" s="53"/>
      <c r="W652"/>
      <c r="X652"/>
      <c r="Y652"/>
      <c r="AA652"/>
      <c r="AD652" s="177"/>
    </row>
    <row r="653" spans="1:30" s="54" customFormat="1" x14ac:dyDescent="0.25">
      <c r="A653"/>
      <c r="B653" s="41"/>
      <c r="C653"/>
      <c r="D653"/>
      <c r="E653" s="13"/>
      <c r="F653"/>
      <c r="G653"/>
      <c r="H653"/>
      <c r="I653" s="13"/>
      <c r="J653"/>
      <c r="K653"/>
      <c r="L653" s="38"/>
      <c r="M653" s="38"/>
      <c r="N653" s="52"/>
      <c r="O653"/>
      <c r="P653" s="38"/>
      <c r="Q653" s="38"/>
      <c r="R653" s="38"/>
      <c r="S653" s="38"/>
      <c r="T653"/>
      <c r="U653" s="53"/>
      <c r="W653"/>
      <c r="X653"/>
      <c r="Y653"/>
      <c r="AA653"/>
      <c r="AD653" s="177"/>
    </row>
    <row r="654" spans="1:30" s="54" customFormat="1" x14ac:dyDescent="0.25">
      <c r="A654"/>
      <c r="B654" s="41"/>
      <c r="C654"/>
      <c r="D654"/>
      <c r="E654" s="13"/>
      <c r="F654"/>
      <c r="G654"/>
      <c r="H654"/>
      <c r="I654" s="13"/>
      <c r="J654"/>
      <c r="K654"/>
      <c r="L654" s="38"/>
      <c r="M654" s="38"/>
      <c r="N654" s="52"/>
      <c r="O654"/>
      <c r="P654" s="38"/>
      <c r="Q654" s="38"/>
      <c r="R654" s="38"/>
      <c r="S654" s="38"/>
      <c r="T654"/>
      <c r="U654" s="53"/>
      <c r="W654"/>
      <c r="X654"/>
      <c r="Y654"/>
      <c r="AA654"/>
      <c r="AD654" s="177"/>
    </row>
    <row r="655" spans="1:30" s="54" customFormat="1" x14ac:dyDescent="0.25">
      <c r="A655"/>
      <c r="B655" s="41"/>
      <c r="C655"/>
      <c r="D655"/>
      <c r="E655" s="13"/>
      <c r="F655"/>
      <c r="G655"/>
      <c r="H655"/>
      <c r="I655" s="13"/>
      <c r="J655"/>
      <c r="K655"/>
      <c r="L655" s="38"/>
      <c r="M655" s="38"/>
      <c r="N655" s="52"/>
      <c r="O655"/>
      <c r="P655" s="38"/>
      <c r="Q655" s="38"/>
      <c r="R655" s="38"/>
      <c r="S655" s="38"/>
      <c r="T655"/>
      <c r="U655" s="53"/>
      <c r="W655"/>
      <c r="X655"/>
      <c r="Y655"/>
      <c r="AA655"/>
      <c r="AD655" s="177"/>
    </row>
    <row r="656" spans="1:30" s="54" customFormat="1" x14ac:dyDescent="0.25">
      <c r="A656"/>
      <c r="B656" s="41"/>
      <c r="C656"/>
      <c r="D656"/>
      <c r="E656" s="13"/>
      <c r="F656"/>
      <c r="G656"/>
      <c r="H656"/>
      <c r="I656" s="13"/>
      <c r="J656"/>
      <c r="K656"/>
      <c r="L656" s="38"/>
      <c r="M656" s="38"/>
      <c r="N656" s="52"/>
      <c r="O656"/>
      <c r="P656" s="38"/>
      <c r="Q656" s="38"/>
      <c r="R656" s="38"/>
      <c r="S656" s="38"/>
      <c r="T656"/>
      <c r="U656" s="53"/>
      <c r="W656"/>
      <c r="X656"/>
      <c r="Y656"/>
      <c r="AA656"/>
      <c r="AD656" s="177"/>
    </row>
    <row r="657" spans="1:30" s="54" customFormat="1" x14ac:dyDescent="0.25">
      <c r="A657"/>
      <c r="B657" s="41"/>
      <c r="C657"/>
      <c r="D657"/>
      <c r="E657" s="13"/>
      <c r="F657"/>
      <c r="G657"/>
      <c r="H657"/>
      <c r="I657" s="13"/>
      <c r="J657"/>
      <c r="K657"/>
      <c r="L657" s="38"/>
      <c r="M657" s="38"/>
      <c r="N657" s="52"/>
      <c r="O657"/>
      <c r="P657" s="38"/>
      <c r="Q657" s="38"/>
      <c r="R657" s="38"/>
      <c r="S657" s="38"/>
      <c r="T657"/>
      <c r="U657" s="53"/>
      <c r="W657"/>
      <c r="X657"/>
      <c r="Y657"/>
      <c r="AA657"/>
      <c r="AD657" s="177"/>
    </row>
    <row r="658" spans="1:30" s="54" customFormat="1" x14ac:dyDescent="0.25">
      <c r="A658"/>
      <c r="B658" s="41"/>
      <c r="C658"/>
      <c r="D658"/>
      <c r="E658" s="13"/>
      <c r="F658"/>
      <c r="G658"/>
      <c r="H658"/>
      <c r="I658" s="13"/>
      <c r="J658"/>
      <c r="K658"/>
      <c r="L658" s="38"/>
      <c r="M658" s="38"/>
      <c r="N658" s="52"/>
      <c r="O658"/>
      <c r="P658" s="38"/>
      <c r="Q658" s="38"/>
      <c r="R658" s="38"/>
      <c r="S658" s="38"/>
      <c r="T658"/>
      <c r="U658" s="53"/>
      <c r="W658"/>
      <c r="X658"/>
      <c r="Y658"/>
      <c r="AA658"/>
      <c r="AD658" s="177"/>
    </row>
    <row r="659" spans="1:30" s="54" customFormat="1" x14ac:dyDescent="0.25">
      <c r="A659"/>
      <c r="B659" s="41"/>
      <c r="C659"/>
      <c r="D659"/>
      <c r="E659" s="13"/>
      <c r="F659"/>
      <c r="G659"/>
      <c r="H659"/>
      <c r="I659" s="13"/>
      <c r="J659"/>
      <c r="K659"/>
      <c r="L659" s="38"/>
      <c r="M659" s="38"/>
      <c r="N659" s="52"/>
      <c r="O659"/>
      <c r="P659" s="38"/>
      <c r="Q659" s="38"/>
      <c r="R659" s="38"/>
      <c r="S659" s="38"/>
      <c r="T659"/>
      <c r="U659" s="53"/>
      <c r="W659"/>
      <c r="X659"/>
      <c r="Y659"/>
      <c r="AA659"/>
      <c r="AD659" s="177"/>
    </row>
    <row r="660" spans="1:30" s="54" customFormat="1" x14ac:dyDescent="0.25">
      <c r="A660"/>
      <c r="B660" s="41"/>
      <c r="C660"/>
      <c r="D660"/>
      <c r="E660" s="13"/>
      <c r="F660"/>
      <c r="G660"/>
      <c r="H660"/>
      <c r="I660" s="13"/>
      <c r="J660"/>
      <c r="K660"/>
      <c r="L660" s="38"/>
      <c r="M660" s="38"/>
      <c r="N660" s="52"/>
      <c r="O660"/>
      <c r="P660" s="38"/>
      <c r="Q660" s="38"/>
      <c r="R660" s="38"/>
      <c r="S660" s="38"/>
      <c r="T660"/>
      <c r="U660" s="53"/>
      <c r="W660"/>
      <c r="X660"/>
      <c r="Y660"/>
      <c r="AA660"/>
      <c r="AD660" s="177"/>
    </row>
    <row r="661" spans="1:30" s="54" customFormat="1" x14ac:dyDescent="0.25">
      <c r="A661"/>
      <c r="B661" s="41"/>
      <c r="C661"/>
      <c r="D661"/>
      <c r="E661" s="13"/>
      <c r="F661"/>
      <c r="G661"/>
      <c r="H661"/>
      <c r="I661" s="13"/>
      <c r="J661"/>
      <c r="K661"/>
      <c r="L661" s="38"/>
      <c r="M661" s="38"/>
      <c r="N661" s="52"/>
      <c r="O661"/>
      <c r="P661" s="38"/>
      <c r="Q661" s="38"/>
      <c r="R661" s="38"/>
      <c r="S661" s="38"/>
      <c r="T661"/>
      <c r="U661" s="53"/>
      <c r="W661"/>
      <c r="X661"/>
      <c r="Y661"/>
      <c r="AA661"/>
      <c r="AD661" s="177"/>
    </row>
    <row r="662" spans="1:30" s="54" customFormat="1" x14ac:dyDescent="0.25">
      <c r="A662"/>
      <c r="B662" s="41"/>
      <c r="C662"/>
      <c r="D662"/>
      <c r="E662" s="13"/>
      <c r="F662"/>
      <c r="G662"/>
      <c r="H662"/>
      <c r="I662" s="13"/>
      <c r="J662"/>
      <c r="K662"/>
      <c r="L662" s="38"/>
      <c r="M662" s="38"/>
      <c r="N662" s="52"/>
      <c r="O662"/>
      <c r="P662" s="38"/>
      <c r="Q662" s="38"/>
      <c r="R662" s="38"/>
      <c r="S662" s="38"/>
      <c r="T662"/>
      <c r="U662" s="53"/>
      <c r="W662"/>
      <c r="X662"/>
      <c r="Y662"/>
      <c r="AA662"/>
      <c r="AD662" s="177"/>
    </row>
    <row r="663" spans="1:30" s="54" customFormat="1" x14ac:dyDescent="0.25">
      <c r="A663"/>
      <c r="B663" s="41"/>
      <c r="C663"/>
      <c r="D663"/>
      <c r="E663" s="13"/>
      <c r="F663"/>
      <c r="G663"/>
      <c r="H663"/>
      <c r="I663" s="13"/>
      <c r="J663"/>
      <c r="K663"/>
      <c r="L663" s="38"/>
      <c r="M663" s="38"/>
      <c r="N663" s="52"/>
      <c r="O663"/>
      <c r="P663" s="38"/>
      <c r="Q663" s="38"/>
      <c r="R663" s="38"/>
      <c r="S663" s="38"/>
      <c r="T663"/>
      <c r="U663" s="53"/>
      <c r="W663"/>
      <c r="X663"/>
      <c r="Y663"/>
      <c r="AA663"/>
      <c r="AD663" s="177"/>
    </row>
    <row r="664" spans="1:30" s="54" customFormat="1" x14ac:dyDescent="0.25">
      <c r="A664"/>
      <c r="B664" s="41"/>
      <c r="C664"/>
      <c r="D664"/>
      <c r="E664" s="13"/>
      <c r="F664"/>
      <c r="G664"/>
      <c r="H664"/>
      <c r="I664" s="13"/>
      <c r="J664"/>
      <c r="K664"/>
      <c r="L664" s="38"/>
      <c r="M664" s="38"/>
      <c r="N664" s="52"/>
      <c r="O664"/>
      <c r="P664" s="38"/>
      <c r="Q664" s="38"/>
      <c r="R664" s="38"/>
      <c r="S664" s="38"/>
      <c r="T664"/>
      <c r="U664" s="53"/>
      <c r="W664"/>
      <c r="X664"/>
      <c r="Y664"/>
      <c r="AA664"/>
      <c r="AD664" s="177"/>
    </row>
    <row r="665" spans="1:30" s="54" customFormat="1" x14ac:dyDescent="0.25">
      <c r="A665"/>
      <c r="B665" s="41"/>
      <c r="C665"/>
      <c r="D665"/>
      <c r="E665" s="13"/>
      <c r="F665"/>
      <c r="G665"/>
      <c r="H665"/>
      <c r="I665" s="13"/>
      <c r="J665"/>
      <c r="K665"/>
      <c r="L665" s="38"/>
      <c r="M665" s="38"/>
      <c r="N665" s="52"/>
      <c r="O665"/>
      <c r="P665" s="38"/>
      <c r="Q665" s="38"/>
      <c r="R665" s="38"/>
      <c r="S665" s="38"/>
      <c r="T665"/>
      <c r="U665" s="53"/>
      <c r="W665"/>
      <c r="X665"/>
      <c r="Y665"/>
      <c r="AA665"/>
      <c r="AD665" s="177"/>
    </row>
    <row r="666" spans="1:30" s="54" customFormat="1" x14ac:dyDescent="0.25">
      <c r="A666"/>
      <c r="B666" s="41"/>
      <c r="C666"/>
      <c r="D666"/>
      <c r="E666" s="13"/>
      <c r="F666"/>
      <c r="G666"/>
      <c r="H666"/>
      <c r="I666" s="13"/>
      <c r="J666"/>
      <c r="K666"/>
      <c r="L666" s="38"/>
      <c r="M666" s="38"/>
      <c r="N666" s="52"/>
      <c r="O666"/>
      <c r="P666" s="38"/>
      <c r="Q666" s="38"/>
      <c r="R666" s="38"/>
      <c r="S666" s="38"/>
      <c r="T666"/>
      <c r="U666" s="53"/>
      <c r="W666"/>
      <c r="X666"/>
      <c r="Y666"/>
      <c r="AA666"/>
      <c r="AD666" s="177"/>
    </row>
    <row r="667" spans="1:30" s="54" customFormat="1" x14ac:dyDescent="0.25">
      <c r="A667"/>
      <c r="B667" s="41"/>
      <c r="C667"/>
      <c r="D667"/>
      <c r="E667" s="13"/>
      <c r="F667"/>
      <c r="G667"/>
      <c r="H667"/>
      <c r="I667" s="13"/>
      <c r="J667"/>
      <c r="K667"/>
      <c r="L667" s="38"/>
      <c r="M667" s="38"/>
      <c r="N667" s="52"/>
      <c r="O667"/>
      <c r="P667" s="38"/>
      <c r="Q667" s="38"/>
      <c r="R667" s="38"/>
      <c r="S667" s="38"/>
      <c r="T667"/>
      <c r="U667" s="53"/>
      <c r="W667"/>
      <c r="X667"/>
      <c r="Y667"/>
      <c r="AA667"/>
      <c r="AD667" s="177"/>
    </row>
    <row r="668" spans="1:30" s="54" customFormat="1" x14ac:dyDescent="0.25">
      <c r="A668"/>
      <c r="B668" s="41"/>
      <c r="C668"/>
      <c r="D668"/>
      <c r="E668" s="13"/>
      <c r="F668"/>
      <c r="G668"/>
      <c r="H668"/>
      <c r="I668" s="13"/>
      <c r="J668"/>
      <c r="K668"/>
      <c r="L668" s="38"/>
      <c r="M668" s="38"/>
      <c r="N668" s="52"/>
      <c r="O668"/>
      <c r="P668" s="38"/>
      <c r="Q668" s="38"/>
      <c r="R668" s="38"/>
      <c r="S668" s="38"/>
      <c r="T668"/>
      <c r="U668" s="53"/>
      <c r="W668"/>
      <c r="X668"/>
      <c r="Y668"/>
      <c r="AA668"/>
      <c r="AD668" s="177"/>
    </row>
    <row r="669" spans="1:30" s="54" customFormat="1" x14ac:dyDescent="0.25">
      <c r="A669"/>
      <c r="B669" s="41"/>
      <c r="C669"/>
      <c r="D669"/>
      <c r="E669" s="13"/>
      <c r="F669"/>
      <c r="G669"/>
      <c r="H669"/>
      <c r="I669" s="13"/>
      <c r="J669"/>
      <c r="K669"/>
      <c r="L669" s="38"/>
      <c r="M669" s="38"/>
      <c r="N669" s="52"/>
      <c r="O669"/>
      <c r="P669" s="38"/>
      <c r="Q669" s="38"/>
      <c r="R669" s="38"/>
      <c r="S669" s="38"/>
      <c r="T669"/>
      <c r="U669" s="53"/>
      <c r="W669"/>
      <c r="X669"/>
      <c r="Y669"/>
      <c r="AA669"/>
      <c r="AD669" s="177"/>
    </row>
    <row r="670" spans="1:30" s="54" customFormat="1" x14ac:dyDescent="0.25">
      <c r="A670"/>
      <c r="B670" s="41"/>
      <c r="C670"/>
      <c r="D670"/>
      <c r="E670" s="13"/>
      <c r="F670"/>
      <c r="G670"/>
      <c r="H670"/>
      <c r="I670" s="13"/>
      <c r="J670"/>
      <c r="K670"/>
      <c r="L670" s="38"/>
      <c r="M670" s="38"/>
      <c r="N670" s="52"/>
      <c r="O670"/>
      <c r="P670" s="38"/>
      <c r="Q670" s="38"/>
      <c r="R670" s="38"/>
      <c r="S670" s="38"/>
      <c r="T670"/>
      <c r="U670" s="53"/>
      <c r="W670"/>
      <c r="X670"/>
      <c r="Y670"/>
      <c r="AA670"/>
      <c r="AD670" s="177"/>
    </row>
    <row r="671" spans="1:30" s="54" customFormat="1" x14ac:dyDescent="0.25">
      <c r="A671"/>
      <c r="B671" s="41"/>
      <c r="C671"/>
      <c r="D671"/>
      <c r="E671" s="13"/>
      <c r="F671"/>
      <c r="G671"/>
      <c r="H671"/>
      <c r="I671" s="13"/>
      <c r="J671"/>
      <c r="K671"/>
      <c r="L671" s="38"/>
      <c r="M671" s="38"/>
      <c r="N671" s="52"/>
      <c r="O671"/>
      <c r="P671" s="38"/>
      <c r="Q671" s="38"/>
      <c r="R671" s="38"/>
      <c r="S671" s="38"/>
      <c r="T671"/>
      <c r="U671" s="53"/>
      <c r="W671"/>
      <c r="X671"/>
      <c r="Y671"/>
      <c r="AA671"/>
      <c r="AD671" s="177"/>
    </row>
    <row r="672" spans="1:30" s="54" customFormat="1" x14ac:dyDescent="0.25">
      <c r="A672"/>
      <c r="B672" s="41"/>
      <c r="C672"/>
      <c r="D672"/>
      <c r="E672" s="13"/>
      <c r="F672"/>
      <c r="G672"/>
      <c r="H672"/>
      <c r="I672" s="13"/>
      <c r="J672"/>
      <c r="K672"/>
      <c r="L672" s="38"/>
      <c r="M672" s="38"/>
      <c r="N672" s="52"/>
      <c r="O672"/>
      <c r="P672" s="38"/>
      <c r="Q672" s="38"/>
      <c r="R672" s="38"/>
      <c r="S672" s="38"/>
      <c r="T672"/>
      <c r="U672" s="53"/>
      <c r="W672"/>
      <c r="X672"/>
      <c r="Y672"/>
      <c r="AA672"/>
      <c r="AD672" s="177"/>
    </row>
    <row r="673" spans="1:30" s="54" customFormat="1" x14ac:dyDescent="0.25">
      <c r="A673"/>
      <c r="B673" s="41"/>
      <c r="C673"/>
      <c r="D673"/>
      <c r="E673" s="13"/>
      <c r="F673"/>
      <c r="G673"/>
      <c r="H673"/>
      <c r="I673" s="13"/>
      <c r="J673"/>
      <c r="K673"/>
      <c r="L673" s="38"/>
      <c r="M673" s="38"/>
      <c r="N673" s="52"/>
      <c r="O673"/>
      <c r="P673" s="38"/>
      <c r="Q673" s="38"/>
      <c r="R673" s="38"/>
      <c r="S673" s="38"/>
      <c r="T673"/>
      <c r="U673" s="53"/>
      <c r="W673"/>
      <c r="X673"/>
      <c r="Y673"/>
      <c r="AA673"/>
      <c r="AD673" s="177"/>
    </row>
    <row r="674" spans="1:30" s="54" customFormat="1" x14ac:dyDescent="0.25">
      <c r="A674"/>
      <c r="B674" s="41"/>
      <c r="C674"/>
      <c r="D674"/>
      <c r="E674" s="13"/>
      <c r="F674"/>
      <c r="G674"/>
      <c r="H674"/>
      <c r="I674" s="13"/>
      <c r="J674"/>
      <c r="K674"/>
      <c r="L674" s="38"/>
      <c r="M674" s="38"/>
      <c r="N674" s="52"/>
      <c r="O674"/>
      <c r="P674" s="38"/>
      <c r="Q674" s="38"/>
      <c r="R674" s="38"/>
      <c r="S674" s="38"/>
      <c r="T674"/>
      <c r="U674" s="53"/>
      <c r="W674"/>
      <c r="X674"/>
      <c r="Y674"/>
      <c r="AA674"/>
      <c r="AD674" s="177"/>
    </row>
    <row r="675" spans="1:30" s="54" customFormat="1" x14ac:dyDescent="0.25">
      <c r="A675"/>
      <c r="B675" s="41"/>
      <c r="C675"/>
      <c r="D675"/>
      <c r="E675" s="13"/>
      <c r="F675"/>
      <c r="G675"/>
      <c r="H675"/>
      <c r="I675" s="13"/>
      <c r="J675"/>
      <c r="K675"/>
      <c r="L675" s="38"/>
      <c r="M675" s="38"/>
      <c r="N675" s="52"/>
      <c r="O675"/>
      <c r="P675" s="38"/>
      <c r="Q675" s="38"/>
      <c r="R675" s="38"/>
      <c r="S675" s="38"/>
      <c r="T675"/>
      <c r="U675" s="53"/>
      <c r="W675"/>
      <c r="X675"/>
      <c r="Y675"/>
      <c r="AA675"/>
      <c r="AD675" s="177"/>
    </row>
    <row r="676" spans="1:30" s="54" customFormat="1" x14ac:dyDescent="0.25">
      <c r="A676"/>
      <c r="B676" s="41"/>
      <c r="C676"/>
      <c r="D676"/>
      <c r="E676" s="13"/>
      <c r="F676"/>
      <c r="G676"/>
      <c r="H676"/>
      <c r="I676" s="13"/>
      <c r="J676"/>
      <c r="K676"/>
      <c r="L676" s="38"/>
      <c r="M676" s="38"/>
      <c r="N676" s="52"/>
      <c r="O676"/>
      <c r="P676" s="38"/>
      <c r="Q676" s="38"/>
      <c r="R676" s="38"/>
      <c r="S676" s="38"/>
      <c r="T676"/>
      <c r="U676" s="53"/>
      <c r="W676"/>
      <c r="X676"/>
      <c r="Y676"/>
      <c r="AA676"/>
      <c r="AD676" s="177"/>
    </row>
    <row r="677" spans="1:30" s="54" customFormat="1" x14ac:dyDescent="0.25">
      <c r="A677"/>
      <c r="B677" s="41"/>
      <c r="C677"/>
      <c r="D677"/>
      <c r="E677" s="13"/>
      <c r="F677"/>
      <c r="G677"/>
      <c r="H677"/>
      <c r="I677" s="13"/>
      <c r="J677"/>
      <c r="K677"/>
      <c r="L677" s="38"/>
      <c r="M677" s="38"/>
      <c r="N677" s="52"/>
      <c r="O677"/>
      <c r="P677" s="38"/>
      <c r="Q677" s="38"/>
      <c r="R677" s="38"/>
      <c r="S677" s="38"/>
      <c r="T677"/>
      <c r="U677" s="53"/>
      <c r="W677"/>
      <c r="X677"/>
      <c r="Y677"/>
      <c r="AA677"/>
      <c r="AD677" s="177"/>
    </row>
    <row r="678" spans="1:30" s="54" customFormat="1" x14ac:dyDescent="0.25">
      <c r="A678"/>
      <c r="B678" s="41"/>
      <c r="C678"/>
      <c r="D678"/>
      <c r="E678" s="13"/>
      <c r="F678"/>
      <c r="G678"/>
      <c r="H678"/>
      <c r="I678" s="13"/>
      <c r="J678"/>
      <c r="K678"/>
      <c r="L678" s="38"/>
      <c r="M678" s="38"/>
      <c r="N678" s="52"/>
      <c r="O678"/>
      <c r="P678" s="38"/>
      <c r="Q678" s="38"/>
      <c r="R678" s="38"/>
      <c r="S678" s="38"/>
      <c r="T678"/>
      <c r="U678" s="53"/>
      <c r="W678"/>
      <c r="X678"/>
      <c r="Y678"/>
      <c r="AA678"/>
      <c r="AD678" s="177"/>
    </row>
    <row r="679" spans="1:30" s="54" customFormat="1" x14ac:dyDescent="0.25">
      <c r="A679"/>
      <c r="B679" s="41"/>
      <c r="C679"/>
      <c r="D679"/>
      <c r="E679" s="13"/>
      <c r="F679"/>
      <c r="G679"/>
      <c r="H679"/>
      <c r="I679" s="13"/>
      <c r="J679"/>
      <c r="K679"/>
      <c r="L679" s="38"/>
      <c r="M679" s="38"/>
      <c r="N679" s="52"/>
      <c r="O679"/>
      <c r="P679" s="38"/>
      <c r="Q679" s="38"/>
      <c r="R679" s="38"/>
      <c r="S679" s="38"/>
      <c r="T679"/>
      <c r="U679" s="53"/>
      <c r="W679"/>
      <c r="X679"/>
      <c r="Y679"/>
      <c r="AA679"/>
      <c r="AD679" s="177"/>
    </row>
    <row r="680" spans="1:30" s="54" customFormat="1" x14ac:dyDescent="0.25">
      <c r="A680"/>
      <c r="B680" s="41"/>
      <c r="C680"/>
      <c r="D680"/>
      <c r="E680" s="13"/>
      <c r="F680"/>
      <c r="G680"/>
      <c r="H680"/>
      <c r="I680" s="13"/>
      <c r="J680"/>
      <c r="K680"/>
      <c r="L680" s="38"/>
      <c r="M680" s="38"/>
      <c r="N680" s="52"/>
      <c r="O680"/>
      <c r="P680" s="38"/>
      <c r="Q680" s="38"/>
      <c r="R680" s="38"/>
      <c r="S680" s="38"/>
      <c r="T680"/>
      <c r="U680" s="53"/>
      <c r="W680"/>
      <c r="X680"/>
      <c r="Y680"/>
      <c r="AA680"/>
      <c r="AD680" s="177"/>
    </row>
    <row r="681" spans="1:30" s="54" customFormat="1" x14ac:dyDescent="0.25">
      <c r="A681"/>
      <c r="B681" s="41"/>
      <c r="C681"/>
      <c r="D681"/>
      <c r="E681" s="13"/>
      <c r="F681"/>
      <c r="G681"/>
      <c r="H681"/>
      <c r="I681" s="13"/>
      <c r="J681"/>
      <c r="K681"/>
      <c r="L681" s="38"/>
      <c r="M681" s="38"/>
      <c r="N681" s="52"/>
      <c r="O681"/>
      <c r="P681" s="38"/>
      <c r="Q681" s="38"/>
      <c r="R681" s="38"/>
      <c r="S681" s="38"/>
      <c r="T681"/>
      <c r="U681" s="53"/>
      <c r="W681"/>
      <c r="X681"/>
      <c r="Y681"/>
      <c r="AA681"/>
      <c r="AD681" s="177"/>
    </row>
    <row r="682" spans="1:30" s="54" customFormat="1" x14ac:dyDescent="0.25">
      <c r="A682"/>
      <c r="B682" s="41"/>
      <c r="C682"/>
      <c r="D682"/>
      <c r="E682" s="13"/>
      <c r="F682"/>
      <c r="G682"/>
      <c r="H682"/>
      <c r="I682" s="13"/>
      <c r="J682"/>
      <c r="K682"/>
      <c r="L682" s="38"/>
      <c r="M682" s="38"/>
      <c r="N682" s="52"/>
      <c r="O682"/>
      <c r="P682" s="38"/>
      <c r="Q682" s="38"/>
      <c r="R682" s="38"/>
      <c r="S682" s="38"/>
      <c r="T682"/>
      <c r="U682" s="53"/>
      <c r="W682"/>
      <c r="X682"/>
      <c r="Y682"/>
      <c r="AA682"/>
      <c r="AD682" s="177"/>
    </row>
    <row r="683" spans="1:30" s="54" customFormat="1" x14ac:dyDescent="0.25">
      <c r="A683"/>
      <c r="B683" s="41"/>
      <c r="C683"/>
      <c r="D683"/>
      <c r="E683" s="13"/>
      <c r="F683"/>
      <c r="G683"/>
      <c r="H683"/>
      <c r="I683" s="13"/>
      <c r="J683"/>
      <c r="K683"/>
      <c r="L683" s="38"/>
      <c r="M683" s="38"/>
      <c r="N683" s="52"/>
      <c r="O683"/>
      <c r="P683" s="38"/>
      <c r="Q683" s="38"/>
      <c r="R683" s="38"/>
      <c r="S683" s="38"/>
      <c r="T683"/>
      <c r="U683" s="53"/>
      <c r="W683"/>
      <c r="X683"/>
      <c r="Y683"/>
      <c r="AA683"/>
      <c r="AD683" s="177"/>
    </row>
    <row r="684" spans="1:30" s="54" customFormat="1" x14ac:dyDescent="0.25">
      <c r="A684"/>
      <c r="B684" s="41"/>
      <c r="C684"/>
      <c r="D684"/>
      <c r="E684" s="13"/>
      <c r="F684"/>
      <c r="G684"/>
      <c r="H684"/>
      <c r="I684" s="13"/>
      <c r="J684"/>
      <c r="K684"/>
      <c r="L684" s="38"/>
      <c r="M684" s="38"/>
      <c r="N684" s="52"/>
      <c r="O684"/>
      <c r="P684" s="38"/>
      <c r="Q684" s="38"/>
      <c r="R684" s="38"/>
      <c r="S684" s="38"/>
      <c r="T684"/>
      <c r="U684" s="53"/>
      <c r="W684"/>
      <c r="X684"/>
      <c r="Y684"/>
      <c r="AA684"/>
      <c r="AD684" s="177"/>
    </row>
    <row r="685" spans="1:30" s="54" customFormat="1" x14ac:dyDescent="0.25">
      <c r="A685"/>
      <c r="B685" s="41"/>
      <c r="C685"/>
      <c r="D685"/>
      <c r="E685" s="13"/>
      <c r="F685"/>
      <c r="G685"/>
      <c r="H685"/>
      <c r="I685" s="13"/>
      <c r="J685"/>
      <c r="K685"/>
      <c r="L685" s="38"/>
      <c r="M685" s="38"/>
      <c r="N685" s="52"/>
      <c r="O685"/>
      <c r="P685" s="38"/>
      <c r="Q685" s="38"/>
      <c r="R685" s="38"/>
      <c r="S685" s="38"/>
      <c r="T685"/>
      <c r="U685" s="53"/>
      <c r="W685"/>
      <c r="X685"/>
      <c r="Y685"/>
      <c r="AA685"/>
      <c r="AD685" s="177"/>
    </row>
    <row r="686" spans="1:30" s="54" customFormat="1" x14ac:dyDescent="0.25">
      <c r="A686"/>
      <c r="B686" s="41"/>
      <c r="C686"/>
      <c r="D686"/>
      <c r="E686" s="13"/>
      <c r="F686"/>
      <c r="G686"/>
      <c r="H686"/>
      <c r="I686" s="13"/>
      <c r="J686"/>
      <c r="K686"/>
      <c r="L686" s="38"/>
      <c r="M686" s="38"/>
      <c r="N686" s="52"/>
      <c r="O686"/>
      <c r="P686" s="38"/>
      <c r="Q686" s="38"/>
      <c r="R686" s="38"/>
      <c r="S686" s="38"/>
      <c r="T686"/>
      <c r="U686" s="53"/>
      <c r="W686"/>
      <c r="X686"/>
      <c r="Y686"/>
      <c r="AA686"/>
      <c r="AD686" s="177"/>
    </row>
    <row r="687" spans="1:30" s="54" customFormat="1" x14ac:dyDescent="0.25">
      <c r="A687"/>
      <c r="B687" s="41"/>
      <c r="C687"/>
      <c r="D687"/>
      <c r="E687" s="13"/>
      <c r="F687"/>
      <c r="G687"/>
      <c r="H687"/>
      <c r="I687" s="13"/>
      <c r="J687"/>
      <c r="K687"/>
      <c r="L687" s="38"/>
      <c r="M687" s="38"/>
      <c r="N687" s="52"/>
      <c r="O687"/>
      <c r="P687" s="38"/>
      <c r="Q687" s="38"/>
      <c r="R687" s="38"/>
      <c r="S687" s="38"/>
      <c r="T687"/>
      <c r="U687" s="53"/>
      <c r="W687"/>
      <c r="X687"/>
      <c r="Y687"/>
      <c r="AA687"/>
      <c r="AD687" s="177"/>
    </row>
    <row r="688" spans="1:30" s="54" customFormat="1" x14ac:dyDescent="0.25">
      <c r="A688"/>
      <c r="B688" s="41"/>
      <c r="C688"/>
      <c r="D688"/>
      <c r="E688" s="13"/>
      <c r="F688"/>
      <c r="G688"/>
      <c r="H688"/>
      <c r="I688" s="13"/>
      <c r="J688"/>
      <c r="K688"/>
      <c r="L688" s="38"/>
      <c r="M688" s="38"/>
      <c r="N688" s="52"/>
      <c r="O688"/>
      <c r="P688" s="38"/>
      <c r="Q688" s="38"/>
      <c r="R688" s="38"/>
      <c r="S688" s="38"/>
      <c r="T688"/>
      <c r="U688" s="53"/>
      <c r="W688"/>
      <c r="X688"/>
      <c r="Y688"/>
      <c r="AA688"/>
      <c r="AD688" s="177"/>
    </row>
    <row r="689" spans="1:30" s="54" customFormat="1" x14ac:dyDescent="0.25">
      <c r="A689"/>
      <c r="B689" s="41"/>
      <c r="C689"/>
      <c r="D689"/>
      <c r="E689" s="13"/>
      <c r="F689"/>
      <c r="G689"/>
      <c r="H689"/>
      <c r="I689" s="13"/>
      <c r="J689"/>
      <c r="K689"/>
      <c r="L689" s="38"/>
      <c r="M689" s="38"/>
      <c r="N689" s="52"/>
      <c r="O689"/>
      <c r="P689" s="38"/>
      <c r="Q689" s="38"/>
      <c r="R689" s="38"/>
      <c r="S689" s="38"/>
      <c r="T689"/>
      <c r="U689" s="53"/>
      <c r="W689"/>
      <c r="X689"/>
      <c r="Y689"/>
      <c r="AA689"/>
      <c r="AD689" s="177"/>
    </row>
    <row r="690" spans="1:30" s="54" customFormat="1" x14ac:dyDescent="0.25">
      <c r="A690"/>
      <c r="B690" s="41"/>
      <c r="C690"/>
      <c r="D690"/>
      <c r="E690" s="13"/>
      <c r="F690"/>
      <c r="G690"/>
      <c r="H690"/>
      <c r="I690" s="13"/>
      <c r="J690"/>
      <c r="K690"/>
      <c r="L690" s="38"/>
      <c r="M690" s="38"/>
      <c r="N690" s="52"/>
      <c r="O690"/>
      <c r="P690" s="38"/>
      <c r="Q690" s="38"/>
      <c r="R690" s="38"/>
      <c r="S690" s="38"/>
      <c r="T690"/>
      <c r="U690" s="53"/>
      <c r="W690"/>
      <c r="X690"/>
      <c r="Y690"/>
      <c r="AA690"/>
      <c r="AD690" s="177"/>
    </row>
    <row r="691" spans="1:30" s="54" customFormat="1" x14ac:dyDescent="0.25">
      <c r="A691"/>
      <c r="B691" s="41"/>
      <c r="C691"/>
      <c r="D691"/>
      <c r="E691" s="13"/>
      <c r="F691"/>
      <c r="G691"/>
      <c r="H691"/>
      <c r="I691" s="13"/>
      <c r="J691"/>
      <c r="K691"/>
      <c r="L691" s="38"/>
      <c r="M691" s="38"/>
      <c r="N691" s="52"/>
      <c r="O691"/>
      <c r="P691" s="38"/>
      <c r="Q691" s="38"/>
      <c r="R691" s="38"/>
      <c r="S691" s="38"/>
      <c r="T691"/>
      <c r="U691" s="53"/>
      <c r="W691"/>
      <c r="X691"/>
      <c r="Y691"/>
      <c r="AA691"/>
      <c r="AD691" s="177"/>
    </row>
    <row r="692" spans="1:30" s="54" customFormat="1" x14ac:dyDescent="0.25">
      <c r="A692"/>
      <c r="B692" s="41"/>
      <c r="C692"/>
      <c r="D692"/>
      <c r="E692" s="13"/>
      <c r="F692"/>
      <c r="G692"/>
      <c r="H692"/>
      <c r="I692" s="13"/>
      <c r="J692"/>
      <c r="K692"/>
      <c r="L692" s="38"/>
      <c r="M692" s="38"/>
      <c r="N692" s="52"/>
      <c r="O692"/>
      <c r="P692" s="38"/>
      <c r="Q692" s="38"/>
      <c r="R692" s="38"/>
      <c r="S692" s="38"/>
      <c r="T692"/>
      <c r="U692" s="53"/>
      <c r="W692"/>
      <c r="X692"/>
      <c r="Y692"/>
      <c r="AA692"/>
      <c r="AD692" s="177"/>
    </row>
    <row r="693" spans="1:30" s="54" customFormat="1" x14ac:dyDescent="0.25">
      <c r="A693"/>
      <c r="B693" s="41"/>
      <c r="C693"/>
      <c r="D693"/>
      <c r="E693" s="13"/>
      <c r="F693"/>
      <c r="G693"/>
      <c r="H693"/>
      <c r="I693" s="13"/>
      <c r="J693"/>
      <c r="K693"/>
      <c r="L693" s="38"/>
      <c r="M693" s="38"/>
      <c r="N693" s="52"/>
      <c r="O693"/>
      <c r="P693" s="38"/>
      <c r="Q693" s="38"/>
      <c r="R693" s="38"/>
      <c r="S693" s="38"/>
      <c r="T693"/>
      <c r="U693" s="53"/>
      <c r="W693"/>
      <c r="X693"/>
      <c r="Y693"/>
      <c r="AA693"/>
      <c r="AD693" s="177"/>
    </row>
    <row r="694" spans="1:30" s="54" customFormat="1" x14ac:dyDescent="0.25">
      <c r="A694"/>
      <c r="B694" s="41"/>
      <c r="C694"/>
      <c r="D694"/>
      <c r="E694" s="13"/>
      <c r="F694"/>
      <c r="G694"/>
      <c r="H694"/>
      <c r="I694" s="13"/>
      <c r="J694"/>
      <c r="K694"/>
      <c r="L694" s="38"/>
      <c r="M694" s="38"/>
      <c r="N694" s="52"/>
      <c r="O694"/>
      <c r="P694" s="38"/>
      <c r="Q694" s="38"/>
      <c r="R694" s="38"/>
      <c r="S694" s="38"/>
      <c r="T694"/>
      <c r="U694" s="53"/>
      <c r="W694"/>
      <c r="X694"/>
      <c r="Y694"/>
      <c r="AA694"/>
      <c r="AD694" s="177"/>
    </row>
    <row r="695" spans="1:30" s="54" customFormat="1" x14ac:dyDescent="0.25">
      <c r="A695"/>
      <c r="B695" s="41"/>
      <c r="C695"/>
      <c r="D695"/>
      <c r="E695" s="13"/>
      <c r="F695"/>
      <c r="G695"/>
      <c r="H695"/>
      <c r="I695" s="13"/>
      <c r="J695"/>
      <c r="K695"/>
      <c r="L695" s="38"/>
      <c r="M695" s="38"/>
      <c r="N695" s="52"/>
      <c r="O695"/>
      <c r="P695" s="38"/>
      <c r="Q695" s="38"/>
      <c r="R695" s="38"/>
      <c r="S695" s="38"/>
      <c r="T695"/>
      <c r="U695" s="53"/>
      <c r="W695"/>
      <c r="X695"/>
      <c r="Y695"/>
      <c r="AA695"/>
      <c r="AD695" s="177"/>
    </row>
    <row r="696" spans="1:30" s="54" customFormat="1" x14ac:dyDescent="0.25">
      <c r="A696"/>
      <c r="B696" s="41"/>
      <c r="C696"/>
      <c r="D696"/>
      <c r="E696" s="13"/>
      <c r="F696"/>
      <c r="G696"/>
      <c r="H696"/>
      <c r="I696" s="13"/>
      <c r="J696"/>
      <c r="K696"/>
      <c r="L696" s="38"/>
      <c r="M696" s="38"/>
      <c r="N696" s="52"/>
      <c r="O696"/>
      <c r="P696" s="38"/>
      <c r="Q696" s="38"/>
      <c r="R696" s="38"/>
      <c r="S696" s="38"/>
      <c r="T696"/>
      <c r="U696" s="53"/>
      <c r="W696"/>
      <c r="X696"/>
      <c r="Y696"/>
      <c r="AA696"/>
      <c r="AD696" s="177"/>
    </row>
    <row r="697" spans="1:30" s="54" customFormat="1" x14ac:dyDescent="0.25">
      <c r="A697"/>
      <c r="B697" s="41"/>
      <c r="C697"/>
      <c r="D697"/>
      <c r="E697" s="13"/>
      <c r="F697"/>
      <c r="G697"/>
      <c r="H697"/>
      <c r="I697" s="13"/>
      <c r="J697"/>
      <c r="K697"/>
      <c r="L697" s="38"/>
      <c r="M697" s="38"/>
      <c r="N697" s="52"/>
      <c r="O697"/>
      <c r="P697" s="38"/>
      <c r="Q697" s="38"/>
      <c r="R697" s="38"/>
      <c r="S697" s="38"/>
      <c r="T697"/>
      <c r="U697" s="53"/>
      <c r="W697"/>
      <c r="X697"/>
      <c r="Y697"/>
      <c r="AA697"/>
      <c r="AD697" s="177"/>
    </row>
    <row r="698" spans="1:30" s="54" customFormat="1" x14ac:dyDescent="0.25">
      <c r="A698"/>
      <c r="B698" s="41"/>
      <c r="C698"/>
      <c r="D698"/>
      <c r="E698" s="13"/>
      <c r="F698"/>
      <c r="G698"/>
      <c r="H698"/>
      <c r="I698" s="13"/>
      <c r="J698"/>
      <c r="K698"/>
      <c r="L698" s="38"/>
      <c r="M698" s="38"/>
      <c r="N698" s="52"/>
      <c r="O698"/>
      <c r="P698" s="38"/>
      <c r="Q698" s="38"/>
      <c r="R698" s="38"/>
      <c r="S698" s="38"/>
      <c r="T698"/>
      <c r="U698" s="53"/>
      <c r="W698"/>
      <c r="X698"/>
      <c r="Y698"/>
      <c r="AA698"/>
      <c r="AD698" s="177"/>
    </row>
    <row r="699" spans="1:30" s="54" customFormat="1" x14ac:dyDescent="0.25">
      <c r="A699"/>
      <c r="B699" s="41"/>
      <c r="C699"/>
      <c r="D699"/>
      <c r="E699" s="13"/>
      <c r="F699"/>
      <c r="G699"/>
      <c r="H699"/>
      <c r="I699" s="13"/>
      <c r="J699"/>
      <c r="K699"/>
      <c r="L699" s="38"/>
      <c r="M699" s="38"/>
      <c r="N699" s="52"/>
      <c r="O699"/>
      <c r="P699" s="38"/>
      <c r="Q699" s="38"/>
      <c r="R699" s="38"/>
      <c r="S699" s="38"/>
      <c r="T699"/>
      <c r="U699" s="53"/>
      <c r="W699"/>
      <c r="X699"/>
      <c r="Y699"/>
      <c r="AA699"/>
      <c r="AD699" s="177"/>
    </row>
    <row r="700" spans="1:30" s="54" customFormat="1" x14ac:dyDescent="0.25">
      <c r="A700"/>
      <c r="B700" s="41"/>
      <c r="C700"/>
      <c r="D700"/>
      <c r="E700" s="13"/>
      <c r="F700"/>
      <c r="G700"/>
      <c r="H700"/>
      <c r="I700" s="13"/>
      <c r="J700"/>
      <c r="K700"/>
      <c r="L700" s="38"/>
      <c r="M700" s="38"/>
      <c r="N700" s="52"/>
      <c r="O700"/>
      <c r="P700" s="38"/>
      <c r="Q700" s="38"/>
      <c r="R700" s="38"/>
      <c r="S700" s="38"/>
      <c r="T700"/>
      <c r="U700" s="53"/>
      <c r="W700"/>
      <c r="X700"/>
      <c r="Y700"/>
      <c r="AA700"/>
      <c r="AD700" s="177"/>
    </row>
    <row r="701" spans="1:30" s="54" customFormat="1" x14ac:dyDescent="0.25">
      <c r="A701"/>
      <c r="B701" s="41"/>
      <c r="C701"/>
      <c r="D701"/>
      <c r="E701" s="13"/>
      <c r="F701"/>
      <c r="G701"/>
      <c r="H701"/>
      <c r="I701" s="13"/>
      <c r="J701"/>
      <c r="K701"/>
      <c r="L701" s="38"/>
      <c r="M701" s="38"/>
      <c r="N701" s="52"/>
      <c r="O701"/>
      <c r="P701" s="38"/>
      <c r="Q701" s="38"/>
      <c r="R701" s="38"/>
      <c r="S701" s="38"/>
      <c r="T701"/>
      <c r="U701" s="53"/>
      <c r="W701"/>
      <c r="X701"/>
      <c r="Y701"/>
      <c r="AA701"/>
      <c r="AD701" s="177"/>
    </row>
    <row r="702" spans="1:30" s="54" customFormat="1" x14ac:dyDescent="0.25">
      <c r="A702"/>
      <c r="B702" s="41"/>
      <c r="C702"/>
      <c r="D702"/>
      <c r="E702" s="13"/>
      <c r="F702"/>
      <c r="G702"/>
      <c r="H702"/>
      <c r="I702" s="13"/>
      <c r="J702"/>
      <c r="K702"/>
      <c r="L702" s="38"/>
      <c r="M702" s="38"/>
      <c r="N702" s="52"/>
      <c r="O702"/>
      <c r="P702" s="38"/>
      <c r="Q702" s="38"/>
      <c r="R702" s="38"/>
      <c r="S702" s="38"/>
      <c r="T702"/>
      <c r="U702" s="53"/>
      <c r="W702"/>
      <c r="X702"/>
      <c r="Y702"/>
      <c r="AA702"/>
      <c r="AD702" s="177"/>
    </row>
    <row r="703" spans="1:30" s="54" customFormat="1" x14ac:dyDescent="0.25">
      <c r="A703"/>
      <c r="B703" s="41"/>
      <c r="C703"/>
      <c r="D703"/>
      <c r="E703" s="13"/>
      <c r="F703"/>
      <c r="G703"/>
      <c r="H703"/>
      <c r="I703" s="13"/>
      <c r="J703"/>
      <c r="K703"/>
      <c r="L703" s="38"/>
      <c r="M703" s="38"/>
      <c r="N703" s="52"/>
      <c r="O703"/>
      <c r="P703" s="38"/>
      <c r="Q703" s="38"/>
      <c r="R703" s="38"/>
      <c r="S703" s="38"/>
      <c r="T703"/>
      <c r="U703" s="53"/>
      <c r="W703"/>
      <c r="X703"/>
      <c r="Y703"/>
      <c r="AA703"/>
      <c r="AD703" s="177"/>
    </row>
    <row r="704" spans="1:30" s="54" customFormat="1" x14ac:dyDescent="0.25">
      <c r="A704"/>
      <c r="B704" s="41"/>
      <c r="C704"/>
      <c r="D704"/>
      <c r="E704" s="13"/>
      <c r="F704"/>
      <c r="G704"/>
      <c r="H704"/>
      <c r="I704" s="13"/>
      <c r="J704"/>
      <c r="K704"/>
      <c r="L704" s="38"/>
      <c r="M704" s="38"/>
      <c r="N704" s="52"/>
      <c r="O704"/>
      <c r="P704" s="38"/>
      <c r="Q704" s="38"/>
      <c r="R704" s="38"/>
      <c r="S704" s="38"/>
      <c r="T704"/>
      <c r="U704" s="53"/>
      <c r="W704"/>
      <c r="X704"/>
      <c r="Y704"/>
      <c r="AA704"/>
      <c r="AD704" s="177"/>
    </row>
    <row r="705" spans="1:30" s="54" customFormat="1" x14ac:dyDescent="0.25">
      <c r="A705"/>
      <c r="B705" s="41"/>
      <c r="C705"/>
      <c r="D705"/>
      <c r="E705" s="13"/>
      <c r="F705"/>
      <c r="G705"/>
      <c r="H705"/>
      <c r="I705" s="13"/>
      <c r="J705"/>
      <c r="K705"/>
      <c r="L705" s="38"/>
      <c r="M705" s="38"/>
      <c r="N705" s="52"/>
      <c r="O705"/>
      <c r="P705" s="38"/>
      <c r="Q705" s="38"/>
      <c r="R705" s="38"/>
      <c r="S705" s="38"/>
      <c r="T705"/>
      <c r="U705" s="53"/>
      <c r="W705"/>
      <c r="X705"/>
      <c r="Y705"/>
      <c r="AA705"/>
      <c r="AD705" s="177"/>
    </row>
    <row r="706" spans="1:30" s="54" customFormat="1" x14ac:dyDescent="0.25">
      <c r="A706"/>
      <c r="B706" s="41"/>
      <c r="C706"/>
      <c r="D706"/>
      <c r="E706" s="13"/>
      <c r="F706"/>
      <c r="G706"/>
      <c r="H706"/>
      <c r="I706" s="13"/>
      <c r="J706"/>
      <c r="K706"/>
      <c r="L706" s="38"/>
      <c r="M706" s="38"/>
      <c r="N706" s="52"/>
      <c r="O706"/>
      <c r="P706" s="38"/>
      <c r="Q706" s="38"/>
      <c r="R706" s="38"/>
      <c r="S706" s="38"/>
      <c r="T706"/>
      <c r="U706" s="53"/>
      <c r="W706"/>
      <c r="X706"/>
      <c r="Y706"/>
      <c r="AA706"/>
      <c r="AD706" s="177"/>
    </row>
    <row r="707" spans="1:30" s="54" customFormat="1" x14ac:dyDescent="0.25">
      <c r="A707"/>
      <c r="B707" s="41"/>
      <c r="C707"/>
      <c r="D707"/>
      <c r="E707" s="13"/>
      <c r="F707"/>
      <c r="G707"/>
      <c r="H707"/>
      <c r="I707" s="13"/>
      <c r="J707"/>
      <c r="K707"/>
      <c r="L707" s="38"/>
      <c r="M707" s="38"/>
      <c r="N707" s="52"/>
      <c r="O707"/>
      <c r="P707" s="38"/>
      <c r="Q707" s="38"/>
      <c r="R707" s="38"/>
      <c r="S707" s="38"/>
      <c r="T707"/>
      <c r="U707" s="53"/>
      <c r="W707"/>
      <c r="X707"/>
      <c r="Y707"/>
      <c r="AA707"/>
      <c r="AD707" s="177"/>
    </row>
    <row r="708" spans="1:30" s="54" customFormat="1" x14ac:dyDescent="0.25">
      <c r="A708"/>
      <c r="B708" s="41"/>
      <c r="C708"/>
      <c r="D708"/>
      <c r="E708" s="13"/>
      <c r="F708"/>
      <c r="G708"/>
      <c r="H708"/>
      <c r="I708" s="13"/>
      <c r="J708"/>
      <c r="K708"/>
      <c r="L708" s="38"/>
      <c r="M708" s="38"/>
      <c r="N708" s="52"/>
      <c r="O708"/>
      <c r="P708" s="38"/>
      <c r="Q708" s="38"/>
      <c r="R708" s="38"/>
      <c r="S708" s="38"/>
      <c r="T708"/>
      <c r="U708" s="53"/>
      <c r="W708"/>
      <c r="X708"/>
      <c r="Y708"/>
      <c r="AA708"/>
      <c r="AD708" s="177"/>
    </row>
    <row r="709" spans="1:30" s="54" customFormat="1" x14ac:dyDescent="0.25">
      <c r="A709"/>
      <c r="B709" s="41"/>
      <c r="C709"/>
      <c r="D709"/>
      <c r="E709" s="13"/>
      <c r="F709"/>
      <c r="G709"/>
      <c r="H709"/>
      <c r="I709" s="13"/>
      <c r="J709"/>
      <c r="K709"/>
      <c r="L709" s="38"/>
      <c r="M709" s="38"/>
      <c r="N709" s="52"/>
      <c r="O709"/>
      <c r="P709" s="38"/>
      <c r="Q709" s="38"/>
      <c r="R709" s="38"/>
      <c r="S709" s="38"/>
      <c r="T709"/>
      <c r="U709" s="53"/>
      <c r="W709"/>
      <c r="X709"/>
      <c r="Y709"/>
      <c r="AA709"/>
      <c r="AD709" s="177"/>
    </row>
    <row r="710" spans="1:30" s="54" customFormat="1" x14ac:dyDescent="0.25">
      <c r="A710"/>
      <c r="B710" s="41"/>
      <c r="C710"/>
      <c r="D710"/>
      <c r="E710" s="13"/>
      <c r="F710"/>
      <c r="G710"/>
      <c r="H710"/>
      <c r="I710" s="13"/>
      <c r="J710"/>
      <c r="K710"/>
      <c r="L710" s="38"/>
      <c r="M710" s="38"/>
      <c r="N710" s="52"/>
      <c r="O710"/>
      <c r="P710" s="38"/>
      <c r="Q710" s="38"/>
      <c r="R710" s="38"/>
      <c r="S710" s="38"/>
      <c r="T710"/>
      <c r="U710" s="53"/>
      <c r="W710"/>
      <c r="X710"/>
      <c r="Y710"/>
      <c r="AA710"/>
      <c r="AD710" s="177"/>
    </row>
    <row r="711" spans="1:30" s="54" customFormat="1" x14ac:dyDescent="0.25">
      <c r="A711"/>
      <c r="B711" s="41"/>
      <c r="C711"/>
      <c r="D711"/>
      <c r="E711" s="13"/>
      <c r="F711"/>
      <c r="G711"/>
      <c r="H711"/>
      <c r="I711" s="13"/>
      <c r="J711"/>
      <c r="K711"/>
      <c r="L711" s="38"/>
      <c r="M711" s="38"/>
      <c r="N711" s="52"/>
      <c r="O711"/>
      <c r="P711" s="38"/>
      <c r="Q711" s="38"/>
      <c r="R711" s="38"/>
      <c r="S711" s="38"/>
      <c r="T711"/>
      <c r="U711" s="53"/>
      <c r="W711"/>
      <c r="X711"/>
      <c r="Y711"/>
      <c r="AA711"/>
      <c r="AD711" s="177"/>
    </row>
    <row r="712" spans="1:30" s="54" customFormat="1" x14ac:dyDescent="0.25">
      <c r="A712"/>
      <c r="B712" s="41"/>
      <c r="C712"/>
      <c r="D712"/>
      <c r="E712" s="13"/>
      <c r="F712"/>
      <c r="G712"/>
      <c r="H712"/>
      <c r="I712" s="13"/>
      <c r="J712"/>
      <c r="K712"/>
      <c r="L712" s="38"/>
      <c r="M712" s="38"/>
      <c r="N712" s="52"/>
      <c r="O712"/>
      <c r="P712" s="38"/>
      <c r="Q712" s="38"/>
      <c r="R712" s="38"/>
      <c r="S712" s="38"/>
      <c r="T712"/>
      <c r="U712" s="53"/>
      <c r="W712"/>
      <c r="X712"/>
      <c r="Y712"/>
      <c r="AA712"/>
      <c r="AD712" s="177"/>
    </row>
    <row r="713" spans="1:30" s="54" customFormat="1" x14ac:dyDescent="0.25">
      <c r="A713"/>
      <c r="B713" s="41"/>
      <c r="C713"/>
      <c r="D713"/>
      <c r="E713" s="13"/>
      <c r="F713"/>
      <c r="G713"/>
      <c r="H713"/>
      <c r="I713" s="13"/>
      <c r="J713"/>
      <c r="K713"/>
      <c r="L713" s="38"/>
      <c r="M713" s="38"/>
      <c r="N713" s="52"/>
      <c r="O713"/>
      <c r="P713" s="38"/>
      <c r="Q713" s="38"/>
      <c r="R713" s="38"/>
      <c r="S713" s="38"/>
      <c r="T713"/>
      <c r="U713" s="53"/>
      <c r="W713"/>
      <c r="X713"/>
      <c r="Y713"/>
      <c r="AA713"/>
      <c r="AD713" s="177"/>
    </row>
    <row r="714" spans="1:30" s="54" customFormat="1" x14ac:dyDescent="0.25">
      <c r="A714"/>
      <c r="B714" s="41"/>
      <c r="C714"/>
      <c r="D714"/>
      <c r="E714" s="13"/>
      <c r="F714"/>
      <c r="G714"/>
      <c r="H714"/>
      <c r="I714" s="13"/>
      <c r="J714"/>
      <c r="K714"/>
      <c r="L714" s="38"/>
      <c r="M714" s="38"/>
      <c r="N714" s="52"/>
      <c r="O714"/>
      <c r="P714" s="38"/>
      <c r="Q714" s="38"/>
      <c r="R714" s="38"/>
      <c r="S714" s="38"/>
      <c r="T714"/>
      <c r="U714" s="53"/>
      <c r="W714"/>
      <c r="X714"/>
      <c r="Y714"/>
      <c r="AA714"/>
      <c r="AD714" s="177"/>
    </row>
    <row r="715" spans="1:30" s="54" customFormat="1" x14ac:dyDescent="0.25">
      <c r="A715"/>
      <c r="B715" s="41"/>
      <c r="C715"/>
      <c r="D715"/>
      <c r="E715" s="13"/>
      <c r="F715"/>
      <c r="G715"/>
      <c r="H715"/>
      <c r="I715" s="13"/>
      <c r="J715"/>
      <c r="K715"/>
      <c r="L715" s="38"/>
      <c r="M715" s="38"/>
      <c r="N715" s="52"/>
      <c r="O715"/>
      <c r="P715" s="38"/>
      <c r="Q715" s="38"/>
      <c r="R715" s="38"/>
      <c r="S715" s="38"/>
      <c r="T715"/>
      <c r="U715" s="53"/>
      <c r="W715"/>
      <c r="X715"/>
      <c r="Y715"/>
      <c r="AA715"/>
      <c r="AD715" s="177"/>
    </row>
    <row r="716" spans="1:30" s="54" customFormat="1" x14ac:dyDescent="0.25">
      <c r="A716"/>
      <c r="B716" s="41"/>
      <c r="C716"/>
      <c r="D716"/>
      <c r="E716" s="13"/>
      <c r="F716"/>
      <c r="G716"/>
      <c r="H716"/>
      <c r="I716" s="13"/>
      <c r="J716"/>
      <c r="K716"/>
      <c r="L716" s="38"/>
      <c r="M716" s="38"/>
      <c r="N716" s="52"/>
      <c r="O716"/>
      <c r="P716" s="38"/>
      <c r="Q716" s="38"/>
      <c r="R716" s="38"/>
      <c r="S716" s="38"/>
      <c r="T716"/>
      <c r="U716" s="53"/>
      <c r="W716"/>
      <c r="X716"/>
      <c r="Y716"/>
      <c r="AA716"/>
      <c r="AD716" s="177"/>
    </row>
    <row r="717" spans="1:30" s="54" customFormat="1" x14ac:dyDescent="0.25">
      <c r="A717"/>
      <c r="B717" s="41"/>
      <c r="C717"/>
      <c r="D717"/>
      <c r="E717" s="13"/>
      <c r="F717"/>
      <c r="G717"/>
      <c r="H717"/>
      <c r="I717" s="13"/>
      <c r="J717"/>
      <c r="K717"/>
      <c r="L717" s="38"/>
      <c r="M717" s="38"/>
      <c r="N717" s="52"/>
      <c r="O717"/>
      <c r="P717" s="38"/>
      <c r="Q717" s="38"/>
      <c r="R717" s="38"/>
      <c r="S717" s="38"/>
      <c r="T717"/>
      <c r="U717" s="53"/>
      <c r="W717"/>
      <c r="X717"/>
      <c r="Y717"/>
      <c r="AA717"/>
      <c r="AD717" s="177"/>
    </row>
    <row r="718" spans="1:30" s="54" customFormat="1" x14ac:dyDescent="0.25">
      <c r="A718"/>
      <c r="B718" s="41"/>
      <c r="C718"/>
      <c r="D718"/>
      <c r="E718" s="13"/>
      <c r="F718"/>
      <c r="G718"/>
      <c r="H718"/>
      <c r="I718" s="13"/>
      <c r="J718"/>
      <c r="K718"/>
      <c r="L718" s="38"/>
      <c r="M718" s="38"/>
      <c r="N718" s="52"/>
      <c r="O718"/>
      <c r="P718" s="38"/>
      <c r="Q718" s="38"/>
      <c r="R718" s="38"/>
      <c r="S718" s="38"/>
      <c r="T718"/>
      <c r="U718" s="53"/>
      <c r="W718"/>
      <c r="X718"/>
      <c r="Y718"/>
      <c r="AA718"/>
      <c r="AD718" s="177"/>
    </row>
    <row r="719" spans="1:30" s="54" customFormat="1" x14ac:dyDescent="0.25">
      <c r="A719"/>
      <c r="B719" s="41"/>
      <c r="C719"/>
      <c r="D719"/>
      <c r="E719" s="13"/>
      <c r="F719"/>
      <c r="G719"/>
      <c r="H719"/>
      <c r="I719" s="13"/>
      <c r="J719"/>
      <c r="K719"/>
      <c r="L719" s="38"/>
      <c r="M719" s="38"/>
      <c r="N719" s="52"/>
      <c r="O719"/>
      <c r="P719" s="38"/>
      <c r="Q719" s="38"/>
      <c r="R719" s="38"/>
      <c r="S719" s="38"/>
      <c r="T719"/>
      <c r="U719" s="53"/>
      <c r="W719"/>
      <c r="X719"/>
      <c r="Y719"/>
      <c r="AA719"/>
      <c r="AD719" s="177"/>
    </row>
    <row r="720" spans="1:30" s="54" customFormat="1" x14ac:dyDescent="0.25">
      <c r="A720"/>
      <c r="B720" s="41"/>
      <c r="C720"/>
      <c r="D720"/>
      <c r="E720" s="13"/>
      <c r="F720"/>
      <c r="G720"/>
      <c r="H720"/>
      <c r="I720" s="13"/>
      <c r="J720"/>
      <c r="K720"/>
      <c r="L720" s="38"/>
      <c r="M720" s="38"/>
      <c r="N720" s="52"/>
      <c r="O720"/>
      <c r="P720" s="38"/>
      <c r="Q720" s="38"/>
      <c r="R720" s="38"/>
      <c r="S720" s="38"/>
      <c r="T720"/>
      <c r="U720" s="53"/>
      <c r="W720"/>
      <c r="X720"/>
      <c r="Y720"/>
      <c r="AA720"/>
      <c r="AD720" s="177"/>
    </row>
    <row r="721" spans="1:30" s="54" customFormat="1" x14ac:dyDescent="0.25">
      <c r="A721"/>
      <c r="B721" s="41"/>
      <c r="C721"/>
      <c r="D721"/>
      <c r="E721" s="13"/>
      <c r="F721"/>
      <c r="G721"/>
      <c r="H721"/>
      <c r="I721" s="13"/>
      <c r="J721"/>
      <c r="K721"/>
      <c r="L721" s="38"/>
      <c r="M721" s="38"/>
      <c r="N721" s="52"/>
      <c r="O721"/>
      <c r="P721" s="38"/>
      <c r="Q721" s="38"/>
      <c r="R721" s="38"/>
      <c r="S721" s="38"/>
      <c r="T721"/>
      <c r="U721" s="53"/>
      <c r="W721"/>
      <c r="X721"/>
      <c r="Y721"/>
      <c r="AA721"/>
      <c r="AD721" s="177"/>
    </row>
    <row r="722" spans="1:30" s="54" customFormat="1" x14ac:dyDescent="0.25">
      <c r="A722"/>
      <c r="B722" s="41"/>
      <c r="C722"/>
      <c r="D722"/>
      <c r="E722" s="13"/>
      <c r="F722"/>
      <c r="G722"/>
      <c r="H722"/>
      <c r="I722" s="13"/>
      <c r="J722"/>
      <c r="K722"/>
      <c r="L722" s="38"/>
      <c r="M722" s="38"/>
      <c r="N722" s="52"/>
      <c r="O722"/>
      <c r="P722" s="38"/>
      <c r="Q722" s="38"/>
      <c r="R722" s="38"/>
      <c r="S722" s="38"/>
      <c r="T722"/>
      <c r="U722" s="38"/>
      <c r="W722"/>
      <c r="X722"/>
      <c r="Y722"/>
      <c r="AA722"/>
      <c r="AD722" s="177"/>
    </row>
    <row r="723" spans="1:30" s="54" customFormat="1" x14ac:dyDescent="0.25">
      <c r="A723"/>
      <c r="B723" s="41"/>
      <c r="C723"/>
      <c r="D723"/>
      <c r="E723" s="13"/>
      <c r="F723"/>
      <c r="G723"/>
      <c r="H723"/>
      <c r="I723" s="13"/>
      <c r="J723"/>
      <c r="K723"/>
      <c r="L723" s="38"/>
      <c r="M723" s="38"/>
      <c r="N723" s="52"/>
      <c r="O723"/>
      <c r="P723" s="38"/>
      <c r="Q723" s="38"/>
      <c r="R723" s="38"/>
      <c r="S723" s="38"/>
      <c r="T723"/>
      <c r="U723" s="38"/>
      <c r="W723"/>
      <c r="X723"/>
      <c r="Y723"/>
      <c r="AA723"/>
      <c r="AD723" s="177"/>
    </row>
    <row r="724" spans="1:30" s="54" customFormat="1" x14ac:dyDescent="0.25">
      <c r="A724"/>
      <c r="B724" s="41"/>
      <c r="C724"/>
      <c r="D724"/>
      <c r="E724" s="13"/>
      <c r="F724"/>
      <c r="G724"/>
      <c r="H724"/>
      <c r="I724" s="13"/>
      <c r="J724"/>
      <c r="K724"/>
      <c r="L724" s="38"/>
      <c r="M724" s="38"/>
      <c r="N724" s="52"/>
      <c r="O724"/>
      <c r="P724" s="38"/>
      <c r="Q724" s="38"/>
      <c r="R724" s="38"/>
      <c r="S724" s="38"/>
      <c r="T724"/>
      <c r="U724" s="38"/>
      <c r="W724"/>
      <c r="X724"/>
      <c r="Y724"/>
      <c r="AA724"/>
      <c r="AD724" s="177"/>
    </row>
    <row r="725" spans="1:30" s="54" customFormat="1" x14ac:dyDescent="0.25">
      <c r="A725"/>
      <c r="B725" s="41"/>
      <c r="C725"/>
      <c r="D725"/>
      <c r="E725" s="13"/>
      <c r="F725"/>
      <c r="G725"/>
      <c r="H725"/>
      <c r="I725" s="13"/>
      <c r="J725"/>
      <c r="K725"/>
      <c r="L725" s="38"/>
      <c r="M725" s="38"/>
      <c r="N725" s="52"/>
      <c r="O725"/>
      <c r="P725" s="38"/>
      <c r="Q725" s="38"/>
      <c r="R725" s="38"/>
      <c r="S725" s="38"/>
      <c r="T725"/>
      <c r="U725" s="38"/>
      <c r="W725"/>
      <c r="X725"/>
      <c r="Y725"/>
      <c r="AA725"/>
      <c r="AD725" s="177"/>
    </row>
    <row r="726" spans="1:30" s="54" customFormat="1" x14ac:dyDescent="0.25">
      <c r="A726"/>
      <c r="B726" s="41"/>
      <c r="C726"/>
      <c r="D726"/>
      <c r="E726" s="13"/>
      <c r="F726"/>
      <c r="G726"/>
      <c r="H726"/>
      <c r="I726" s="13"/>
      <c r="J726"/>
      <c r="K726"/>
      <c r="L726" s="38"/>
      <c r="M726" s="38"/>
      <c r="N726" s="52"/>
      <c r="O726"/>
      <c r="P726" s="38"/>
      <c r="Q726" s="38"/>
      <c r="R726" s="38"/>
      <c r="S726" s="38"/>
      <c r="T726"/>
      <c r="U726" s="38"/>
      <c r="W726"/>
      <c r="X726"/>
      <c r="Y726"/>
      <c r="AA726"/>
      <c r="AD726" s="177"/>
    </row>
    <row r="727" spans="1:30" s="54" customFormat="1" x14ac:dyDescent="0.25">
      <c r="A727"/>
      <c r="B727" s="41"/>
      <c r="C727"/>
      <c r="D727"/>
      <c r="E727" s="13"/>
      <c r="F727"/>
      <c r="G727"/>
      <c r="H727"/>
      <c r="I727" s="13"/>
      <c r="J727"/>
      <c r="K727"/>
      <c r="L727" s="38"/>
      <c r="M727" s="38"/>
      <c r="N727" s="52"/>
      <c r="O727"/>
      <c r="P727" s="38"/>
      <c r="Q727" s="38"/>
      <c r="R727" s="38"/>
      <c r="S727" s="38"/>
      <c r="T727"/>
      <c r="U727" s="38"/>
      <c r="W727"/>
      <c r="X727"/>
      <c r="Y727"/>
      <c r="AA727"/>
      <c r="AD727" s="177"/>
    </row>
    <row r="728" spans="1:30" s="54" customFormat="1" x14ac:dyDescent="0.25">
      <c r="A728"/>
      <c r="B728" s="41"/>
      <c r="C728"/>
      <c r="D728"/>
      <c r="E728" s="13"/>
      <c r="F728"/>
      <c r="G728"/>
      <c r="H728"/>
      <c r="I728" s="13"/>
      <c r="J728"/>
      <c r="K728"/>
      <c r="L728" s="38"/>
      <c r="M728" s="38"/>
      <c r="N728" s="52"/>
      <c r="O728"/>
      <c r="P728" s="38"/>
      <c r="Q728" s="38"/>
      <c r="R728" s="38"/>
      <c r="S728" s="38"/>
      <c r="T728"/>
      <c r="U728" s="38"/>
      <c r="W728"/>
      <c r="X728"/>
      <c r="Y728"/>
      <c r="AA728"/>
      <c r="AD728" s="177"/>
    </row>
    <row r="729" spans="1:30" s="54" customFormat="1" x14ac:dyDescent="0.25">
      <c r="A729"/>
      <c r="B729" s="41"/>
      <c r="C729"/>
      <c r="D729"/>
      <c r="E729" s="13"/>
      <c r="F729"/>
      <c r="G729"/>
      <c r="H729"/>
      <c r="I729" s="13"/>
      <c r="J729"/>
      <c r="K729"/>
      <c r="L729" s="38"/>
      <c r="M729" s="38"/>
      <c r="N729" s="52"/>
      <c r="O729"/>
      <c r="P729" s="38"/>
      <c r="Q729" s="38"/>
      <c r="R729" s="38"/>
      <c r="S729" s="38"/>
      <c r="T729"/>
      <c r="U729" s="38"/>
      <c r="W729"/>
      <c r="X729"/>
      <c r="Y729"/>
      <c r="AA729"/>
      <c r="AD729" s="177"/>
    </row>
    <row r="730" spans="1:30" s="54" customFormat="1" x14ac:dyDescent="0.25">
      <c r="A730"/>
      <c r="B730" s="41"/>
      <c r="C730"/>
      <c r="D730"/>
      <c r="E730" s="13"/>
      <c r="F730"/>
      <c r="G730"/>
      <c r="H730"/>
      <c r="I730" s="13"/>
      <c r="J730"/>
      <c r="K730"/>
      <c r="L730" s="38"/>
      <c r="M730" s="38"/>
      <c r="N730" s="52"/>
      <c r="O730"/>
      <c r="P730" s="38"/>
      <c r="Q730" s="38"/>
      <c r="R730" s="38"/>
      <c r="S730" s="38"/>
      <c r="T730"/>
      <c r="U730" s="38"/>
      <c r="W730"/>
      <c r="X730"/>
      <c r="Y730"/>
      <c r="AA730"/>
      <c r="AD730" s="177"/>
    </row>
    <row r="731" spans="1:30" s="54" customFormat="1" x14ac:dyDescent="0.25">
      <c r="A731"/>
      <c r="B731" s="41"/>
      <c r="C731"/>
      <c r="D731"/>
      <c r="E731" s="13"/>
      <c r="F731"/>
      <c r="G731"/>
      <c r="H731"/>
      <c r="I731" s="13"/>
      <c r="J731"/>
      <c r="K731"/>
      <c r="L731" s="38"/>
      <c r="M731" s="38"/>
      <c r="N731" s="52"/>
      <c r="O731"/>
      <c r="P731" s="38"/>
      <c r="Q731" s="38"/>
      <c r="R731" s="38"/>
      <c r="S731" s="38"/>
      <c r="T731"/>
      <c r="U731" s="38"/>
      <c r="W731"/>
      <c r="X731"/>
      <c r="Y731"/>
      <c r="AA731"/>
      <c r="AD731" s="177"/>
    </row>
    <row r="732" spans="1:30" x14ac:dyDescent="0.25">
      <c r="L732" s="38"/>
      <c r="M732" s="38"/>
      <c r="N732" s="52"/>
    </row>
    <row r="733" spans="1:30" x14ac:dyDescent="0.25">
      <c r="L733" s="38"/>
      <c r="M733" s="38"/>
      <c r="N733" s="52"/>
    </row>
    <row r="734" spans="1:30" x14ac:dyDescent="0.25">
      <c r="L734" s="38"/>
      <c r="M734" s="38"/>
      <c r="N734" s="52"/>
    </row>
    <row r="735" spans="1:30" x14ac:dyDescent="0.25">
      <c r="L735" s="38"/>
      <c r="M735" s="38"/>
      <c r="N735" s="52"/>
    </row>
    <row r="736" spans="1:30" x14ac:dyDescent="0.25">
      <c r="L736" s="38"/>
      <c r="M736" s="38"/>
      <c r="N736" s="52"/>
    </row>
    <row r="737" spans="12:14" x14ac:dyDescent="0.25">
      <c r="L737" s="38"/>
      <c r="M737" s="38"/>
      <c r="N737" s="52"/>
    </row>
    <row r="738" spans="12:14" x14ac:dyDescent="0.25">
      <c r="L738" s="38"/>
      <c r="M738" s="38"/>
      <c r="N738" s="52"/>
    </row>
    <row r="739" spans="12:14" x14ac:dyDescent="0.25">
      <c r="L739" s="38"/>
      <c r="M739" s="38"/>
      <c r="N739" s="52"/>
    </row>
    <row r="740" spans="12:14" x14ac:dyDescent="0.25">
      <c r="L740" s="38"/>
      <c r="M740" s="38"/>
      <c r="N740" s="52"/>
    </row>
    <row r="741" spans="12:14" x14ac:dyDescent="0.25">
      <c r="L741" s="38"/>
      <c r="M741" s="38"/>
      <c r="N741" s="52"/>
    </row>
    <row r="742" spans="12:14" x14ac:dyDescent="0.25">
      <c r="L742" s="38"/>
      <c r="M742" s="38"/>
      <c r="N742" s="52"/>
    </row>
    <row r="743" spans="12:14" x14ac:dyDescent="0.25">
      <c r="L743" s="38"/>
      <c r="M743" s="38"/>
      <c r="N743" s="52"/>
    </row>
    <row r="744" spans="12:14" x14ac:dyDescent="0.25">
      <c r="L744" s="38"/>
      <c r="M744" s="38"/>
      <c r="N744" s="52"/>
    </row>
    <row r="745" spans="12:14" x14ac:dyDescent="0.25">
      <c r="L745" s="38"/>
      <c r="M745" s="38"/>
      <c r="N745" s="52"/>
    </row>
    <row r="746" spans="12:14" x14ac:dyDescent="0.25">
      <c r="L746" s="38"/>
      <c r="M746" s="38"/>
      <c r="N746" s="52"/>
    </row>
    <row r="747" spans="12:14" x14ac:dyDescent="0.25">
      <c r="L747" s="38"/>
      <c r="M747" s="38"/>
      <c r="N747" s="52"/>
    </row>
    <row r="748" spans="12:14" x14ac:dyDescent="0.25">
      <c r="L748" s="38"/>
      <c r="M748" s="38"/>
      <c r="N748" s="52"/>
    </row>
    <row r="749" spans="12:14" x14ac:dyDescent="0.25">
      <c r="L749" s="38"/>
      <c r="M749" s="38"/>
      <c r="N749" s="52"/>
    </row>
    <row r="750" spans="12:14" x14ac:dyDescent="0.25">
      <c r="L750" s="38"/>
      <c r="M750" s="38"/>
      <c r="N750" s="52"/>
    </row>
    <row r="751" spans="12:14" x14ac:dyDescent="0.25">
      <c r="L751" s="38"/>
      <c r="M751" s="38"/>
      <c r="N751" s="52"/>
    </row>
    <row r="752" spans="12:14" x14ac:dyDescent="0.25">
      <c r="L752" s="38"/>
      <c r="M752" s="38"/>
      <c r="N752" s="52"/>
    </row>
    <row r="753" spans="12:14" x14ac:dyDescent="0.25">
      <c r="L753" s="38"/>
      <c r="M753" s="38"/>
      <c r="N753" s="52"/>
    </row>
    <row r="754" spans="12:14" x14ac:dyDescent="0.25">
      <c r="L754" s="38"/>
      <c r="M754" s="38"/>
      <c r="N754" s="52"/>
    </row>
    <row r="755" spans="12:14" x14ac:dyDescent="0.25">
      <c r="L755" s="38"/>
      <c r="M755" s="38"/>
      <c r="N755" s="52"/>
    </row>
    <row r="756" spans="12:14" x14ac:dyDescent="0.25">
      <c r="L756" s="38"/>
      <c r="M756" s="38"/>
      <c r="N756" s="52"/>
    </row>
    <row r="757" spans="12:14" x14ac:dyDescent="0.25">
      <c r="L757" s="38"/>
      <c r="M757" s="38"/>
      <c r="N757" s="52"/>
    </row>
    <row r="758" spans="12:14" x14ac:dyDescent="0.25">
      <c r="L758" s="38"/>
      <c r="M758" s="38"/>
      <c r="N758" s="52"/>
    </row>
    <row r="759" spans="12:14" x14ac:dyDescent="0.25">
      <c r="L759" s="38"/>
      <c r="M759" s="38"/>
      <c r="N759" s="52"/>
    </row>
    <row r="760" spans="12:14" x14ac:dyDescent="0.25">
      <c r="L760" s="38"/>
      <c r="M760" s="38"/>
      <c r="N760" s="52"/>
    </row>
    <row r="761" spans="12:14" x14ac:dyDescent="0.25">
      <c r="L761" s="38"/>
      <c r="M761" s="38"/>
      <c r="N761" s="52"/>
    </row>
    <row r="762" spans="12:14" x14ac:dyDescent="0.25">
      <c r="L762" s="38"/>
      <c r="M762" s="38"/>
      <c r="N762" s="52"/>
    </row>
    <row r="763" spans="12:14" x14ac:dyDescent="0.25">
      <c r="L763" s="38"/>
      <c r="M763" s="38"/>
      <c r="N763" s="52"/>
    </row>
    <row r="764" spans="12:14" x14ac:dyDescent="0.25">
      <c r="L764" s="38"/>
      <c r="M764" s="38"/>
      <c r="N764" s="52"/>
    </row>
    <row r="765" spans="12:14" x14ac:dyDescent="0.25">
      <c r="L765" s="38"/>
      <c r="M765" s="38"/>
      <c r="N765" s="52"/>
    </row>
    <row r="766" spans="12:14" x14ac:dyDescent="0.25">
      <c r="L766" s="38"/>
      <c r="M766" s="38"/>
      <c r="N766" s="52"/>
    </row>
    <row r="767" spans="12:14" x14ac:dyDescent="0.25">
      <c r="L767" s="38"/>
      <c r="M767" s="38"/>
      <c r="N767" s="52"/>
    </row>
    <row r="768" spans="12:14" x14ac:dyDescent="0.25">
      <c r="L768" s="38"/>
      <c r="M768" s="38"/>
      <c r="N768" s="52"/>
    </row>
    <row r="769" spans="12:14" x14ac:dyDescent="0.25">
      <c r="L769" s="38"/>
      <c r="M769" s="38"/>
      <c r="N769" s="52"/>
    </row>
    <row r="770" spans="12:14" x14ac:dyDescent="0.25">
      <c r="L770" s="38"/>
      <c r="M770" s="38"/>
      <c r="N770" s="52"/>
    </row>
    <row r="771" spans="12:14" x14ac:dyDescent="0.25">
      <c r="L771" s="38"/>
      <c r="M771" s="38"/>
      <c r="N771" s="52"/>
    </row>
    <row r="772" spans="12:14" x14ac:dyDescent="0.25">
      <c r="L772" s="38"/>
      <c r="M772" s="38"/>
      <c r="N772" s="52"/>
    </row>
    <row r="773" spans="12:14" x14ac:dyDescent="0.25">
      <c r="L773" s="38"/>
      <c r="M773" s="38"/>
      <c r="N773" s="52"/>
    </row>
    <row r="774" spans="12:14" x14ac:dyDescent="0.25">
      <c r="L774" s="38"/>
      <c r="M774" s="38"/>
      <c r="N774" s="52"/>
    </row>
    <row r="775" spans="12:14" x14ac:dyDescent="0.25">
      <c r="L775" s="38"/>
      <c r="M775" s="38"/>
      <c r="N775" s="52"/>
    </row>
    <row r="776" spans="12:14" x14ac:dyDescent="0.25">
      <c r="L776" s="38"/>
      <c r="M776" s="38"/>
      <c r="N776" s="52"/>
    </row>
    <row r="777" spans="12:14" x14ac:dyDescent="0.25">
      <c r="L777" s="38"/>
      <c r="M777" s="38"/>
      <c r="N777" s="52"/>
    </row>
    <row r="778" spans="12:14" x14ac:dyDescent="0.25">
      <c r="L778" s="38"/>
      <c r="M778" s="38"/>
      <c r="N778" s="52"/>
    </row>
    <row r="779" spans="12:14" x14ac:dyDescent="0.25">
      <c r="L779" s="38"/>
      <c r="M779" s="38"/>
      <c r="N779" s="52"/>
    </row>
    <row r="780" spans="12:14" x14ac:dyDescent="0.25">
      <c r="L780" s="38"/>
      <c r="M780" s="38"/>
      <c r="N780" s="52"/>
    </row>
    <row r="781" spans="12:14" x14ac:dyDescent="0.25">
      <c r="L781" s="38"/>
      <c r="M781" s="38"/>
      <c r="N781" s="52"/>
    </row>
    <row r="782" spans="12:14" x14ac:dyDescent="0.25">
      <c r="L782" s="38"/>
      <c r="M782" s="38"/>
      <c r="N782" s="52"/>
    </row>
    <row r="783" spans="12:14" x14ac:dyDescent="0.25">
      <c r="L783" s="38"/>
      <c r="M783" s="38"/>
      <c r="N783" s="52"/>
    </row>
    <row r="784" spans="12:14" x14ac:dyDescent="0.25">
      <c r="L784" s="38"/>
      <c r="M784" s="38"/>
      <c r="N784" s="52"/>
    </row>
    <row r="785" spans="12:14" x14ac:dyDescent="0.25">
      <c r="L785" s="38"/>
      <c r="M785" s="38"/>
      <c r="N785" s="52"/>
    </row>
    <row r="786" spans="12:14" x14ac:dyDescent="0.25">
      <c r="L786" s="38"/>
      <c r="M786" s="38"/>
      <c r="N786" s="52"/>
    </row>
    <row r="787" spans="12:14" x14ac:dyDescent="0.25">
      <c r="L787" s="38"/>
      <c r="M787" s="38"/>
      <c r="N787" s="52"/>
    </row>
    <row r="788" spans="12:14" x14ac:dyDescent="0.25">
      <c r="L788" s="38"/>
      <c r="M788" s="38"/>
      <c r="N788" s="52"/>
    </row>
    <row r="789" spans="12:14" x14ac:dyDescent="0.25">
      <c r="L789" s="38"/>
      <c r="M789" s="38"/>
      <c r="N789" s="52"/>
    </row>
    <row r="790" spans="12:14" x14ac:dyDescent="0.25">
      <c r="L790" s="38"/>
      <c r="M790" s="38"/>
      <c r="N790" s="52"/>
    </row>
    <row r="791" spans="12:14" x14ac:dyDescent="0.25">
      <c r="L791" s="38"/>
      <c r="M791" s="38"/>
      <c r="N791" s="52"/>
    </row>
    <row r="792" spans="12:14" x14ac:dyDescent="0.25">
      <c r="L792" s="38"/>
      <c r="M792" s="38"/>
      <c r="N792" s="52"/>
    </row>
    <row r="793" spans="12:14" x14ac:dyDescent="0.25">
      <c r="L793" s="38"/>
      <c r="M793" s="38"/>
      <c r="N793" s="52"/>
    </row>
    <row r="794" spans="12:14" x14ac:dyDescent="0.25">
      <c r="L794" s="38"/>
      <c r="M794" s="38"/>
      <c r="N794" s="52"/>
    </row>
    <row r="795" spans="12:14" x14ac:dyDescent="0.25">
      <c r="L795" s="38"/>
      <c r="M795" s="38"/>
      <c r="N795" s="52"/>
    </row>
    <row r="796" spans="12:14" x14ac:dyDescent="0.25">
      <c r="L796" s="38"/>
      <c r="M796" s="38"/>
      <c r="N796" s="52"/>
    </row>
    <row r="797" spans="12:14" x14ac:dyDescent="0.25">
      <c r="L797" s="38"/>
      <c r="M797" s="38"/>
      <c r="N797" s="52"/>
    </row>
    <row r="798" spans="12:14" x14ac:dyDescent="0.25">
      <c r="L798" s="38"/>
      <c r="M798" s="38"/>
      <c r="N798" s="52"/>
    </row>
    <row r="799" spans="12:14" x14ac:dyDescent="0.25">
      <c r="L799" s="38"/>
      <c r="M799" s="38"/>
      <c r="N799" s="52"/>
    </row>
    <row r="800" spans="12:14" x14ac:dyDescent="0.25">
      <c r="L800" s="38"/>
      <c r="M800" s="38"/>
      <c r="N800" s="52"/>
    </row>
    <row r="801" spans="12:14" x14ac:dyDescent="0.25">
      <c r="L801" s="38"/>
      <c r="M801" s="38"/>
      <c r="N801" s="52"/>
    </row>
    <row r="802" spans="12:14" x14ac:dyDescent="0.25">
      <c r="L802" s="38"/>
      <c r="M802" s="38"/>
      <c r="N802" s="52"/>
    </row>
    <row r="803" spans="12:14" x14ac:dyDescent="0.25">
      <c r="L803" s="38"/>
      <c r="M803" s="38"/>
      <c r="N803" s="52"/>
    </row>
    <row r="804" spans="12:14" x14ac:dyDescent="0.25">
      <c r="L804" s="38"/>
      <c r="M804" s="38"/>
      <c r="N804" s="52"/>
    </row>
    <row r="805" spans="12:14" x14ac:dyDescent="0.25">
      <c r="L805" s="38"/>
      <c r="M805" s="38"/>
      <c r="N805" s="52"/>
    </row>
    <row r="806" spans="12:14" x14ac:dyDescent="0.25">
      <c r="L806" s="38"/>
      <c r="M806" s="38"/>
      <c r="N806" s="52"/>
    </row>
    <row r="807" spans="12:14" x14ac:dyDescent="0.25">
      <c r="L807" s="38"/>
      <c r="M807" s="38"/>
      <c r="N807" s="52"/>
    </row>
    <row r="808" spans="12:14" x14ac:dyDescent="0.25">
      <c r="L808" s="38"/>
      <c r="M808" s="38"/>
      <c r="N808" s="52"/>
    </row>
    <row r="809" spans="12:14" x14ac:dyDescent="0.25">
      <c r="L809" s="38"/>
      <c r="M809" s="38"/>
      <c r="N809" s="52"/>
    </row>
    <row r="810" spans="12:14" x14ac:dyDescent="0.25">
      <c r="L810" s="38"/>
      <c r="M810" s="38"/>
      <c r="N810" s="52"/>
    </row>
    <row r="811" spans="12:14" x14ac:dyDescent="0.25">
      <c r="L811" s="38"/>
      <c r="M811" s="38"/>
      <c r="N811" s="52"/>
    </row>
    <row r="812" spans="12:14" x14ac:dyDescent="0.25">
      <c r="L812" s="38"/>
      <c r="M812" s="38"/>
      <c r="N812" s="52"/>
    </row>
    <row r="813" spans="12:14" x14ac:dyDescent="0.25">
      <c r="L813" s="38"/>
      <c r="M813" s="38"/>
      <c r="N813" s="52"/>
    </row>
    <row r="814" spans="12:14" x14ac:dyDescent="0.25">
      <c r="L814" s="38"/>
      <c r="M814" s="38"/>
      <c r="N814" s="52"/>
    </row>
    <row r="815" spans="12:14" x14ac:dyDescent="0.25">
      <c r="L815" s="38"/>
      <c r="M815" s="38"/>
      <c r="N815" s="52"/>
    </row>
    <row r="816" spans="12:14" x14ac:dyDescent="0.25">
      <c r="L816" s="38"/>
      <c r="M816" s="38"/>
      <c r="N816" s="52"/>
    </row>
    <row r="817" spans="12:14" x14ac:dyDescent="0.25">
      <c r="L817" s="38"/>
      <c r="M817" s="38"/>
      <c r="N817" s="52"/>
    </row>
    <row r="818" spans="12:14" x14ac:dyDescent="0.25">
      <c r="L818" s="38"/>
      <c r="M818" s="38"/>
      <c r="N818" s="52"/>
    </row>
    <row r="819" spans="12:14" x14ac:dyDescent="0.25">
      <c r="L819" s="38"/>
      <c r="M819" s="38"/>
      <c r="N819" s="52"/>
    </row>
    <row r="820" spans="12:14" x14ac:dyDescent="0.25">
      <c r="L820" s="38"/>
      <c r="M820" s="38"/>
      <c r="N820" s="52"/>
    </row>
    <row r="821" spans="12:14" x14ac:dyDescent="0.25">
      <c r="L821" s="38"/>
      <c r="M821" s="38"/>
      <c r="N821" s="52"/>
    </row>
    <row r="822" spans="12:14" x14ac:dyDescent="0.25">
      <c r="L822" s="38"/>
      <c r="M822" s="38"/>
      <c r="N822" s="52"/>
    </row>
    <row r="823" spans="12:14" x14ac:dyDescent="0.25">
      <c r="L823" s="38"/>
      <c r="M823" s="38"/>
      <c r="N823" s="52"/>
    </row>
    <row r="824" spans="12:14" x14ac:dyDescent="0.25">
      <c r="L824" s="38"/>
      <c r="M824" s="38"/>
      <c r="N824" s="52"/>
    </row>
    <row r="825" spans="12:14" x14ac:dyDescent="0.25">
      <c r="L825" s="38"/>
      <c r="M825" s="38"/>
      <c r="N825" s="52"/>
    </row>
    <row r="826" spans="12:14" x14ac:dyDescent="0.25">
      <c r="L826" s="38"/>
      <c r="M826" s="38"/>
      <c r="N826" s="52"/>
    </row>
    <row r="827" spans="12:14" x14ac:dyDescent="0.25">
      <c r="L827" s="38"/>
      <c r="M827" s="38"/>
      <c r="N827" s="52"/>
    </row>
    <row r="828" spans="12:14" x14ac:dyDescent="0.25">
      <c r="L828" s="38"/>
      <c r="M828" s="38"/>
      <c r="N828" s="52"/>
    </row>
    <row r="829" spans="12:14" x14ac:dyDescent="0.25">
      <c r="L829" s="38"/>
      <c r="M829" s="38"/>
      <c r="N829" s="52"/>
    </row>
    <row r="830" spans="12:14" x14ac:dyDescent="0.25">
      <c r="L830" s="38"/>
      <c r="M830" s="38"/>
      <c r="N830" s="52"/>
    </row>
    <row r="831" spans="12:14" x14ac:dyDescent="0.25">
      <c r="L831" s="38"/>
      <c r="M831" s="38"/>
      <c r="N831" s="52"/>
    </row>
    <row r="832" spans="12:14" x14ac:dyDescent="0.25">
      <c r="L832" s="38"/>
      <c r="M832" s="38"/>
      <c r="N832" s="52"/>
    </row>
    <row r="833" spans="12:14" x14ac:dyDescent="0.25">
      <c r="L833" s="38"/>
      <c r="M833" s="38"/>
      <c r="N833" s="52"/>
    </row>
    <row r="834" spans="12:14" x14ac:dyDescent="0.25">
      <c r="L834" s="38"/>
      <c r="M834" s="38"/>
      <c r="N834" s="52"/>
    </row>
    <row r="835" spans="12:14" x14ac:dyDescent="0.25">
      <c r="L835" s="38"/>
      <c r="M835" s="38"/>
      <c r="N835" s="52"/>
    </row>
    <row r="836" spans="12:14" x14ac:dyDescent="0.25">
      <c r="L836" s="38"/>
      <c r="M836" s="38"/>
      <c r="N836" s="52"/>
    </row>
    <row r="837" spans="12:14" x14ac:dyDescent="0.25">
      <c r="L837" s="38"/>
      <c r="M837" s="38"/>
      <c r="N837" s="52"/>
    </row>
    <row r="838" spans="12:14" x14ac:dyDescent="0.25">
      <c r="L838" s="38"/>
      <c r="M838" s="38"/>
      <c r="N838" s="52"/>
    </row>
    <row r="839" spans="12:14" x14ac:dyDescent="0.25">
      <c r="L839" s="38"/>
      <c r="M839" s="38"/>
      <c r="N839" s="52"/>
    </row>
    <row r="840" spans="12:14" x14ac:dyDescent="0.25">
      <c r="L840" s="38"/>
      <c r="M840" s="38"/>
      <c r="N840" s="52"/>
    </row>
    <row r="841" spans="12:14" x14ac:dyDescent="0.25">
      <c r="L841" s="38"/>
      <c r="M841" s="38"/>
      <c r="N841" s="52"/>
    </row>
    <row r="842" spans="12:14" x14ac:dyDescent="0.25">
      <c r="L842" s="38"/>
      <c r="M842" s="38"/>
      <c r="N842" s="52"/>
    </row>
    <row r="843" spans="12:14" x14ac:dyDescent="0.25">
      <c r="L843" s="38"/>
      <c r="M843" s="38"/>
      <c r="N843" s="52"/>
    </row>
    <row r="844" spans="12:14" x14ac:dyDescent="0.25">
      <c r="L844" s="38"/>
      <c r="M844" s="38"/>
      <c r="N844" s="52"/>
    </row>
    <row r="845" spans="12:14" x14ac:dyDescent="0.25">
      <c r="L845" s="38"/>
      <c r="M845" s="38"/>
      <c r="N845" s="52"/>
    </row>
    <row r="846" spans="12:14" x14ac:dyDescent="0.25">
      <c r="L846" s="38"/>
      <c r="M846" s="38"/>
      <c r="N846" s="52"/>
    </row>
    <row r="847" spans="12:14" x14ac:dyDescent="0.25">
      <c r="L847" s="38"/>
      <c r="M847" s="38"/>
      <c r="N847" s="52"/>
    </row>
    <row r="848" spans="12:14" x14ac:dyDescent="0.25">
      <c r="L848" s="38"/>
      <c r="M848" s="38"/>
      <c r="N848" s="52"/>
    </row>
    <row r="849" spans="12:14" x14ac:dyDescent="0.25">
      <c r="L849" s="38"/>
      <c r="M849" s="38"/>
      <c r="N849" s="52"/>
    </row>
    <row r="850" spans="12:14" x14ac:dyDescent="0.25">
      <c r="L850" s="38"/>
      <c r="M850" s="38"/>
      <c r="N850" s="52"/>
    </row>
    <row r="851" spans="12:14" x14ac:dyDescent="0.25">
      <c r="L851" s="38"/>
      <c r="M851" s="38"/>
      <c r="N851" s="52"/>
    </row>
    <row r="852" spans="12:14" x14ac:dyDescent="0.25">
      <c r="L852" s="38"/>
      <c r="M852" s="38"/>
      <c r="N852" s="52"/>
    </row>
    <row r="853" spans="12:14" x14ac:dyDescent="0.25">
      <c r="L853" s="38"/>
      <c r="M853" s="38"/>
      <c r="N853" s="52"/>
    </row>
    <row r="854" spans="12:14" x14ac:dyDescent="0.25">
      <c r="L854" s="38"/>
      <c r="M854" s="38"/>
      <c r="N854" s="52"/>
    </row>
    <row r="855" spans="12:14" x14ac:dyDescent="0.25">
      <c r="L855" s="38"/>
      <c r="M855" s="38"/>
      <c r="N855" s="52"/>
    </row>
    <row r="856" spans="12:14" x14ac:dyDescent="0.25">
      <c r="L856" s="38"/>
      <c r="M856" s="38"/>
      <c r="N856" s="52"/>
    </row>
    <row r="857" spans="12:14" x14ac:dyDescent="0.25">
      <c r="L857" s="38"/>
      <c r="M857" s="38"/>
      <c r="N857" s="52"/>
    </row>
    <row r="858" spans="12:14" x14ac:dyDescent="0.25">
      <c r="L858" s="38"/>
      <c r="M858" s="38"/>
      <c r="N858" s="52"/>
    </row>
    <row r="859" spans="12:14" x14ac:dyDescent="0.25">
      <c r="L859" s="38"/>
      <c r="M859" s="38"/>
      <c r="N859" s="52"/>
    </row>
    <row r="860" spans="12:14" x14ac:dyDescent="0.25">
      <c r="L860" s="38"/>
      <c r="M860" s="38"/>
      <c r="N860" s="52"/>
    </row>
    <row r="861" spans="12:14" x14ac:dyDescent="0.25">
      <c r="L861" s="38"/>
      <c r="M861" s="38"/>
      <c r="N861" s="52"/>
    </row>
    <row r="862" spans="12:14" x14ac:dyDescent="0.25">
      <c r="L862" s="38"/>
      <c r="M862" s="38"/>
      <c r="N862" s="52"/>
    </row>
    <row r="863" spans="12:14" x14ac:dyDescent="0.25">
      <c r="L863" s="38"/>
      <c r="M863" s="38"/>
      <c r="N863" s="52"/>
    </row>
    <row r="864" spans="12:14" x14ac:dyDescent="0.25">
      <c r="L864" s="38"/>
      <c r="M864" s="38"/>
      <c r="N864" s="52"/>
    </row>
    <row r="865" spans="12:14" x14ac:dyDescent="0.25">
      <c r="L865" s="38"/>
      <c r="M865" s="38"/>
      <c r="N865" s="52"/>
    </row>
    <row r="866" spans="12:14" x14ac:dyDescent="0.25">
      <c r="L866" s="38"/>
      <c r="M866" s="38"/>
      <c r="N866" s="52"/>
    </row>
    <row r="867" spans="12:14" x14ac:dyDescent="0.25">
      <c r="L867" s="38"/>
      <c r="M867" s="38"/>
      <c r="N867" s="52"/>
    </row>
    <row r="868" spans="12:14" x14ac:dyDescent="0.25">
      <c r="L868" s="38"/>
      <c r="M868" s="38"/>
      <c r="N868" s="52"/>
    </row>
    <row r="869" spans="12:14" x14ac:dyDescent="0.25">
      <c r="L869" s="38"/>
      <c r="M869" s="38"/>
      <c r="N869" s="52"/>
    </row>
    <row r="870" spans="12:14" x14ac:dyDescent="0.25">
      <c r="L870" s="38"/>
      <c r="M870" s="38"/>
      <c r="N870" s="52"/>
    </row>
    <row r="871" spans="12:14" x14ac:dyDescent="0.25">
      <c r="L871" s="38"/>
      <c r="M871" s="38"/>
      <c r="N871" s="52"/>
    </row>
    <row r="872" spans="12:14" x14ac:dyDescent="0.25">
      <c r="L872" s="38"/>
      <c r="M872" s="38"/>
      <c r="N872" s="52"/>
    </row>
    <row r="873" spans="12:14" x14ac:dyDescent="0.25">
      <c r="L873" s="38"/>
      <c r="M873" s="38"/>
      <c r="N873" s="52"/>
    </row>
    <row r="874" spans="12:14" x14ac:dyDescent="0.25">
      <c r="L874" s="38"/>
      <c r="M874" s="38"/>
      <c r="N874" s="52"/>
    </row>
    <row r="875" spans="12:14" x14ac:dyDescent="0.25">
      <c r="L875" s="38"/>
      <c r="M875" s="38"/>
      <c r="N875" s="52"/>
    </row>
    <row r="876" spans="12:14" x14ac:dyDescent="0.25">
      <c r="L876" s="38"/>
      <c r="M876" s="38"/>
      <c r="N876" s="52"/>
    </row>
    <row r="877" spans="12:14" x14ac:dyDescent="0.25">
      <c r="L877" s="38"/>
      <c r="M877" s="38"/>
      <c r="N877" s="52"/>
    </row>
    <row r="878" spans="12:14" x14ac:dyDescent="0.25">
      <c r="L878" s="38"/>
      <c r="M878" s="38"/>
      <c r="N878" s="52"/>
    </row>
    <row r="879" spans="12:14" x14ac:dyDescent="0.25">
      <c r="L879" s="38"/>
      <c r="M879" s="38"/>
      <c r="N879" s="52"/>
    </row>
    <row r="880" spans="12:14" x14ac:dyDescent="0.25">
      <c r="L880" s="38"/>
      <c r="M880" s="38"/>
      <c r="N880" s="52"/>
    </row>
    <row r="881" spans="12:14" x14ac:dyDescent="0.25">
      <c r="L881" s="38"/>
      <c r="M881" s="38"/>
      <c r="N881" s="52"/>
    </row>
    <row r="882" spans="12:14" x14ac:dyDescent="0.25">
      <c r="L882" s="38"/>
      <c r="M882" s="38"/>
      <c r="N882" s="52"/>
    </row>
    <row r="883" spans="12:14" x14ac:dyDescent="0.25">
      <c r="L883" s="38"/>
      <c r="M883" s="38"/>
      <c r="N883" s="52"/>
    </row>
    <row r="884" spans="12:14" x14ac:dyDescent="0.25">
      <c r="L884" s="38"/>
      <c r="M884" s="38"/>
      <c r="N884" s="52"/>
    </row>
    <row r="885" spans="12:14" x14ac:dyDescent="0.25">
      <c r="L885" s="38"/>
      <c r="M885" s="38"/>
      <c r="N885" s="52"/>
    </row>
    <row r="886" spans="12:14" x14ac:dyDescent="0.25">
      <c r="L886" s="38"/>
      <c r="M886" s="38"/>
      <c r="N886" s="52"/>
    </row>
    <row r="887" spans="12:14" x14ac:dyDescent="0.25">
      <c r="L887" s="38"/>
      <c r="M887" s="38"/>
      <c r="N887" s="52"/>
    </row>
    <row r="888" spans="12:14" x14ac:dyDescent="0.25">
      <c r="L888" s="38"/>
      <c r="M888" s="38"/>
      <c r="N888" s="52"/>
    </row>
    <row r="889" spans="12:14" x14ac:dyDescent="0.25">
      <c r="L889" s="38"/>
      <c r="M889" s="38"/>
      <c r="N889" s="52"/>
    </row>
    <row r="890" spans="12:14" x14ac:dyDescent="0.25">
      <c r="L890" s="38"/>
      <c r="M890" s="38"/>
      <c r="N890" s="52"/>
    </row>
    <row r="891" spans="12:14" x14ac:dyDescent="0.25">
      <c r="L891" s="38"/>
      <c r="M891" s="38"/>
      <c r="N891" s="52"/>
    </row>
    <row r="892" spans="12:14" x14ac:dyDescent="0.25">
      <c r="L892" s="38"/>
      <c r="M892" s="38"/>
      <c r="N892" s="52"/>
    </row>
    <row r="893" spans="12:14" x14ac:dyDescent="0.25">
      <c r="L893" s="38"/>
      <c r="M893" s="38"/>
      <c r="N893" s="52"/>
    </row>
    <row r="894" spans="12:14" x14ac:dyDescent="0.25">
      <c r="L894" s="38"/>
      <c r="M894" s="38"/>
      <c r="N894" s="52"/>
    </row>
    <row r="895" spans="12:14" x14ac:dyDescent="0.25">
      <c r="L895" s="38"/>
      <c r="M895" s="38"/>
      <c r="N895" s="52"/>
    </row>
    <row r="896" spans="12:14" x14ac:dyDescent="0.25">
      <c r="L896" s="38"/>
      <c r="M896" s="38"/>
      <c r="N896" s="52"/>
    </row>
    <row r="897" spans="12:14" x14ac:dyDescent="0.25">
      <c r="L897" s="38"/>
      <c r="M897" s="38"/>
      <c r="N897" s="52"/>
    </row>
    <row r="898" spans="12:14" x14ac:dyDescent="0.25">
      <c r="L898" s="38"/>
      <c r="M898" s="38"/>
      <c r="N898" s="52"/>
    </row>
    <row r="899" spans="12:14" x14ac:dyDescent="0.25">
      <c r="L899" s="38"/>
      <c r="M899" s="38"/>
      <c r="N899" s="52"/>
    </row>
    <row r="900" spans="12:14" x14ac:dyDescent="0.25">
      <c r="L900" s="38"/>
      <c r="M900" s="38"/>
      <c r="N900" s="52"/>
    </row>
    <row r="901" spans="12:14" x14ac:dyDescent="0.25">
      <c r="L901" s="38"/>
      <c r="M901" s="38"/>
      <c r="N901" s="52"/>
    </row>
    <row r="902" spans="12:14" x14ac:dyDescent="0.25">
      <c r="L902" s="38"/>
      <c r="M902" s="38"/>
      <c r="N902" s="52"/>
    </row>
    <row r="903" spans="12:14" x14ac:dyDescent="0.25">
      <c r="L903" s="38"/>
      <c r="M903" s="38"/>
      <c r="N903" s="52"/>
    </row>
    <row r="904" spans="12:14" x14ac:dyDescent="0.25">
      <c r="L904" s="38"/>
      <c r="M904" s="38"/>
      <c r="N904" s="52"/>
    </row>
    <row r="905" spans="12:14" x14ac:dyDescent="0.25">
      <c r="L905" s="38"/>
      <c r="M905" s="38"/>
      <c r="N905" s="52"/>
    </row>
    <row r="906" spans="12:14" x14ac:dyDescent="0.25">
      <c r="L906" s="38"/>
      <c r="M906" s="38"/>
      <c r="N906" s="52"/>
    </row>
    <row r="907" spans="12:14" x14ac:dyDescent="0.25">
      <c r="L907" s="38"/>
      <c r="M907" s="38"/>
      <c r="N907" s="52"/>
    </row>
    <row r="908" spans="12:14" x14ac:dyDescent="0.25">
      <c r="L908" s="38"/>
      <c r="M908" s="38"/>
      <c r="N908" s="52"/>
    </row>
    <row r="909" spans="12:14" x14ac:dyDescent="0.25">
      <c r="L909" s="38"/>
      <c r="M909" s="38"/>
      <c r="N909" s="52"/>
    </row>
    <row r="910" spans="12:14" x14ac:dyDescent="0.25">
      <c r="L910" s="38"/>
      <c r="M910" s="38"/>
      <c r="N910" s="52"/>
    </row>
    <row r="911" spans="12:14" x14ac:dyDescent="0.25">
      <c r="L911" s="38"/>
      <c r="M911" s="38"/>
      <c r="N911" s="52"/>
    </row>
    <row r="912" spans="12:14" x14ac:dyDescent="0.25">
      <c r="L912" s="38"/>
      <c r="M912" s="38"/>
      <c r="N912" s="52"/>
    </row>
    <row r="913" spans="12:14" x14ac:dyDescent="0.25">
      <c r="L913" s="38"/>
      <c r="M913" s="38"/>
      <c r="N913" s="52"/>
    </row>
    <row r="914" spans="12:14" x14ac:dyDescent="0.25">
      <c r="L914" s="38"/>
      <c r="M914" s="38"/>
      <c r="N914" s="52"/>
    </row>
    <row r="915" spans="12:14" x14ac:dyDescent="0.25">
      <c r="L915" s="38"/>
      <c r="M915" s="38"/>
      <c r="N915" s="52"/>
    </row>
    <row r="916" spans="12:14" x14ac:dyDescent="0.25">
      <c r="L916" s="38"/>
      <c r="M916" s="38"/>
      <c r="N916" s="52"/>
    </row>
    <row r="917" spans="12:14" x14ac:dyDescent="0.25">
      <c r="L917" s="38"/>
      <c r="M917" s="38"/>
      <c r="N917" s="52"/>
    </row>
    <row r="918" spans="12:14" x14ac:dyDescent="0.25">
      <c r="L918" s="38"/>
      <c r="M918" s="38"/>
      <c r="N918" s="52"/>
    </row>
    <row r="919" spans="12:14" x14ac:dyDescent="0.25">
      <c r="L919" s="38"/>
      <c r="M919" s="38"/>
      <c r="N919" s="52"/>
    </row>
    <row r="920" spans="12:14" x14ac:dyDescent="0.25">
      <c r="L920" s="38"/>
      <c r="M920" s="38"/>
      <c r="N920" s="52"/>
    </row>
    <row r="921" spans="12:14" x14ac:dyDescent="0.25">
      <c r="L921" s="38"/>
      <c r="M921" s="38"/>
      <c r="N921" s="52"/>
    </row>
    <row r="922" spans="12:14" x14ac:dyDescent="0.25">
      <c r="L922" s="38"/>
      <c r="M922" s="38"/>
      <c r="N922" s="52"/>
    </row>
    <row r="923" spans="12:14" x14ac:dyDescent="0.25">
      <c r="L923" s="38"/>
      <c r="M923" s="38"/>
      <c r="N923" s="52"/>
    </row>
    <row r="924" spans="12:14" x14ac:dyDescent="0.25">
      <c r="L924" s="38"/>
      <c r="M924" s="38"/>
      <c r="N924" s="52"/>
    </row>
    <row r="925" spans="12:14" x14ac:dyDescent="0.25">
      <c r="L925" s="38"/>
      <c r="M925" s="38"/>
      <c r="N925" s="52"/>
    </row>
    <row r="926" spans="12:14" x14ac:dyDescent="0.25">
      <c r="L926" s="38"/>
      <c r="M926" s="38"/>
      <c r="N926" s="52"/>
    </row>
    <row r="927" spans="12:14" x14ac:dyDescent="0.25">
      <c r="L927" s="38"/>
      <c r="M927" s="38"/>
      <c r="N927" s="52"/>
    </row>
    <row r="928" spans="12:14" x14ac:dyDescent="0.25">
      <c r="L928" s="38"/>
      <c r="M928" s="38"/>
      <c r="N928" s="52"/>
    </row>
    <row r="929" spans="12:14" x14ac:dyDescent="0.25">
      <c r="L929" s="38"/>
      <c r="M929" s="38"/>
      <c r="N929" s="52"/>
    </row>
    <row r="930" spans="12:14" x14ac:dyDescent="0.25">
      <c r="L930" s="38"/>
      <c r="M930" s="38"/>
      <c r="N930" s="52"/>
    </row>
    <row r="931" spans="12:14" x14ac:dyDescent="0.25">
      <c r="L931" s="38"/>
      <c r="M931" s="38"/>
      <c r="N931" s="52"/>
    </row>
    <row r="932" spans="12:14" x14ac:dyDescent="0.25">
      <c r="L932" s="38"/>
      <c r="M932" s="38"/>
      <c r="N932" s="52"/>
    </row>
    <row r="933" spans="12:14" x14ac:dyDescent="0.25">
      <c r="L933" s="38"/>
      <c r="M933" s="38"/>
      <c r="N933" s="52"/>
    </row>
    <row r="934" spans="12:14" x14ac:dyDescent="0.25">
      <c r="L934" s="38"/>
      <c r="M934" s="38"/>
      <c r="N934" s="52"/>
    </row>
    <row r="935" spans="12:14" x14ac:dyDescent="0.25">
      <c r="L935" s="38"/>
      <c r="M935" s="38"/>
      <c r="N935" s="52"/>
    </row>
    <row r="936" spans="12:14" x14ac:dyDescent="0.25">
      <c r="L936" s="38"/>
      <c r="M936" s="38"/>
      <c r="N936" s="52"/>
    </row>
    <row r="937" spans="12:14" x14ac:dyDescent="0.25">
      <c r="L937" s="38"/>
      <c r="M937" s="38"/>
      <c r="N937" s="52"/>
    </row>
    <row r="938" spans="12:14" x14ac:dyDescent="0.25">
      <c r="L938" s="38"/>
      <c r="M938" s="38"/>
      <c r="N938" s="52"/>
    </row>
    <row r="939" spans="12:14" x14ac:dyDescent="0.25">
      <c r="L939" s="38"/>
      <c r="M939" s="38"/>
      <c r="N939" s="52"/>
    </row>
    <row r="940" spans="12:14" x14ac:dyDescent="0.25">
      <c r="L940" s="38"/>
      <c r="M940" s="38"/>
      <c r="N940" s="52"/>
    </row>
    <row r="941" spans="12:14" x14ac:dyDescent="0.25">
      <c r="L941" s="38"/>
      <c r="M941" s="38"/>
      <c r="N941" s="52"/>
    </row>
    <row r="942" spans="12:14" x14ac:dyDescent="0.25">
      <c r="L942" s="38"/>
      <c r="M942" s="38"/>
      <c r="N942" s="52"/>
    </row>
    <row r="943" spans="12:14" x14ac:dyDescent="0.25">
      <c r="L943" s="38"/>
      <c r="M943" s="38"/>
      <c r="N943" s="52"/>
    </row>
    <row r="944" spans="12:14" x14ac:dyDescent="0.25">
      <c r="L944" s="38"/>
      <c r="M944" s="38"/>
      <c r="N944" s="52"/>
    </row>
    <row r="945" spans="12:14" x14ac:dyDescent="0.25">
      <c r="L945" s="38"/>
      <c r="M945" s="38"/>
      <c r="N945" s="52"/>
    </row>
    <row r="946" spans="12:14" x14ac:dyDescent="0.25">
      <c r="L946" s="38"/>
      <c r="M946" s="38"/>
      <c r="N946" s="52"/>
    </row>
    <row r="947" spans="12:14" x14ac:dyDescent="0.25">
      <c r="L947" s="38"/>
      <c r="M947" s="38"/>
      <c r="N947" s="52"/>
    </row>
    <row r="948" spans="12:14" x14ac:dyDescent="0.25">
      <c r="L948" s="38"/>
      <c r="M948" s="38"/>
      <c r="N948" s="52"/>
    </row>
    <row r="949" spans="12:14" x14ac:dyDescent="0.25">
      <c r="L949" s="38"/>
      <c r="M949" s="38"/>
      <c r="N949" s="52"/>
    </row>
    <row r="950" spans="12:14" x14ac:dyDescent="0.25">
      <c r="L950" s="38"/>
      <c r="M950" s="38"/>
      <c r="N950" s="52"/>
    </row>
    <row r="951" spans="12:14" x14ac:dyDescent="0.25">
      <c r="L951" s="38"/>
      <c r="M951" s="38"/>
      <c r="N951" s="52"/>
    </row>
    <row r="952" spans="12:14" x14ac:dyDescent="0.25">
      <c r="L952" s="38"/>
      <c r="M952" s="38"/>
      <c r="N952" s="52"/>
    </row>
    <row r="953" spans="12:14" x14ac:dyDescent="0.25">
      <c r="L953" s="38"/>
      <c r="M953" s="38"/>
      <c r="N953" s="52"/>
    </row>
    <row r="954" spans="12:14" x14ac:dyDescent="0.25">
      <c r="L954" s="38"/>
      <c r="M954" s="38"/>
      <c r="N954" s="52"/>
    </row>
    <row r="955" spans="12:14" x14ac:dyDescent="0.25">
      <c r="L955" s="38"/>
      <c r="M955" s="38"/>
      <c r="N955" s="52"/>
    </row>
    <row r="956" spans="12:14" x14ac:dyDescent="0.25">
      <c r="L956" s="38"/>
      <c r="M956" s="38"/>
      <c r="N956" s="52"/>
    </row>
    <row r="957" spans="12:14" x14ac:dyDescent="0.25">
      <c r="L957" s="38"/>
      <c r="M957" s="38"/>
      <c r="N957" s="52"/>
    </row>
    <row r="958" spans="12:14" x14ac:dyDescent="0.25">
      <c r="L958" s="38"/>
      <c r="M958" s="38"/>
      <c r="N958" s="52"/>
    </row>
    <row r="959" spans="12:14" x14ac:dyDescent="0.25">
      <c r="L959" s="38"/>
      <c r="M959" s="38"/>
      <c r="N959" s="52"/>
    </row>
    <row r="960" spans="12:14" x14ac:dyDescent="0.25">
      <c r="L960" s="38"/>
      <c r="M960" s="38"/>
      <c r="N960" s="52"/>
    </row>
    <row r="961" spans="12:14" x14ac:dyDescent="0.25">
      <c r="L961" s="38"/>
      <c r="M961" s="38"/>
      <c r="N961" s="52"/>
    </row>
    <row r="962" spans="12:14" x14ac:dyDescent="0.25">
      <c r="L962" s="38"/>
      <c r="M962" s="38"/>
      <c r="N962" s="52"/>
    </row>
    <row r="963" spans="12:14" x14ac:dyDescent="0.25">
      <c r="L963" s="38"/>
      <c r="M963" s="38"/>
      <c r="N963" s="52"/>
    </row>
    <row r="964" spans="12:14" x14ac:dyDescent="0.25">
      <c r="L964" s="38"/>
      <c r="M964" s="38"/>
      <c r="N964" s="52"/>
    </row>
    <row r="965" spans="12:14" x14ac:dyDescent="0.25">
      <c r="L965" s="38"/>
      <c r="M965" s="38"/>
      <c r="N965" s="52"/>
    </row>
    <row r="966" spans="12:14" x14ac:dyDescent="0.25">
      <c r="L966" s="38"/>
      <c r="M966" s="38"/>
      <c r="N966" s="52"/>
    </row>
    <row r="967" spans="12:14" x14ac:dyDescent="0.25">
      <c r="L967" s="38"/>
      <c r="M967" s="38"/>
      <c r="N967" s="52"/>
    </row>
    <row r="968" spans="12:14" x14ac:dyDescent="0.25">
      <c r="L968" s="38"/>
      <c r="M968" s="38"/>
      <c r="N968" s="52"/>
    </row>
    <row r="969" spans="12:14" x14ac:dyDescent="0.25">
      <c r="L969" s="38"/>
      <c r="M969" s="38"/>
      <c r="N969" s="52"/>
    </row>
    <row r="970" spans="12:14" x14ac:dyDescent="0.25">
      <c r="L970" s="38"/>
      <c r="M970" s="38"/>
      <c r="N970" s="52"/>
    </row>
    <row r="971" spans="12:14" x14ac:dyDescent="0.25">
      <c r="L971" s="38"/>
      <c r="M971" s="38"/>
      <c r="N971" s="52"/>
    </row>
    <row r="972" spans="12:14" x14ac:dyDescent="0.25">
      <c r="L972" s="38"/>
      <c r="M972" s="38"/>
      <c r="N972" s="52"/>
    </row>
    <row r="973" spans="12:14" x14ac:dyDescent="0.25">
      <c r="L973" s="38"/>
      <c r="M973" s="38"/>
      <c r="N973" s="52"/>
    </row>
    <row r="974" spans="12:14" x14ac:dyDescent="0.25">
      <c r="L974" s="38"/>
      <c r="M974" s="38"/>
      <c r="N974" s="52"/>
    </row>
    <row r="975" spans="12:14" x14ac:dyDescent="0.25">
      <c r="L975" s="38"/>
      <c r="M975" s="38"/>
      <c r="N975" s="52"/>
    </row>
    <row r="976" spans="12:14" x14ac:dyDescent="0.25">
      <c r="L976" s="38"/>
      <c r="M976" s="38"/>
      <c r="N976" s="52"/>
    </row>
    <row r="977" spans="12:14" x14ac:dyDescent="0.25">
      <c r="L977" s="38"/>
      <c r="M977" s="38"/>
      <c r="N977" s="52"/>
    </row>
    <row r="978" spans="12:14" x14ac:dyDescent="0.25">
      <c r="L978" s="38"/>
      <c r="M978" s="38"/>
      <c r="N978" s="52"/>
    </row>
    <row r="979" spans="12:14" x14ac:dyDescent="0.25">
      <c r="L979" s="38"/>
      <c r="M979" s="38"/>
      <c r="N979" s="52"/>
    </row>
    <row r="980" spans="12:14" x14ac:dyDescent="0.25">
      <c r="L980" s="38"/>
      <c r="M980" s="38"/>
      <c r="N980" s="52"/>
    </row>
    <row r="981" spans="12:14" x14ac:dyDescent="0.25">
      <c r="L981" s="38"/>
      <c r="M981" s="38"/>
      <c r="N981" s="52"/>
    </row>
    <row r="982" spans="12:14" x14ac:dyDescent="0.25">
      <c r="L982" s="38"/>
      <c r="M982" s="38"/>
      <c r="N982" s="52"/>
    </row>
    <row r="983" spans="12:14" x14ac:dyDescent="0.25">
      <c r="L983" s="38"/>
      <c r="M983" s="38"/>
      <c r="N983" s="52"/>
    </row>
    <row r="984" spans="12:14" x14ac:dyDescent="0.25">
      <c r="L984" s="38"/>
      <c r="M984" s="38"/>
      <c r="N984" s="52"/>
    </row>
    <row r="985" spans="12:14" x14ac:dyDescent="0.25">
      <c r="L985" s="38"/>
      <c r="M985" s="38"/>
      <c r="N985" s="52"/>
    </row>
    <row r="986" spans="12:14" x14ac:dyDescent="0.25">
      <c r="L986" s="38"/>
      <c r="M986" s="38"/>
      <c r="N986" s="52"/>
    </row>
    <row r="987" spans="12:14" x14ac:dyDescent="0.25">
      <c r="L987" s="38"/>
      <c r="M987" s="38"/>
      <c r="N987" s="52"/>
    </row>
    <row r="988" spans="12:14" x14ac:dyDescent="0.25">
      <c r="L988" s="38"/>
      <c r="M988" s="38"/>
      <c r="N988" s="52"/>
    </row>
    <row r="989" spans="12:14" x14ac:dyDescent="0.25">
      <c r="L989" s="38"/>
      <c r="M989" s="38"/>
      <c r="N989" s="52"/>
    </row>
    <row r="990" spans="12:14" x14ac:dyDescent="0.25">
      <c r="L990" s="38"/>
      <c r="M990" s="38"/>
      <c r="N990" s="52"/>
    </row>
    <row r="991" spans="12:14" x14ac:dyDescent="0.25">
      <c r="L991" s="38"/>
      <c r="M991" s="38"/>
      <c r="N991" s="52"/>
    </row>
    <row r="992" spans="12:14" x14ac:dyDescent="0.25">
      <c r="L992" s="38"/>
      <c r="M992" s="38"/>
      <c r="N992" s="52"/>
    </row>
    <row r="993" spans="12:14" x14ac:dyDescent="0.25">
      <c r="L993" s="38"/>
      <c r="M993" s="38"/>
      <c r="N993" s="52"/>
    </row>
    <row r="994" spans="12:14" x14ac:dyDescent="0.25">
      <c r="L994" s="38"/>
      <c r="M994" s="38"/>
      <c r="N994" s="52"/>
    </row>
    <row r="995" spans="12:14" x14ac:dyDescent="0.25">
      <c r="L995" s="38"/>
      <c r="M995" s="38"/>
      <c r="N995" s="52"/>
    </row>
    <row r="996" spans="12:14" x14ac:dyDescent="0.25">
      <c r="L996" s="38"/>
      <c r="M996" s="38"/>
      <c r="N996" s="52"/>
    </row>
    <row r="997" spans="12:14" x14ac:dyDescent="0.25">
      <c r="L997" s="38"/>
      <c r="M997" s="38"/>
      <c r="N997" s="52"/>
    </row>
    <row r="998" spans="12:14" x14ac:dyDescent="0.25">
      <c r="L998" s="38"/>
      <c r="M998" s="38"/>
      <c r="N998" s="52"/>
    </row>
    <row r="999" spans="12:14" x14ac:dyDescent="0.25">
      <c r="L999" s="38"/>
      <c r="M999" s="38"/>
      <c r="N999" s="52"/>
    </row>
    <row r="1000" spans="12:14" x14ac:dyDescent="0.25">
      <c r="L1000" s="38"/>
      <c r="M1000" s="38"/>
      <c r="N1000" s="52"/>
    </row>
    <row r="1001" spans="12:14" x14ac:dyDescent="0.25">
      <c r="L1001" s="38"/>
      <c r="M1001" s="38"/>
      <c r="N1001" s="52"/>
    </row>
    <row r="1002" spans="12:14" x14ac:dyDescent="0.25">
      <c r="L1002" s="38"/>
      <c r="M1002" s="38"/>
      <c r="N1002" s="52"/>
    </row>
    <row r="1003" spans="12:14" x14ac:dyDescent="0.25">
      <c r="L1003" s="38"/>
      <c r="M1003" s="38"/>
      <c r="N1003" s="52"/>
    </row>
    <row r="1004" spans="12:14" x14ac:dyDescent="0.25">
      <c r="L1004" s="38"/>
      <c r="M1004" s="38"/>
      <c r="N1004" s="52"/>
    </row>
    <row r="1005" spans="12:14" x14ac:dyDescent="0.25">
      <c r="L1005" s="38"/>
      <c r="M1005" s="38"/>
      <c r="N1005" s="52"/>
    </row>
    <row r="1006" spans="12:14" x14ac:dyDescent="0.25">
      <c r="L1006" s="38"/>
      <c r="M1006" s="38"/>
      <c r="N1006" s="52"/>
    </row>
    <row r="1007" spans="12:14" x14ac:dyDescent="0.25">
      <c r="L1007" s="38"/>
      <c r="M1007" s="38"/>
      <c r="N1007" s="52"/>
    </row>
    <row r="1008" spans="12:14" x14ac:dyDescent="0.25">
      <c r="L1008" s="38"/>
      <c r="M1008" s="38"/>
      <c r="N1008" s="52"/>
    </row>
    <row r="1009" spans="12:14" x14ac:dyDescent="0.25">
      <c r="L1009" s="38"/>
      <c r="M1009" s="38"/>
      <c r="N1009" s="52"/>
    </row>
    <row r="1010" spans="12:14" x14ac:dyDescent="0.25">
      <c r="L1010" s="38"/>
      <c r="M1010" s="38"/>
      <c r="N1010" s="52"/>
    </row>
    <row r="1011" spans="12:14" x14ac:dyDescent="0.25">
      <c r="L1011" s="38"/>
      <c r="M1011" s="38"/>
      <c r="N1011" s="52"/>
    </row>
    <row r="1012" spans="12:14" x14ac:dyDescent="0.25">
      <c r="L1012" s="38"/>
      <c r="M1012" s="38"/>
      <c r="N1012" s="52"/>
    </row>
    <row r="1013" spans="12:14" x14ac:dyDescent="0.25">
      <c r="L1013" s="38"/>
      <c r="M1013" s="38"/>
      <c r="N1013" s="52"/>
    </row>
    <row r="1014" spans="12:14" x14ac:dyDescent="0.25">
      <c r="L1014" s="38"/>
      <c r="M1014" s="38"/>
      <c r="N1014" s="52"/>
    </row>
    <row r="1015" spans="12:14" x14ac:dyDescent="0.25">
      <c r="L1015" s="38"/>
      <c r="M1015" s="38"/>
      <c r="N1015" s="52"/>
    </row>
    <row r="1016" spans="12:14" x14ac:dyDescent="0.25">
      <c r="L1016" s="38"/>
      <c r="M1016" s="38"/>
      <c r="N1016" s="52"/>
    </row>
    <row r="1017" spans="12:14" x14ac:dyDescent="0.25">
      <c r="L1017" s="38"/>
      <c r="M1017" s="38"/>
      <c r="N1017" s="52"/>
    </row>
    <row r="1018" spans="12:14" x14ac:dyDescent="0.25">
      <c r="L1018" s="38"/>
      <c r="M1018" s="38"/>
      <c r="N1018" s="52"/>
    </row>
    <row r="1019" spans="12:14" x14ac:dyDescent="0.25">
      <c r="L1019" s="38"/>
      <c r="M1019" s="38"/>
      <c r="N1019" s="52"/>
    </row>
    <row r="1020" spans="12:14" x14ac:dyDescent="0.25">
      <c r="L1020" s="38"/>
      <c r="M1020" s="38"/>
      <c r="N1020" s="52"/>
    </row>
    <row r="1021" spans="12:14" x14ac:dyDescent="0.25">
      <c r="L1021" s="38"/>
      <c r="M1021" s="38"/>
      <c r="N1021" s="52"/>
    </row>
    <row r="1022" spans="12:14" x14ac:dyDescent="0.25">
      <c r="L1022" s="38"/>
      <c r="M1022" s="38"/>
      <c r="N1022" s="52"/>
    </row>
    <row r="1023" spans="12:14" x14ac:dyDescent="0.25">
      <c r="L1023" s="38"/>
      <c r="M1023" s="38"/>
      <c r="N1023" s="52"/>
    </row>
    <row r="1024" spans="12:14" x14ac:dyDescent="0.25">
      <c r="L1024" s="38"/>
      <c r="M1024" s="38"/>
      <c r="N1024" s="52"/>
    </row>
    <row r="1025" spans="12:14" x14ac:dyDescent="0.25">
      <c r="L1025" s="38"/>
      <c r="M1025" s="38"/>
      <c r="N1025" s="52"/>
    </row>
    <row r="1026" spans="12:14" x14ac:dyDescent="0.25">
      <c r="L1026" s="38"/>
      <c r="M1026" s="38"/>
      <c r="N1026" s="52"/>
    </row>
    <row r="1027" spans="12:14" x14ac:dyDescent="0.25">
      <c r="L1027" s="38"/>
      <c r="M1027" s="38"/>
      <c r="N1027" s="52"/>
    </row>
    <row r="1028" spans="12:14" x14ac:dyDescent="0.25">
      <c r="L1028" s="38"/>
      <c r="M1028" s="38"/>
      <c r="N1028" s="52"/>
    </row>
    <row r="1029" spans="12:14" x14ac:dyDescent="0.25">
      <c r="L1029" s="38"/>
      <c r="M1029" s="38"/>
      <c r="N1029" s="52"/>
    </row>
    <row r="1030" spans="12:14" x14ac:dyDescent="0.25">
      <c r="L1030" s="38"/>
      <c r="M1030" s="38"/>
      <c r="N1030" s="52"/>
    </row>
    <row r="1031" spans="12:14" x14ac:dyDescent="0.25">
      <c r="L1031" s="38"/>
      <c r="M1031" s="38"/>
      <c r="N1031" s="52"/>
    </row>
    <row r="1032" spans="12:14" x14ac:dyDescent="0.25">
      <c r="L1032" s="38"/>
      <c r="M1032" s="38"/>
      <c r="N1032" s="52"/>
    </row>
    <row r="1033" spans="12:14" x14ac:dyDescent="0.25">
      <c r="L1033" s="38"/>
      <c r="M1033" s="38"/>
      <c r="N1033" s="52"/>
    </row>
    <row r="1034" spans="12:14" x14ac:dyDescent="0.25">
      <c r="L1034" s="38"/>
      <c r="M1034" s="38"/>
      <c r="N1034" s="52"/>
    </row>
    <row r="1035" spans="12:14" x14ac:dyDescent="0.25">
      <c r="L1035" s="38"/>
      <c r="M1035" s="38"/>
      <c r="N1035" s="52"/>
    </row>
    <row r="1036" spans="12:14" x14ac:dyDescent="0.25">
      <c r="L1036" s="38"/>
      <c r="M1036" s="38"/>
      <c r="N1036" s="52"/>
    </row>
    <row r="1037" spans="12:14" x14ac:dyDescent="0.25">
      <c r="L1037" s="38"/>
      <c r="M1037" s="38"/>
      <c r="N1037" s="52"/>
    </row>
    <row r="1038" spans="12:14" x14ac:dyDescent="0.25">
      <c r="L1038" s="38"/>
      <c r="M1038" s="38"/>
      <c r="N1038" s="52"/>
    </row>
    <row r="1039" spans="12:14" x14ac:dyDescent="0.25">
      <c r="L1039" s="38"/>
      <c r="M1039" s="38"/>
      <c r="N1039" s="52"/>
    </row>
    <row r="1040" spans="12:14" x14ac:dyDescent="0.25">
      <c r="L1040" s="38"/>
      <c r="M1040" s="38"/>
      <c r="N1040" s="52"/>
    </row>
    <row r="1041" spans="12:14" x14ac:dyDescent="0.25">
      <c r="L1041" s="38"/>
      <c r="M1041" s="38"/>
      <c r="N1041" s="52"/>
    </row>
    <row r="1042" spans="12:14" x14ac:dyDescent="0.25">
      <c r="L1042" s="38"/>
      <c r="M1042" s="38"/>
      <c r="N1042" s="52"/>
    </row>
    <row r="1043" spans="12:14" x14ac:dyDescent="0.25">
      <c r="L1043" s="38"/>
      <c r="M1043" s="38"/>
      <c r="N1043" s="52"/>
    </row>
    <row r="1044" spans="12:14" x14ac:dyDescent="0.25">
      <c r="L1044" s="38"/>
      <c r="M1044" s="38"/>
      <c r="N1044" s="52"/>
    </row>
    <row r="1045" spans="12:14" x14ac:dyDescent="0.25">
      <c r="L1045" s="38"/>
      <c r="M1045" s="38"/>
      <c r="N1045" s="52"/>
    </row>
    <row r="1046" spans="12:14" x14ac:dyDescent="0.25">
      <c r="L1046" s="38"/>
      <c r="M1046" s="38"/>
      <c r="N1046" s="52"/>
    </row>
    <row r="1047" spans="12:14" x14ac:dyDescent="0.25">
      <c r="L1047" s="38"/>
      <c r="M1047" s="38"/>
      <c r="N1047" s="52"/>
    </row>
    <row r="1048" spans="12:14" x14ac:dyDescent="0.25">
      <c r="L1048" s="38"/>
      <c r="M1048" s="38"/>
      <c r="N1048" s="52"/>
    </row>
    <row r="1049" spans="12:14" x14ac:dyDescent="0.25">
      <c r="L1049" s="38"/>
      <c r="M1049" s="38"/>
      <c r="N1049" s="52"/>
    </row>
    <row r="1050" spans="12:14" x14ac:dyDescent="0.25">
      <c r="L1050" s="38"/>
      <c r="M1050" s="38"/>
      <c r="N1050" s="52"/>
    </row>
    <row r="1051" spans="12:14" x14ac:dyDescent="0.25">
      <c r="L1051" s="38"/>
      <c r="M1051" s="38"/>
      <c r="N1051" s="52"/>
    </row>
    <row r="1052" spans="12:14" x14ac:dyDescent="0.25">
      <c r="L1052" s="38"/>
      <c r="M1052" s="38"/>
      <c r="N1052" s="52"/>
    </row>
    <row r="1053" spans="12:14" x14ac:dyDescent="0.25">
      <c r="L1053" s="38"/>
      <c r="M1053" s="38"/>
      <c r="N1053" s="52"/>
    </row>
    <row r="1054" spans="12:14" x14ac:dyDescent="0.25">
      <c r="L1054" s="38"/>
      <c r="M1054" s="38"/>
      <c r="N1054" s="52"/>
    </row>
    <row r="1055" spans="12:14" x14ac:dyDescent="0.25">
      <c r="L1055" s="38"/>
      <c r="M1055" s="38"/>
      <c r="N1055" s="52"/>
    </row>
    <row r="1056" spans="12:14" x14ac:dyDescent="0.25">
      <c r="L1056" s="38"/>
      <c r="M1056" s="38"/>
      <c r="N1056" s="52"/>
    </row>
    <row r="1057" spans="12:14" x14ac:dyDescent="0.25">
      <c r="L1057" s="38"/>
      <c r="M1057" s="38"/>
      <c r="N1057" s="52"/>
    </row>
    <row r="1058" spans="12:14" x14ac:dyDescent="0.25">
      <c r="L1058" s="38"/>
      <c r="M1058" s="38"/>
      <c r="N1058" s="52"/>
    </row>
    <row r="1059" spans="12:14" x14ac:dyDescent="0.25">
      <c r="L1059" s="38"/>
      <c r="M1059" s="38"/>
      <c r="N1059" s="52"/>
    </row>
    <row r="1060" spans="12:14" x14ac:dyDescent="0.25">
      <c r="L1060" s="38"/>
      <c r="M1060" s="38"/>
      <c r="N1060" s="52"/>
    </row>
    <row r="1061" spans="12:14" x14ac:dyDescent="0.25">
      <c r="L1061" s="38"/>
      <c r="M1061" s="38"/>
      <c r="N1061" s="52"/>
    </row>
    <row r="1062" spans="12:14" x14ac:dyDescent="0.25">
      <c r="L1062" s="38"/>
      <c r="M1062" s="38"/>
      <c r="N1062" s="52"/>
    </row>
    <row r="1063" spans="12:14" x14ac:dyDescent="0.25">
      <c r="L1063" s="38"/>
      <c r="M1063" s="38"/>
      <c r="N1063" s="52"/>
    </row>
    <row r="1064" spans="12:14" x14ac:dyDescent="0.25">
      <c r="L1064" s="38"/>
      <c r="M1064" s="38"/>
      <c r="N1064" s="52"/>
    </row>
    <row r="1065" spans="12:14" x14ac:dyDescent="0.25">
      <c r="L1065" s="38"/>
      <c r="M1065" s="38"/>
      <c r="N1065" s="52"/>
    </row>
    <row r="1066" spans="12:14" x14ac:dyDescent="0.25">
      <c r="L1066" s="38"/>
      <c r="M1066" s="38"/>
      <c r="N1066" s="52"/>
    </row>
    <row r="1067" spans="12:14" x14ac:dyDescent="0.25">
      <c r="L1067" s="38"/>
      <c r="M1067" s="38"/>
      <c r="N1067" s="52"/>
    </row>
    <row r="1068" spans="12:14" x14ac:dyDescent="0.25">
      <c r="L1068" s="38"/>
      <c r="M1068" s="38"/>
      <c r="N1068" s="52"/>
    </row>
    <row r="1069" spans="12:14" x14ac:dyDescent="0.25">
      <c r="L1069" s="38"/>
      <c r="M1069" s="38"/>
      <c r="N1069" s="52"/>
    </row>
    <row r="1070" spans="12:14" x14ac:dyDescent="0.25">
      <c r="L1070" s="38"/>
      <c r="M1070" s="38"/>
      <c r="N1070" s="52"/>
    </row>
    <row r="1071" spans="12:14" x14ac:dyDescent="0.25">
      <c r="L1071" s="38"/>
      <c r="M1071" s="38"/>
      <c r="N1071" s="52"/>
    </row>
    <row r="1072" spans="12:14" x14ac:dyDescent="0.25">
      <c r="L1072" s="38"/>
      <c r="M1072" s="38"/>
      <c r="N1072" s="52"/>
    </row>
    <row r="1073" spans="12:14" x14ac:dyDescent="0.25">
      <c r="L1073" s="38"/>
      <c r="M1073" s="38"/>
      <c r="N1073" s="52"/>
    </row>
    <row r="1074" spans="12:14" x14ac:dyDescent="0.25">
      <c r="L1074" s="38"/>
      <c r="M1074" s="38"/>
      <c r="N1074" s="52"/>
    </row>
    <row r="1075" spans="12:14" x14ac:dyDescent="0.25">
      <c r="L1075" s="38"/>
      <c r="M1075" s="38"/>
      <c r="N1075" s="52"/>
    </row>
    <row r="1076" spans="12:14" x14ac:dyDescent="0.25">
      <c r="L1076" s="38"/>
      <c r="M1076" s="38"/>
      <c r="N1076" s="52"/>
    </row>
    <row r="1077" spans="12:14" x14ac:dyDescent="0.25">
      <c r="L1077" s="38"/>
      <c r="M1077" s="38"/>
      <c r="N1077" s="52"/>
    </row>
    <row r="1078" spans="12:14" x14ac:dyDescent="0.25">
      <c r="L1078" s="38"/>
      <c r="M1078" s="38"/>
      <c r="N1078" s="52"/>
    </row>
    <row r="1079" spans="12:14" x14ac:dyDescent="0.25">
      <c r="L1079" s="38"/>
      <c r="M1079" s="38"/>
      <c r="N1079" s="52"/>
    </row>
    <row r="1080" spans="12:14" x14ac:dyDescent="0.25">
      <c r="L1080" s="38"/>
      <c r="M1080" s="38"/>
      <c r="N1080" s="52"/>
    </row>
    <row r="1081" spans="12:14" x14ac:dyDescent="0.25">
      <c r="L1081" s="38"/>
      <c r="M1081" s="38"/>
      <c r="N1081" s="52"/>
    </row>
    <row r="1082" spans="12:14" x14ac:dyDescent="0.25">
      <c r="L1082" s="38"/>
      <c r="M1082" s="38"/>
      <c r="N1082" s="52"/>
    </row>
    <row r="1083" spans="12:14" x14ac:dyDescent="0.25">
      <c r="L1083" s="38"/>
      <c r="M1083" s="38"/>
      <c r="N1083" s="52"/>
    </row>
    <row r="1084" spans="12:14" x14ac:dyDescent="0.25">
      <c r="L1084" s="38"/>
      <c r="M1084" s="38"/>
      <c r="N1084" s="52"/>
    </row>
    <row r="1085" spans="12:14" x14ac:dyDescent="0.25">
      <c r="L1085" s="38"/>
      <c r="M1085" s="38"/>
      <c r="N1085" s="52"/>
    </row>
    <row r="1086" spans="12:14" x14ac:dyDescent="0.25">
      <c r="L1086" s="38"/>
      <c r="M1086" s="38"/>
      <c r="N1086" s="52"/>
    </row>
    <row r="1087" spans="12:14" x14ac:dyDescent="0.25">
      <c r="L1087" s="38"/>
      <c r="M1087" s="38"/>
      <c r="N1087" s="52"/>
    </row>
    <row r="1088" spans="12:14" x14ac:dyDescent="0.25">
      <c r="L1088" s="38"/>
      <c r="M1088" s="38"/>
      <c r="N1088" s="52"/>
    </row>
    <row r="1089" spans="12:14" x14ac:dyDescent="0.25">
      <c r="L1089" s="38"/>
      <c r="M1089" s="38"/>
      <c r="N1089" s="52"/>
    </row>
    <row r="1090" spans="12:14" x14ac:dyDescent="0.25">
      <c r="L1090" s="38"/>
      <c r="M1090" s="38"/>
      <c r="N1090" s="52"/>
    </row>
    <row r="1091" spans="12:14" x14ac:dyDescent="0.25">
      <c r="L1091" s="38"/>
      <c r="M1091" s="38"/>
      <c r="N1091" s="52"/>
    </row>
    <row r="1092" spans="12:14" x14ac:dyDescent="0.25">
      <c r="L1092" s="38"/>
      <c r="M1092" s="38"/>
      <c r="N1092" s="52"/>
    </row>
    <row r="1093" spans="12:14" x14ac:dyDescent="0.25">
      <c r="L1093" s="38"/>
      <c r="M1093" s="38"/>
      <c r="N1093" s="52"/>
    </row>
    <row r="1094" spans="12:14" x14ac:dyDescent="0.25">
      <c r="L1094" s="38"/>
      <c r="M1094" s="38"/>
      <c r="N1094" s="52"/>
    </row>
    <row r="1095" spans="12:14" x14ac:dyDescent="0.25">
      <c r="L1095" s="38"/>
      <c r="M1095" s="38"/>
      <c r="N1095" s="52"/>
    </row>
    <row r="1096" spans="12:14" x14ac:dyDescent="0.25">
      <c r="L1096" s="38"/>
      <c r="M1096" s="38"/>
      <c r="N1096" s="52"/>
    </row>
    <row r="1097" spans="12:14" x14ac:dyDescent="0.25">
      <c r="L1097" s="38"/>
      <c r="M1097" s="38"/>
      <c r="N1097" s="52"/>
    </row>
    <row r="1098" spans="12:14" x14ac:dyDescent="0.25">
      <c r="L1098" s="38"/>
      <c r="M1098" s="38"/>
      <c r="N1098" s="52"/>
    </row>
    <row r="1099" spans="12:14" x14ac:dyDescent="0.25">
      <c r="L1099" s="38"/>
      <c r="M1099" s="38"/>
      <c r="N1099" s="52"/>
    </row>
    <row r="1100" spans="12:14" x14ac:dyDescent="0.25">
      <c r="L1100" s="38"/>
      <c r="M1100" s="38"/>
      <c r="N1100" s="52"/>
    </row>
    <row r="1101" spans="12:14" x14ac:dyDescent="0.25">
      <c r="L1101" s="38"/>
      <c r="M1101" s="38"/>
      <c r="N1101" s="52"/>
    </row>
    <row r="1102" spans="12:14" x14ac:dyDescent="0.25">
      <c r="L1102" s="38"/>
      <c r="M1102" s="38"/>
      <c r="N1102" s="52"/>
    </row>
    <row r="1103" spans="12:14" x14ac:dyDescent="0.25">
      <c r="L1103" s="38"/>
      <c r="M1103" s="38"/>
      <c r="N1103" s="52"/>
    </row>
    <row r="1104" spans="12:14" x14ac:dyDescent="0.25">
      <c r="L1104" s="38"/>
      <c r="M1104" s="38"/>
      <c r="N1104" s="52"/>
    </row>
    <row r="1105" spans="12:14" x14ac:dyDescent="0.25">
      <c r="L1105" s="38"/>
      <c r="M1105" s="38"/>
      <c r="N1105" s="52"/>
    </row>
    <row r="1106" spans="12:14" x14ac:dyDescent="0.25">
      <c r="L1106" s="38"/>
      <c r="M1106" s="38"/>
      <c r="N1106" s="52"/>
    </row>
    <row r="1107" spans="12:14" x14ac:dyDescent="0.25">
      <c r="L1107" s="38"/>
      <c r="M1107" s="38"/>
      <c r="N1107" s="52"/>
    </row>
    <row r="1108" spans="12:14" x14ac:dyDescent="0.25">
      <c r="L1108" s="38"/>
      <c r="M1108" s="38"/>
      <c r="N1108" s="52"/>
    </row>
    <row r="1109" spans="12:14" x14ac:dyDescent="0.25">
      <c r="L1109" s="38"/>
      <c r="M1109" s="38"/>
      <c r="N1109" s="52"/>
    </row>
    <row r="1110" spans="12:14" x14ac:dyDescent="0.25">
      <c r="L1110" s="38"/>
      <c r="M1110" s="38"/>
      <c r="N1110" s="52"/>
    </row>
    <row r="1111" spans="12:14" x14ac:dyDescent="0.25">
      <c r="L1111" s="38"/>
      <c r="M1111" s="38"/>
      <c r="N1111" s="52"/>
    </row>
    <row r="1112" spans="12:14" x14ac:dyDescent="0.25">
      <c r="L1112" s="38"/>
      <c r="M1112" s="38"/>
      <c r="N1112" s="52"/>
    </row>
    <row r="1113" spans="12:14" x14ac:dyDescent="0.25">
      <c r="L1113" s="38"/>
      <c r="M1113" s="38"/>
      <c r="N1113" s="52"/>
    </row>
    <row r="1114" spans="12:14" x14ac:dyDescent="0.25">
      <c r="L1114" s="38"/>
      <c r="M1114" s="38"/>
      <c r="N1114" s="52"/>
    </row>
    <row r="1115" spans="12:14" x14ac:dyDescent="0.25">
      <c r="L1115" s="38"/>
      <c r="M1115" s="38"/>
      <c r="N1115" s="52"/>
    </row>
    <row r="1116" spans="12:14" x14ac:dyDescent="0.25">
      <c r="L1116" s="38"/>
      <c r="M1116" s="38"/>
      <c r="N1116" s="52"/>
    </row>
    <row r="1117" spans="12:14" x14ac:dyDescent="0.25">
      <c r="L1117" s="38"/>
      <c r="M1117" s="38"/>
      <c r="N1117" s="52"/>
    </row>
    <row r="1118" spans="12:14" x14ac:dyDescent="0.25">
      <c r="L1118" s="38"/>
      <c r="M1118" s="38"/>
      <c r="N1118" s="52"/>
    </row>
    <row r="1119" spans="12:14" x14ac:dyDescent="0.25">
      <c r="L1119" s="38"/>
      <c r="M1119" s="38"/>
      <c r="N1119" s="52"/>
    </row>
    <row r="1120" spans="12:14" x14ac:dyDescent="0.25">
      <c r="L1120" s="38"/>
      <c r="M1120" s="38"/>
      <c r="N1120" s="52"/>
    </row>
    <row r="1121" spans="12:14" x14ac:dyDescent="0.25">
      <c r="L1121" s="38"/>
      <c r="M1121" s="38"/>
      <c r="N1121" s="52"/>
    </row>
    <row r="1122" spans="12:14" x14ac:dyDescent="0.25">
      <c r="L1122" s="38"/>
      <c r="M1122" s="38"/>
      <c r="N1122" s="52"/>
    </row>
    <row r="1123" spans="12:14" x14ac:dyDescent="0.25">
      <c r="L1123" s="38"/>
      <c r="M1123" s="38"/>
      <c r="N1123" s="52"/>
    </row>
    <row r="1124" spans="12:14" x14ac:dyDescent="0.25">
      <c r="L1124" s="38"/>
      <c r="M1124" s="38"/>
      <c r="N1124" s="52"/>
    </row>
    <row r="1125" spans="12:14" x14ac:dyDescent="0.25">
      <c r="L1125" s="38"/>
      <c r="M1125" s="38"/>
      <c r="N1125" s="52"/>
    </row>
    <row r="1126" spans="12:14" x14ac:dyDescent="0.25">
      <c r="L1126" s="38"/>
      <c r="M1126" s="38"/>
      <c r="N1126" s="52"/>
    </row>
    <row r="1127" spans="12:14" x14ac:dyDescent="0.25">
      <c r="L1127" s="38"/>
      <c r="M1127" s="38"/>
      <c r="N1127" s="52"/>
    </row>
    <row r="1128" spans="12:14" x14ac:dyDescent="0.25">
      <c r="L1128" s="38"/>
      <c r="M1128" s="38"/>
      <c r="N1128" s="52"/>
    </row>
    <row r="1129" spans="12:14" x14ac:dyDescent="0.25">
      <c r="L1129" s="38"/>
      <c r="M1129" s="38"/>
      <c r="N1129" s="52"/>
    </row>
    <row r="1130" spans="12:14" x14ac:dyDescent="0.25">
      <c r="L1130" s="38"/>
      <c r="M1130" s="38"/>
      <c r="N1130" s="52"/>
    </row>
    <row r="1131" spans="12:14" x14ac:dyDescent="0.25">
      <c r="L1131" s="38"/>
      <c r="M1131" s="38"/>
      <c r="N1131" s="52"/>
    </row>
    <row r="1132" spans="12:14" x14ac:dyDescent="0.25">
      <c r="L1132" s="38"/>
      <c r="M1132" s="38"/>
      <c r="N1132" s="52"/>
    </row>
    <row r="1133" spans="12:14" x14ac:dyDescent="0.25">
      <c r="L1133" s="38"/>
      <c r="M1133" s="38"/>
      <c r="N1133" s="52"/>
    </row>
    <row r="1134" spans="12:14" x14ac:dyDescent="0.25">
      <c r="L1134" s="38"/>
      <c r="M1134" s="38"/>
      <c r="N1134" s="52"/>
    </row>
    <row r="1135" spans="12:14" x14ac:dyDescent="0.25">
      <c r="L1135" s="38"/>
      <c r="M1135" s="38"/>
      <c r="N1135" s="52"/>
    </row>
    <row r="1136" spans="12:14" x14ac:dyDescent="0.25">
      <c r="L1136" s="38"/>
      <c r="M1136" s="38"/>
      <c r="N1136" s="52"/>
    </row>
    <row r="1137" spans="12:14" x14ac:dyDescent="0.25">
      <c r="L1137" s="38"/>
      <c r="M1137" s="38"/>
      <c r="N1137" s="52"/>
    </row>
    <row r="1138" spans="12:14" x14ac:dyDescent="0.25">
      <c r="L1138" s="38"/>
      <c r="M1138" s="38"/>
      <c r="N1138" s="52"/>
    </row>
    <row r="1139" spans="12:14" x14ac:dyDescent="0.25">
      <c r="L1139" s="38"/>
      <c r="M1139" s="38"/>
      <c r="N1139" s="52"/>
    </row>
    <row r="1140" spans="12:14" x14ac:dyDescent="0.25">
      <c r="L1140" s="38"/>
      <c r="M1140" s="38"/>
      <c r="N1140" s="52"/>
    </row>
    <row r="1141" spans="12:14" x14ac:dyDescent="0.25">
      <c r="L1141" s="38"/>
      <c r="M1141" s="38"/>
      <c r="N1141" s="52"/>
    </row>
    <row r="1142" spans="12:14" x14ac:dyDescent="0.25">
      <c r="L1142" s="38"/>
      <c r="M1142" s="38"/>
      <c r="N1142" s="52"/>
    </row>
    <row r="1143" spans="12:14" x14ac:dyDescent="0.25">
      <c r="L1143" s="38"/>
      <c r="M1143" s="38"/>
      <c r="N1143" s="52"/>
    </row>
    <row r="1144" spans="12:14" x14ac:dyDescent="0.25">
      <c r="L1144" s="38"/>
      <c r="M1144" s="38"/>
      <c r="N1144" s="52"/>
    </row>
    <row r="1145" spans="12:14" x14ac:dyDescent="0.25">
      <c r="L1145" s="38"/>
      <c r="M1145" s="38"/>
      <c r="N1145" s="52"/>
    </row>
    <row r="1146" spans="12:14" x14ac:dyDescent="0.25">
      <c r="L1146" s="38"/>
      <c r="M1146" s="38"/>
      <c r="N1146" s="52"/>
    </row>
    <row r="1147" spans="12:14" x14ac:dyDescent="0.25">
      <c r="L1147" s="38"/>
      <c r="M1147" s="38"/>
      <c r="N1147" s="52"/>
    </row>
    <row r="1148" spans="12:14" x14ac:dyDescent="0.25">
      <c r="L1148" s="38"/>
      <c r="M1148" s="38"/>
      <c r="N1148" s="52"/>
    </row>
    <row r="1149" spans="12:14" x14ac:dyDescent="0.25">
      <c r="L1149" s="38"/>
      <c r="M1149" s="38"/>
      <c r="N1149" s="52"/>
    </row>
    <row r="1150" spans="12:14" x14ac:dyDescent="0.25">
      <c r="L1150" s="38"/>
      <c r="M1150" s="38"/>
      <c r="N1150" s="52"/>
    </row>
    <row r="1151" spans="12:14" x14ac:dyDescent="0.25">
      <c r="L1151" s="38"/>
      <c r="M1151" s="38"/>
      <c r="N1151" s="52"/>
    </row>
    <row r="1152" spans="12:14" x14ac:dyDescent="0.25">
      <c r="L1152" s="38"/>
      <c r="M1152" s="38"/>
      <c r="N1152" s="52"/>
    </row>
    <row r="1153" spans="12:14" x14ac:dyDescent="0.25">
      <c r="L1153" s="38"/>
      <c r="M1153" s="38"/>
      <c r="N1153" s="52"/>
    </row>
    <row r="1154" spans="12:14" x14ac:dyDescent="0.25">
      <c r="L1154" s="38"/>
      <c r="M1154" s="38"/>
      <c r="N1154" s="52"/>
    </row>
    <row r="1155" spans="12:14" x14ac:dyDescent="0.25">
      <c r="L1155" s="38"/>
      <c r="M1155" s="38"/>
      <c r="N1155" s="52"/>
    </row>
    <row r="1156" spans="12:14" x14ac:dyDescent="0.25">
      <c r="L1156" s="38"/>
      <c r="M1156" s="38"/>
      <c r="N1156" s="52"/>
    </row>
    <row r="1157" spans="12:14" x14ac:dyDescent="0.25">
      <c r="L1157" s="38"/>
      <c r="M1157" s="38"/>
      <c r="N1157" s="52"/>
    </row>
    <row r="1158" spans="12:14" x14ac:dyDescent="0.25">
      <c r="L1158" s="38"/>
      <c r="M1158" s="38"/>
      <c r="N1158" s="52"/>
    </row>
    <row r="1159" spans="12:14" x14ac:dyDescent="0.25">
      <c r="L1159" s="38"/>
      <c r="M1159" s="38"/>
      <c r="N1159" s="52"/>
    </row>
    <row r="1160" spans="12:14" x14ac:dyDescent="0.25">
      <c r="L1160" s="38"/>
      <c r="M1160" s="38"/>
      <c r="N1160" s="52"/>
    </row>
    <row r="1161" spans="12:14" x14ac:dyDescent="0.25">
      <c r="L1161" s="38"/>
      <c r="M1161" s="38"/>
      <c r="N1161" s="52"/>
    </row>
    <row r="1162" spans="12:14" x14ac:dyDescent="0.25">
      <c r="L1162" s="38"/>
      <c r="M1162" s="38"/>
      <c r="N1162" s="52"/>
    </row>
    <row r="1163" spans="12:14" x14ac:dyDescent="0.25">
      <c r="L1163" s="38"/>
      <c r="M1163" s="38"/>
      <c r="N1163" s="52"/>
    </row>
    <row r="1164" spans="12:14" x14ac:dyDescent="0.25">
      <c r="L1164" s="38"/>
      <c r="M1164" s="38"/>
      <c r="N1164" s="52"/>
    </row>
    <row r="1165" spans="12:14" x14ac:dyDescent="0.25">
      <c r="L1165" s="38"/>
      <c r="M1165" s="38"/>
      <c r="N1165" s="52"/>
    </row>
    <row r="1166" spans="12:14" x14ac:dyDescent="0.25">
      <c r="L1166" s="38"/>
      <c r="M1166" s="38"/>
      <c r="N1166" s="52"/>
    </row>
    <row r="1167" spans="12:14" x14ac:dyDescent="0.25">
      <c r="L1167" s="38"/>
      <c r="M1167" s="38"/>
      <c r="N1167" s="52"/>
    </row>
    <row r="1168" spans="12:14" x14ac:dyDescent="0.25">
      <c r="L1168" s="38"/>
      <c r="M1168" s="38"/>
      <c r="N1168" s="52"/>
    </row>
    <row r="1169" spans="12:14" x14ac:dyDescent="0.25">
      <c r="L1169" s="38"/>
      <c r="M1169" s="38"/>
      <c r="N1169" s="52"/>
    </row>
    <row r="1170" spans="12:14" x14ac:dyDescent="0.25">
      <c r="L1170" s="38"/>
      <c r="M1170" s="38"/>
      <c r="N1170" s="52"/>
    </row>
    <row r="1171" spans="12:14" x14ac:dyDescent="0.25">
      <c r="L1171" s="38"/>
      <c r="M1171" s="38"/>
      <c r="N1171" s="52"/>
    </row>
    <row r="1172" spans="12:14" x14ac:dyDescent="0.25">
      <c r="L1172" s="38"/>
      <c r="M1172" s="38"/>
      <c r="N1172" s="52"/>
    </row>
    <row r="1173" spans="12:14" x14ac:dyDescent="0.25">
      <c r="L1173" s="38"/>
      <c r="M1173" s="38"/>
      <c r="N1173" s="52"/>
    </row>
    <row r="1174" spans="12:14" x14ac:dyDescent="0.25">
      <c r="L1174" s="38"/>
      <c r="M1174" s="38"/>
      <c r="N1174" s="52"/>
    </row>
    <row r="1175" spans="12:14" x14ac:dyDescent="0.25">
      <c r="L1175" s="38"/>
      <c r="M1175" s="38"/>
      <c r="N1175" s="52"/>
    </row>
    <row r="1176" spans="12:14" x14ac:dyDescent="0.25">
      <c r="L1176" s="38"/>
      <c r="M1176" s="38"/>
      <c r="N1176" s="52"/>
    </row>
    <row r="1177" spans="12:14" x14ac:dyDescent="0.25">
      <c r="L1177" s="38"/>
      <c r="M1177" s="38"/>
      <c r="N1177" s="52"/>
    </row>
    <row r="1178" spans="12:14" x14ac:dyDescent="0.25">
      <c r="L1178" s="38"/>
      <c r="M1178" s="38"/>
      <c r="N1178" s="52"/>
    </row>
    <row r="1179" spans="12:14" x14ac:dyDescent="0.25">
      <c r="L1179" s="38"/>
      <c r="M1179" s="38"/>
      <c r="N1179" s="52"/>
    </row>
    <row r="1180" spans="12:14" x14ac:dyDescent="0.25">
      <c r="L1180" s="38"/>
      <c r="M1180" s="38"/>
      <c r="N1180" s="52"/>
    </row>
    <row r="1181" spans="12:14" x14ac:dyDescent="0.25">
      <c r="L1181" s="38"/>
      <c r="M1181" s="38"/>
      <c r="N1181" s="52"/>
    </row>
    <row r="1182" spans="12:14" x14ac:dyDescent="0.25">
      <c r="L1182" s="38"/>
      <c r="M1182" s="38"/>
      <c r="N1182" s="52"/>
    </row>
    <row r="1183" spans="12:14" x14ac:dyDescent="0.25">
      <c r="L1183" s="38"/>
      <c r="M1183" s="38"/>
      <c r="N1183" s="52"/>
    </row>
    <row r="1184" spans="12:14" x14ac:dyDescent="0.25">
      <c r="L1184" s="38"/>
      <c r="M1184" s="38"/>
      <c r="N1184" s="52"/>
    </row>
    <row r="1185" spans="12:14" x14ac:dyDescent="0.25">
      <c r="L1185" s="38"/>
      <c r="M1185" s="38"/>
      <c r="N1185" s="52"/>
    </row>
    <row r="1186" spans="12:14" x14ac:dyDescent="0.25">
      <c r="L1186" s="38"/>
      <c r="M1186" s="38"/>
      <c r="N1186" s="52"/>
    </row>
    <row r="1187" spans="12:14" x14ac:dyDescent="0.25">
      <c r="L1187" s="38"/>
      <c r="M1187" s="38"/>
      <c r="N1187" s="52"/>
    </row>
    <row r="1188" spans="12:14" x14ac:dyDescent="0.25">
      <c r="L1188" s="38"/>
      <c r="M1188" s="38"/>
      <c r="N1188" s="52"/>
    </row>
    <row r="1189" spans="12:14" x14ac:dyDescent="0.25">
      <c r="L1189" s="38"/>
      <c r="M1189" s="38"/>
      <c r="N1189" s="52"/>
    </row>
    <row r="1190" spans="12:14" x14ac:dyDescent="0.25">
      <c r="L1190" s="38"/>
      <c r="M1190" s="38"/>
      <c r="N1190" s="52"/>
    </row>
    <row r="1191" spans="12:14" x14ac:dyDescent="0.25">
      <c r="L1191" s="38"/>
      <c r="M1191" s="38"/>
      <c r="N1191" s="52"/>
    </row>
    <row r="1192" spans="12:14" x14ac:dyDescent="0.25">
      <c r="L1192" s="38"/>
      <c r="M1192" s="38"/>
      <c r="N1192" s="52"/>
    </row>
    <row r="1193" spans="12:14" x14ac:dyDescent="0.25">
      <c r="L1193" s="38"/>
      <c r="M1193" s="38"/>
      <c r="N1193" s="52"/>
    </row>
    <row r="1194" spans="12:14" x14ac:dyDescent="0.25">
      <c r="L1194" s="38"/>
      <c r="M1194" s="38"/>
      <c r="N1194" s="52"/>
    </row>
    <row r="1195" spans="12:14" x14ac:dyDescent="0.25">
      <c r="L1195" s="38"/>
      <c r="M1195" s="38"/>
      <c r="N1195" s="52"/>
    </row>
    <row r="1196" spans="12:14" x14ac:dyDescent="0.25">
      <c r="L1196" s="38"/>
      <c r="M1196" s="38"/>
      <c r="N1196" s="52"/>
    </row>
    <row r="1197" spans="12:14" x14ac:dyDescent="0.25">
      <c r="L1197" s="38"/>
      <c r="M1197" s="38"/>
      <c r="N1197" s="52"/>
    </row>
    <row r="1198" spans="12:14" x14ac:dyDescent="0.25">
      <c r="L1198" s="38"/>
      <c r="M1198" s="38"/>
      <c r="N1198" s="52"/>
    </row>
    <row r="1199" spans="12:14" x14ac:dyDescent="0.25">
      <c r="L1199" s="38"/>
      <c r="M1199" s="38"/>
      <c r="N1199" s="52"/>
    </row>
    <row r="1200" spans="12:14" x14ac:dyDescent="0.25">
      <c r="L1200" s="38"/>
      <c r="M1200" s="38"/>
      <c r="N1200" s="52"/>
    </row>
    <row r="1201" spans="12:14" x14ac:dyDescent="0.25">
      <c r="L1201" s="38"/>
      <c r="M1201" s="38"/>
      <c r="N1201" s="52"/>
    </row>
    <row r="1202" spans="12:14" x14ac:dyDescent="0.25">
      <c r="L1202" s="38"/>
      <c r="M1202" s="38"/>
      <c r="N1202" s="52"/>
    </row>
    <row r="1203" spans="12:14" x14ac:dyDescent="0.25">
      <c r="L1203" s="38"/>
      <c r="M1203" s="38"/>
      <c r="N1203" s="52"/>
    </row>
    <row r="1204" spans="12:14" x14ac:dyDescent="0.25">
      <c r="L1204" s="38"/>
      <c r="M1204" s="38"/>
      <c r="N1204" s="52"/>
    </row>
    <row r="1205" spans="12:14" x14ac:dyDescent="0.25">
      <c r="L1205" s="38"/>
      <c r="M1205" s="38"/>
      <c r="N1205" s="52"/>
    </row>
    <row r="1206" spans="12:14" x14ac:dyDescent="0.25">
      <c r="L1206" s="38"/>
      <c r="M1206" s="38"/>
      <c r="N1206" s="52"/>
    </row>
    <row r="1207" spans="12:14" x14ac:dyDescent="0.25">
      <c r="L1207" s="38"/>
      <c r="M1207" s="38"/>
      <c r="N1207" s="52"/>
    </row>
    <row r="1208" spans="12:14" x14ac:dyDescent="0.25">
      <c r="L1208" s="38"/>
      <c r="M1208" s="38"/>
      <c r="N1208" s="52"/>
    </row>
    <row r="1209" spans="12:14" x14ac:dyDescent="0.25">
      <c r="L1209" s="38"/>
      <c r="M1209" s="38"/>
      <c r="N1209" s="52"/>
    </row>
    <row r="1210" spans="12:14" x14ac:dyDescent="0.25">
      <c r="L1210" s="38"/>
      <c r="M1210" s="38"/>
      <c r="N1210" s="52"/>
    </row>
    <row r="1211" spans="12:14" x14ac:dyDescent="0.25">
      <c r="L1211" s="38"/>
      <c r="M1211" s="38"/>
      <c r="N1211" s="52"/>
    </row>
    <row r="1212" spans="12:14" x14ac:dyDescent="0.25">
      <c r="L1212" s="38"/>
      <c r="M1212" s="38"/>
      <c r="N1212" s="52"/>
    </row>
    <row r="1213" spans="12:14" x14ac:dyDescent="0.25">
      <c r="L1213" s="38"/>
      <c r="M1213" s="38"/>
      <c r="N1213" s="52"/>
    </row>
    <row r="1214" spans="12:14" x14ac:dyDescent="0.25">
      <c r="L1214" s="38"/>
      <c r="M1214" s="38"/>
      <c r="N1214" s="52"/>
    </row>
    <row r="1215" spans="12:14" x14ac:dyDescent="0.25">
      <c r="L1215" s="38"/>
      <c r="M1215" s="38"/>
      <c r="N1215" s="52"/>
    </row>
    <row r="1216" spans="12:14" x14ac:dyDescent="0.25">
      <c r="L1216" s="38"/>
      <c r="M1216" s="38"/>
      <c r="N1216" s="52"/>
    </row>
    <row r="1217" spans="12:14" x14ac:dyDescent="0.25">
      <c r="L1217" s="38"/>
      <c r="M1217" s="38"/>
      <c r="N1217" s="52"/>
    </row>
    <row r="1218" spans="12:14" x14ac:dyDescent="0.25">
      <c r="L1218" s="38"/>
      <c r="M1218" s="38"/>
      <c r="N1218" s="52"/>
    </row>
    <row r="1219" spans="12:14" x14ac:dyDescent="0.25">
      <c r="L1219" s="38"/>
      <c r="M1219" s="38"/>
      <c r="N1219" s="52"/>
    </row>
    <row r="1220" spans="12:14" x14ac:dyDescent="0.25">
      <c r="L1220" s="38"/>
      <c r="M1220" s="38"/>
      <c r="N1220" s="52"/>
    </row>
    <row r="1221" spans="12:14" x14ac:dyDescent="0.25">
      <c r="L1221" s="38"/>
      <c r="M1221" s="38"/>
      <c r="N1221" s="52"/>
    </row>
    <row r="1222" spans="12:14" x14ac:dyDescent="0.25">
      <c r="L1222" s="38"/>
      <c r="M1222" s="38"/>
      <c r="N1222" s="52"/>
    </row>
    <row r="1223" spans="12:14" x14ac:dyDescent="0.25">
      <c r="L1223" s="38"/>
      <c r="M1223" s="38"/>
      <c r="N1223" s="52"/>
    </row>
    <row r="1224" spans="12:14" x14ac:dyDescent="0.25">
      <c r="L1224" s="38"/>
      <c r="M1224" s="38"/>
      <c r="N1224" s="52"/>
    </row>
    <row r="1225" spans="12:14" x14ac:dyDescent="0.25">
      <c r="L1225" s="38"/>
      <c r="M1225" s="38"/>
      <c r="N1225" s="52"/>
    </row>
    <row r="1226" spans="12:14" x14ac:dyDescent="0.25">
      <c r="L1226" s="38"/>
      <c r="M1226" s="38"/>
      <c r="N1226" s="52"/>
    </row>
    <row r="1227" spans="12:14" x14ac:dyDescent="0.25">
      <c r="L1227" s="38"/>
      <c r="M1227" s="38"/>
      <c r="N1227" s="52"/>
    </row>
    <row r="1228" spans="12:14" x14ac:dyDescent="0.25">
      <c r="L1228" s="38"/>
      <c r="M1228" s="38"/>
      <c r="N1228" s="52"/>
    </row>
    <row r="1229" spans="12:14" x14ac:dyDescent="0.25">
      <c r="L1229" s="38"/>
      <c r="M1229" s="38"/>
      <c r="N1229" s="52"/>
    </row>
    <row r="1230" spans="12:14" x14ac:dyDescent="0.25">
      <c r="L1230" s="38"/>
      <c r="M1230" s="38"/>
      <c r="N1230" s="52"/>
    </row>
    <row r="1231" spans="12:14" x14ac:dyDescent="0.25">
      <c r="L1231" s="38"/>
      <c r="M1231" s="38"/>
      <c r="N1231" s="52"/>
    </row>
    <row r="1232" spans="12:14" x14ac:dyDescent="0.25">
      <c r="L1232" s="38"/>
      <c r="M1232" s="38"/>
      <c r="N1232" s="52"/>
    </row>
    <row r="1233" spans="12:14" x14ac:dyDescent="0.25">
      <c r="L1233" s="38"/>
      <c r="M1233" s="38"/>
      <c r="N1233" s="52"/>
    </row>
    <row r="1234" spans="12:14" x14ac:dyDescent="0.25">
      <c r="L1234" s="38"/>
      <c r="M1234" s="38"/>
      <c r="N1234" s="52"/>
    </row>
    <row r="1235" spans="12:14" x14ac:dyDescent="0.25">
      <c r="L1235" s="38"/>
      <c r="M1235" s="38"/>
      <c r="N1235" s="52"/>
    </row>
    <row r="1236" spans="12:14" x14ac:dyDescent="0.25">
      <c r="L1236" s="38"/>
      <c r="M1236" s="38"/>
      <c r="N1236" s="52"/>
    </row>
    <row r="1237" spans="12:14" x14ac:dyDescent="0.25">
      <c r="L1237" s="38"/>
      <c r="M1237" s="38"/>
      <c r="N1237" s="52"/>
    </row>
    <row r="1238" spans="12:14" x14ac:dyDescent="0.25">
      <c r="L1238" s="38"/>
      <c r="M1238" s="38"/>
      <c r="N1238" s="52"/>
    </row>
    <row r="1239" spans="12:14" x14ac:dyDescent="0.25">
      <c r="L1239" s="38"/>
      <c r="M1239" s="38"/>
      <c r="N1239" s="52"/>
    </row>
    <row r="1240" spans="12:14" x14ac:dyDescent="0.25">
      <c r="L1240" s="38"/>
      <c r="M1240" s="38"/>
      <c r="N1240" s="52"/>
    </row>
    <row r="1241" spans="12:14" x14ac:dyDescent="0.25">
      <c r="L1241" s="38"/>
      <c r="M1241" s="38"/>
      <c r="N1241" s="52"/>
    </row>
    <row r="1242" spans="12:14" x14ac:dyDescent="0.25">
      <c r="L1242" s="38"/>
      <c r="M1242" s="38"/>
      <c r="N1242" s="52"/>
    </row>
    <row r="1243" spans="12:14" x14ac:dyDescent="0.25">
      <c r="L1243" s="38"/>
      <c r="M1243" s="38"/>
      <c r="N1243" s="52"/>
    </row>
    <row r="1244" spans="12:14" x14ac:dyDescent="0.25">
      <c r="L1244" s="38"/>
      <c r="M1244" s="38"/>
      <c r="N1244" s="52"/>
    </row>
    <row r="1245" spans="12:14" x14ac:dyDescent="0.25">
      <c r="L1245" s="38"/>
      <c r="M1245" s="38"/>
      <c r="N1245" s="52"/>
    </row>
    <row r="1246" spans="12:14" x14ac:dyDescent="0.25">
      <c r="L1246" s="38"/>
      <c r="M1246" s="38"/>
      <c r="N1246" s="52"/>
    </row>
    <row r="1247" spans="12:14" x14ac:dyDescent="0.25">
      <c r="L1247" s="38"/>
      <c r="M1247" s="38"/>
      <c r="N1247" s="52"/>
    </row>
    <row r="1248" spans="12:14" x14ac:dyDescent="0.25">
      <c r="L1248" s="38"/>
      <c r="M1248" s="38"/>
      <c r="N1248" s="52"/>
    </row>
    <row r="1249" spans="12:14" x14ac:dyDescent="0.25">
      <c r="L1249" s="38"/>
      <c r="M1249" s="38"/>
      <c r="N1249" s="52"/>
    </row>
    <row r="1250" spans="12:14" x14ac:dyDescent="0.25">
      <c r="L1250" s="38"/>
      <c r="M1250" s="38"/>
      <c r="N1250" s="52"/>
    </row>
    <row r="1251" spans="12:14" x14ac:dyDescent="0.25">
      <c r="L1251" s="38"/>
      <c r="M1251" s="38"/>
      <c r="N1251" s="52"/>
    </row>
    <row r="1252" spans="12:14" x14ac:dyDescent="0.25">
      <c r="L1252" s="38"/>
      <c r="M1252" s="38"/>
      <c r="N1252" s="52"/>
    </row>
    <row r="1253" spans="12:14" x14ac:dyDescent="0.25">
      <c r="L1253" s="38"/>
      <c r="M1253" s="38"/>
      <c r="N1253" s="52"/>
    </row>
    <row r="1254" spans="12:14" x14ac:dyDescent="0.25">
      <c r="L1254" s="38"/>
      <c r="M1254" s="38"/>
      <c r="N1254" s="52"/>
    </row>
    <row r="1255" spans="12:14" x14ac:dyDescent="0.25">
      <c r="L1255" s="38"/>
      <c r="M1255" s="38"/>
      <c r="N1255" s="52"/>
    </row>
    <row r="1256" spans="12:14" x14ac:dyDescent="0.25">
      <c r="L1256" s="38"/>
      <c r="M1256" s="38"/>
      <c r="N1256" s="52"/>
    </row>
    <row r="1257" spans="12:14" x14ac:dyDescent="0.25">
      <c r="L1257" s="38"/>
      <c r="M1257" s="38"/>
      <c r="N1257" s="52"/>
    </row>
    <row r="1258" spans="12:14" x14ac:dyDescent="0.25">
      <c r="L1258" s="38"/>
      <c r="M1258" s="38"/>
      <c r="N1258" s="52"/>
    </row>
    <row r="1259" spans="12:14" x14ac:dyDescent="0.25">
      <c r="L1259" s="38"/>
      <c r="M1259" s="38"/>
      <c r="N1259" s="52"/>
    </row>
    <row r="1260" spans="12:14" x14ac:dyDescent="0.25">
      <c r="L1260" s="38"/>
      <c r="M1260" s="38"/>
      <c r="N1260" s="52"/>
    </row>
    <row r="1261" spans="12:14" x14ac:dyDescent="0.25">
      <c r="L1261" s="38"/>
      <c r="M1261" s="38"/>
      <c r="N1261" s="52"/>
    </row>
    <row r="1262" spans="12:14" x14ac:dyDescent="0.25">
      <c r="L1262" s="38"/>
      <c r="M1262" s="38"/>
      <c r="N1262" s="52"/>
    </row>
    <row r="1263" spans="12:14" x14ac:dyDescent="0.25">
      <c r="L1263" s="38"/>
      <c r="M1263" s="38"/>
      <c r="N1263" s="52"/>
    </row>
    <row r="1264" spans="12:14" x14ac:dyDescent="0.25">
      <c r="L1264" s="38"/>
      <c r="M1264" s="38"/>
      <c r="N1264" s="52"/>
    </row>
    <row r="1265" spans="12:14" x14ac:dyDescent="0.25">
      <c r="L1265" s="38"/>
      <c r="M1265" s="38"/>
      <c r="N1265" s="52"/>
    </row>
    <row r="1266" spans="12:14" x14ac:dyDescent="0.25">
      <c r="L1266" s="38"/>
      <c r="M1266" s="38"/>
      <c r="N1266" s="52"/>
    </row>
    <row r="1267" spans="12:14" x14ac:dyDescent="0.25">
      <c r="L1267" s="38"/>
      <c r="M1267" s="38"/>
      <c r="N1267" s="52"/>
    </row>
    <row r="1268" spans="12:14" x14ac:dyDescent="0.25">
      <c r="L1268" s="38"/>
      <c r="M1268" s="38"/>
      <c r="N1268" s="52"/>
    </row>
    <row r="1269" spans="12:14" x14ac:dyDescent="0.25">
      <c r="L1269" s="38"/>
      <c r="M1269" s="38"/>
      <c r="N1269" s="52"/>
    </row>
    <row r="1270" spans="12:14" x14ac:dyDescent="0.25">
      <c r="L1270" s="38"/>
      <c r="M1270" s="38"/>
      <c r="N1270" s="52"/>
    </row>
    <row r="1271" spans="12:14" x14ac:dyDescent="0.25">
      <c r="L1271" s="38"/>
      <c r="M1271" s="38"/>
      <c r="N1271" s="52"/>
    </row>
    <row r="1272" spans="12:14" x14ac:dyDescent="0.25">
      <c r="L1272" s="38"/>
      <c r="M1272" s="38"/>
      <c r="N1272" s="52"/>
    </row>
    <row r="1273" spans="12:14" x14ac:dyDescent="0.25">
      <c r="L1273" s="38"/>
      <c r="M1273" s="38"/>
      <c r="N1273" s="52"/>
    </row>
    <row r="1274" spans="12:14" x14ac:dyDescent="0.25">
      <c r="L1274" s="38"/>
      <c r="M1274" s="38"/>
      <c r="N1274" s="52"/>
    </row>
    <row r="1275" spans="12:14" x14ac:dyDescent="0.25">
      <c r="L1275" s="38"/>
      <c r="M1275" s="38"/>
      <c r="N1275" s="52"/>
    </row>
    <row r="1276" spans="12:14" x14ac:dyDescent="0.25">
      <c r="L1276" s="38"/>
      <c r="M1276" s="38"/>
      <c r="N1276" s="52"/>
    </row>
    <row r="1277" spans="12:14" x14ac:dyDescent="0.25">
      <c r="L1277" s="38"/>
      <c r="M1277" s="38"/>
      <c r="N1277" s="52"/>
    </row>
    <row r="1278" spans="12:14" x14ac:dyDescent="0.25">
      <c r="L1278" s="38"/>
      <c r="M1278" s="38"/>
      <c r="N1278" s="52"/>
    </row>
    <row r="1279" spans="12:14" x14ac:dyDescent="0.25">
      <c r="L1279" s="38"/>
      <c r="M1279" s="38"/>
      <c r="N1279" s="52"/>
    </row>
    <row r="1280" spans="12:14" x14ac:dyDescent="0.25">
      <c r="L1280" s="38"/>
      <c r="M1280" s="38"/>
      <c r="N1280" s="52"/>
    </row>
    <row r="1281" spans="12:14" x14ac:dyDescent="0.25">
      <c r="L1281" s="38"/>
      <c r="M1281" s="38"/>
      <c r="N1281" s="52"/>
    </row>
    <row r="1282" spans="12:14" x14ac:dyDescent="0.25">
      <c r="L1282" s="38"/>
      <c r="M1282" s="38"/>
      <c r="N1282" s="52"/>
    </row>
    <row r="1283" spans="12:14" x14ac:dyDescent="0.25">
      <c r="L1283" s="38"/>
      <c r="M1283" s="38"/>
      <c r="N1283" s="52"/>
    </row>
    <row r="1284" spans="12:14" x14ac:dyDescent="0.25">
      <c r="L1284" s="38"/>
      <c r="M1284" s="38"/>
      <c r="N1284" s="52"/>
    </row>
    <row r="1285" spans="12:14" x14ac:dyDescent="0.25">
      <c r="L1285" s="38"/>
      <c r="M1285" s="38"/>
      <c r="N1285" s="52"/>
    </row>
    <row r="1286" spans="12:14" x14ac:dyDescent="0.25">
      <c r="L1286" s="38"/>
      <c r="M1286" s="38"/>
      <c r="N1286" s="52"/>
    </row>
    <row r="1287" spans="12:14" x14ac:dyDescent="0.25">
      <c r="L1287" s="38"/>
      <c r="M1287" s="38"/>
      <c r="N1287" s="52"/>
    </row>
    <row r="1288" spans="12:14" x14ac:dyDescent="0.25">
      <c r="L1288" s="38"/>
      <c r="M1288" s="38"/>
      <c r="N1288" s="52"/>
    </row>
    <row r="1289" spans="12:14" x14ac:dyDescent="0.25">
      <c r="L1289" s="38"/>
      <c r="M1289" s="38"/>
      <c r="N1289" s="52"/>
    </row>
    <row r="1290" spans="12:14" x14ac:dyDescent="0.25">
      <c r="L1290" s="38"/>
      <c r="M1290" s="38"/>
      <c r="N1290" s="52"/>
    </row>
    <row r="1291" spans="12:14" x14ac:dyDescent="0.25">
      <c r="L1291" s="38"/>
      <c r="M1291" s="38"/>
      <c r="N1291" s="52"/>
    </row>
    <row r="1292" spans="12:14" x14ac:dyDescent="0.25">
      <c r="L1292" s="38"/>
      <c r="M1292" s="38"/>
      <c r="N1292" s="52"/>
    </row>
    <row r="1293" spans="12:14" x14ac:dyDescent="0.25">
      <c r="L1293" s="38"/>
      <c r="M1293" s="38"/>
      <c r="N1293" s="52"/>
    </row>
    <row r="1294" spans="12:14" x14ac:dyDescent="0.25">
      <c r="L1294" s="38"/>
      <c r="M1294" s="38"/>
      <c r="N1294" s="52"/>
    </row>
    <row r="1295" spans="12:14" x14ac:dyDescent="0.25">
      <c r="L1295" s="38"/>
      <c r="M1295" s="38"/>
      <c r="N1295" s="52"/>
    </row>
    <row r="1296" spans="12:14" x14ac:dyDescent="0.25">
      <c r="L1296" s="38"/>
      <c r="M1296" s="38"/>
      <c r="N1296" s="52"/>
    </row>
    <row r="1297" spans="12:14" x14ac:dyDescent="0.25">
      <c r="L1297" s="38"/>
      <c r="M1297" s="38"/>
      <c r="N1297" s="52"/>
    </row>
    <row r="1298" spans="12:14" x14ac:dyDescent="0.25">
      <c r="L1298" s="38"/>
      <c r="M1298" s="38"/>
      <c r="N1298" s="52"/>
    </row>
    <row r="1299" spans="12:14" x14ac:dyDescent="0.25">
      <c r="L1299" s="38"/>
      <c r="M1299" s="38"/>
      <c r="N1299" s="52"/>
    </row>
    <row r="1300" spans="12:14" x14ac:dyDescent="0.25">
      <c r="L1300" s="38"/>
      <c r="M1300" s="38"/>
      <c r="N1300" s="52"/>
    </row>
    <row r="1301" spans="12:14" x14ac:dyDescent="0.25">
      <c r="L1301" s="38"/>
      <c r="M1301" s="38"/>
      <c r="N1301" s="52"/>
    </row>
    <row r="1302" spans="12:14" x14ac:dyDescent="0.25">
      <c r="L1302" s="38"/>
      <c r="M1302" s="38"/>
      <c r="N1302" s="52"/>
    </row>
    <row r="1303" spans="12:14" x14ac:dyDescent="0.25">
      <c r="L1303" s="38"/>
      <c r="M1303" s="38"/>
      <c r="N1303" s="52"/>
    </row>
    <row r="1304" spans="12:14" x14ac:dyDescent="0.25">
      <c r="L1304" s="38"/>
      <c r="M1304" s="38"/>
      <c r="N1304" s="52"/>
    </row>
    <row r="1305" spans="12:14" x14ac:dyDescent="0.25">
      <c r="L1305" s="38"/>
      <c r="M1305" s="38"/>
      <c r="N1305" s="52"/>
    </row>
    <row r="1306" spans="12:14" x14ac:dyDescent="0.25">
      <c r="L1306" s="38"/>
      <c r="M1306" s="38"/>
      <c r="N1306" s="52"/>
    </row>
    <row r="1307" spans="12:14" x14ac:dyDescent="0.25">
      <c r="L1307" s="38"/>
      <c r="M1307" s="38"/>
      <c r="N1307" s="52"/>
    </row>
    <row r="1308" spans="12:14" x14ac:dyDescent="0.25">
      <c r="L1308" s="38"/>
      <c r="M1308" s="38"/>
      <c r="N1308" s="52"/>
    </row>
    <row r="1309" spans="12:14" x14ac:dyDescent="0.25">
      <c r="L1309" s="38"/>
      <c r="M1309" s="38"/>
      <c r="N1309" s="52"/>
    </row>
    <row r="1310" spans="12:14" x14ac:dyDescent="0.25">
      <c r="L1310" s="38"/>
      <c r="M1310" s="38"/>
      <c r="N1310" s="52"/>
    </row>
    <row r="1311" spans="12:14" x14ac:dyDescent="0.25">
      <c r="L1311" s="38"/>
      <c r="M1311" s="38"/>
      <c r="N1311" s="52"/>
    </row>
    <row r="1312" spans="12:14" x14ac:dyDescent="0.25">
      <c r="L1312" s="38"/>
      <c r="M1312" s="38"/>
      <c r="N1312" s="52"/>
    </row>
    <row r="1313" spans="12:14" x14ac:dyDescent="0.25">
      <c r="L1313" s="38"/>
      <c r="M1313" s="38"/>
      <c r="N1313" s="52"/>
    </row>
    <row r="1314" spans="12:14" x14ac:dyDescent="0.25">
      <c r="L1314" s="38"/>
      <c r="M1314" s="38"/>
      <c r="N1314" s="52"/>
    </row>
    <row r="1315" spans="12:14" x14ac:dyDescent="0.25">
      <c r="L1315" s="38"/>
      <c r="M1315" s="38"/>
      <c r="N1315" s="52"/>
    </row>
    <row r="1316" spans="12:14" x14ac:dyDescent="0.25">
      <c r="L1316" s="38"/>
      <c r="M1316" s="38"/>
      <c r="N1316" s="52"/>
    </row>
    <row r="1317" spans="12:14" x14ac:dyDescent="0.25">
      <c r="L1317" s="38"/>
      <c r="M1317" s="38"/>
      <c r="N1317" s="52"/>
    </row>
    <row r="1318" spans="12:14" x14ac:dyDescent="0.25">
      <c r="L1318" s="38"/>
      <c r="M1318" s="38"/>
      <c r="N1318" s="52"/>
    </row>
    <row r="1319" spans="12:14" x14ac:dyDescent="0.25">
      <c r="L1319" s="38"/>
      <c r="M1319" s="38"/>
      <c r="N1319" s="52"/>
    </row>
    <row r="1320" spans="12:14" x14ac:dyDescent="0.25">
      <c r="L1320" s="38"/>
      <c r="M1320" s="38"/>
      <c r="N1320" s="52"/>
    </row>
    <row r="1321" spans="12:14" x14ac:dyDescent="0.25">
      <c r="L1321" s="38"/>
      <c r="M1321" s="38"/>
      <c r="N1321" s="52"/>
    </row>
    <row r="1322" spans="12:14" x14ac:dyDescent="0.25">
      <c r="L1322" s="38"/>
      <c r="M1322" s="38"/>
      <c r="N1322" s="52"/>
    </row>
    <row r="1323" spans="12:14" x14ac:dyDescent="0.25">
      <c r="L1323" s="38"/>
      <c r="M1323" s="38"/>
      <c r="N1323" s="52"/>
    </row>
    <row r="1324" spans="12:14" x14ac:dyDescent="0.25">
      <c r="L1324" s="38"/>
      <c r="M1324" s="38"/>
      <c r="N1324" s="52"/>
    </row>
    <row r="1325" spans="12:14" x14ac:dyDescent="0.25">
      <c r="L1325" s="38"/>
      <c r="M1325" s="38"/>
      <c r="N1325" s="52"/>
    </row>
    <row r="1326" spans="12:14" x14ac:dyDescent="0.25">
      <c r="L1326" s="38"/>
      <c r="M1326" s="38"/>
      <c r="N1326" s="52"/>
    </row>
    <row r="1327" spans="12:14" x14ac:dyDescent="0.25">
      <c r="L1327" s="38"/>
      <c r="M1327" s="38"/>
      <c r="N1327" s="52"/>
    </row>
  </sheetData>
  <autoFilter ref="A3:AA347" xr:uid="{00000000-0009-0000-0000-000001000000}">
    <sortState xmlns:xlrd2="http://schemas.microsoft.com/office/spreadsheetml/2017/richdata2" ref="A4:AA347">
      <sortCondition ref="S3:S347"/>
    </sortState>
  </autoFilter>
  <sortState xmlns:xlrd2="http://schemas.microsoft.com/office/spreadsheetml/2017/richdata2" ref="A4:AA560">
    <sortCondition ref="S4:S560"/>
  </sortState>
  <conditionalFormatting sqref="A89:L90 N89:AA90 A73:AA78 N65:AA65 A65:L65 A91:AA93 A66:AA66 A83:AA85 A53:AA53 A94:Z94 A96:L98 N96:AA98 A103:L105 N103:AA105 A106:AA109 A118:L122 N118:AA122 A126:AA127 A128:L129 N128:AA129 A140:L140 N140:AA140 A141:AA143 A148:H148 A157:AA158 A183:L183 N183:AA183 A182:AA182 A186:AA188 A194:L195 N194:AA195 A203:L203 N202:AA203 A204:AA206 A213:L213 N213:AA213 A212:AA212 A218:AA218 A225:L226 N225:AA226 A224:AA224 A239:AA241 A245:AA246 A252:L253 N252:AA253 A254:AA258 I269 A276:AA276 A279:L280 N279:AA280 A281:AA283 A278:AA278 A277:L277 N277:AA277 A139:AA139 A159:L159 A161:L161 N159:AA159 N161:AA161 A130:AA132 J148:AA148 A162:AA167 A184:AA184 A201:H202 J202:L202 J201:AA201 A214:AA215 A223:H223 J223:AA223 A227:AA228 A230:AA232 I243:I244 A265:AA268">
    <cfRule type="expression" dxfId="671" priority="2248">
      <formula>$I53=OR("","NA")</formula>
    </cfRule>
    <cfRule type="expression" dxfId="670" priority="2249">
      <formula>$I53="TBA"</formula>
    </cfRule>
    <cfRule type="expression" dxfId="669" priority="2250">
      <formula>$I53="Other"</formula>
    </cfRule>
    <cfRule type="expression" dxfId="668" priority="2251">
      <formula>$I53="Building"</formula>
    </cfRule>
    <cfRule type="expression" dxfId="667" priority="2252">
      <formula>$I53="Planning"</formula>
    </cfRule>
  </conditionalFormatting>
  <conditionalFormatting sqref="L68:L75 L88:L90 L62:L65 L81:L84 L79 L96:L98 L124:L129 L144:L147 L175:L185 L190:L195 L197:L203 L210:L217 L220:L227 L229 L236:L240 L135:L142 L100:L105 L56:L58 L115:L122 L152:L162 L242">
    <cfRule type="expression" dxfId="666" priority="2001">
      <formula>$AD56&gt;27</formula>
    </cfRule>
  </conditionalFormatting>
  <conditionalFormatting sqref="L81 L72 L69 L88:L90 L64:L65 L96:L98 L103:L105 L118:L122 L125 L128:L129 L140 L154:L155 L181 L183 L194:L195 L198 L202:L203 L213 L237:L238 L222 L225:L226 L159 L161">
    <cfRule type="expression" dxfId="665" priority="2000">
      <formula>$AD64&lt;27</formula>
    </cfRule>
  </conditionalFormatting>
  <conditionalFormatting sqref="L75 L135 L182:L188 L196:L197">
    <cfRule type="expression" dxfId="664" priority="2007">
      <formula>$AD159&gt;27</formula>
    </cfRule>
  </conditionalFormatting>
  <conditionalFormatting sqref="L140:L141 L121:L123 L144">
    <cfRule type="expression" dxfId="663" priority="1999">
      <formula>$AD186&gt;27</formula>
    </cfRule>
  </conditionalFormatting>
  <conditionalFormatting sqref="L72 L125:L126">
    <cfRule type="expression" dxfId="662" priority="1991">
      <formula>$AD239&gt;27</formula>
    </cfRule>
  </conditionalFormatting>
  <conditionalFormatting sqref="L162:L164 L182 L196 L136 L119:L121 L152">
    <cfRule type="expression" dxfId="661" priority="1983">
      <formula>$AD164&gt;27</formula>
    </cfRule>
  </conditionalFormatting>
  <conditionalFormatting sqref="L65:L67 L85:L87">
    <cfRule type="expression" dxfId="660" priority="1969">
      <formula>#REF!&gt;27</formula>
    </cfRule>
  </conditionalFormatting>
  <conditionalFormatting sqref="L279">
    <cfRule type="expression" dxfId="659" priority="2518">
      <formula>#REF!&gt;27</formula>
    </cfRule>
  </conditionalFormatting>
  <conditionalFormatting sqref="L162:L235">
    <cfRule type="expression" dxfId="658" priority="1905">
      <formula>$AD409&gt;27</formula>
    </cfRule>
  </conditionalFormatting>
  <conditionalFormatting sqref="L89 L140:L142 L129:L130 L157">
    <cfRule type="expression" dxfId="657" priority="1897">
      <formula>$AD240&gt;27</formula>
    </cfRule>
  </conditionalFormatting>
  <conditionalFormatting sqref="L203:L235">
    <cfRule type="expression" dxfId="656" priority="1889">
      <formula>$AD1&gt;27</formula>
    </cfRule>
  </conditionalFormatting>
  <conditionalFormatting sqref="L195:L235">
    <cfRule type="expression" dxfId="655" priority="1881">
      <formula>$AD3&gt;27</formula>
    </cfRule>
  </conditionalFormatting>
  <conditionalFormatting sqref="L192:L194 L189:L190 L158:L160">
    <cfRule type="expression" dxfId="654" priority="1849">
      <formula>$AD278&gt;27</formula>
    </cfRule>
  </conditionalFormatting>
  <conditionalFormatting sqref="L120 L117:L118 L87">
    <cfRule type="expression" dxfId="653" priority="1833">
      <formula>$AD201&gt;27</formula>
    </cfRule>
  </conditionalFormatting>
  <conditionalFormatting sqref="L194:L235">
    <cfRule type="expression" dxfId="652" priority="1757">
      <formula>#REF!&gt;27</formula>
    </cfRule>
  </conditionalFormatting>
  <conditionalFormatting sqref="L104 L78 L110 L188:L192">
    <cfRule type="expression" dxfId="651" priority="1735">
      <formula>$AD194&gt;27</formula>
    </cfRule>
  </conditionalFormatting>
  <conditionalFormatting sqref="A52:L52 N52:AA52 A47:AA51 A46:L46 N46:AA46 A43:AA45 A41:L42 N41:AA42 A36:AA40 A35:L35 N35:AA35 A25:AA34 A24:L24 N24:AA24 A10:AA23 A9:L9 N9:AA9 A4:AA8 A352:AA358 A70:AA71 A81:L81 N81:AA81 A82:AA82 A72:L72 A88:L88 N72:AA72 N88:AA88 A68:AA68 N69:AA69 A69:L69 N64:AA64 A64:L64 A62:AA63 A79:AA79 A363:R366 A367:L367 N367:R367 N360:R360 A360:L360 A124:AA124 A125:L125 N125:AA125 A144:AA147 A152:AA153 N154:AA155 A154:L155 A156:AA156 A181:L181 N181:AA181 A185:AA185 A197:AA197 A198:L198 N198:AA198 A199:AA200 A210:H211 A216:AA217 A236:AA236 A237:L238 A222:L222 N237:AA238 N222:AA222 A220:AA221 A229:AA229 A242:AA242 A249:AA249 N250:AA251 A250:L251 N259:AA259 A259:L259 A260:AA263 A270:AA270 N271:AA271 A271:L271 A272:AA275 N287:AA287 A287:L287 A135:AA138 A286:AA286 A100:AA102 A56:AA58 A115:AA117 A160:AA160 I148 A175:AA180 A190:AA193 I201:I202 J210:AA211 I223 A243:H244 J243:AA244 A368:R369 T363:AA369 A359:R359 T359:AA360 S359:S369 A370:AA378 A288:AA341">
    <cfRule type="expression" dxfId="650" priority="3192">
      <formula>$I4="On Hold"</formula>
    </cfRule>
    <cfRule type="expression" dxfId="649" priority="3193">
      <formula>$I4=OR("","NA")</formula>
    </cfRule>
    <cfRule type="expression" dxfId="648" priority="3194">
      <formula>$I4="TBA"</formula>
    </cfRule>
    <cfRule type="expression" dxfId="647" priority="3195">
      <formula>$I4="Other"</formula>
    </cfRule>
    <cfRule type="expression" dxfId="646" priority="3196">
      <formula>$I4="Building"</formula>
    </cfRule>
    <cfRule type="expression" dxfId="645" priority="3197">
      <formula>$I4="Planning"</formula>
    </cfRule>
  </conditionalFormatting>
  <conditionalFormatting sqref="L127 L91 L180:L181 L205:L207">
    <cfRule type="expression" dxfId="644" priority="1533">
      <formula>$AD201&gt;27</formula>
    </cfRule>
  </conditionalFormatting>
  <conditionalFormatting sqref="L163 L167 L188 L193 L199:L200 L130:L132 L149:L150">
    <cfRule type="expression" dxfId="643" priority="1439">
      <formula>$AD164&gt;27</formula>
    </cfRule>
  </conditionalFormatting>
  <conditionalFormatting sqref="L117:L118 L148 L163 L166:L167 L175:L177 L187 L196:L197 L223:L224 L228 L132 L156">
    <cfRule type="expression" dxfId="642" priority="1390">
      <formula>$AD128&gt;27</formula>
    </cfRule>
  </conditionalFormatting>
  <conditionalFormatting sqref="L155">
    <cfRule type="expression" dxfId="641" priority="1353">
      <formula>#REF!&gt;27</formula>
    </cfRule>
  </conditionalFormatting>
  <conditionalFormatting sqref="L168 L211 L119 L144:L148 L151 L140:L142 L254">
    <cfRule type="expression" dxfId="640" priority="1242">
      <formula>$AD143&gt;27</formula>
    </cfRule>
  </conditionalFormatting>
  <conditionalFormatting sqref="L169 L180 L199:L203 L206 L212 L118:L119 L153 L156 L138:L139 L151">
    <cfRule type="expression" dxfId="639" priority="1161">
      <formula>$AD147&gt;27</formula>
    </cfRule>
  </conditionalFormatting>
  <conditionalFormatting sqref="A348:AB348 A350:AB350 A269:H269 J269:AB269">
    <cfRule type="expression" dxfId="638" priority="1081">
      <formula>$J269="On Hold"</formula>
    </cfRule>
    <cfRule type="expression" dxfId="637" priority="1083">
      <formula>$J269=OR("","NA")</formula>
    </cfRule>
    <cfRule type="expression" dxfId="636" priority="1084">
      <formula>$J269="TBA"</formula>
    </cfRule>
    <cfRule type="expression" dxfId="635" priority="1085">
      <formula>$J269="Other"</formula>
    </cfRule>
    <cfRule type="expression" dxfId="634" priority="1086">
      <formula>$J269="Building"</formula>
    </cfRule>
    <cfRule type="expression" dxfId="633" priority="1087">
      <formula>$J269="Planning"</formula>
    </cfRule>
  </conditionalFormatting>
  <conditionalFormatting sqref="L168:L169 L122:L126 L92 L109:L110 L145 L142:L143">
    <cfRule type="expression" dxfId="632" priority="1080">
      <formula>$AD114&gt;27</formula>
    </cfRule>
  </conditionalFormatting>
  <conditionalFormatting sqref="L52">
    <cfRule type="expression" dxfId="631" priority="1065">
      <formula>$AD52&gt;27</formula>
    </cfRule>
  </conditionalFormatting>
  <conditionalFormatting sqref="L52">
    <cfRule type="expression" dxfId="630" priority="1064">
      <formula>$AD52&lt;27</formula>
    </cfRule>
  </conditionalFormatting>
  <conditionalFormatting sqref="L52">
    <cfRule type="expression" dxfId="629" priority="1071">
      <formula>#REF!&gt;27</formula>
    </cfRule>
  </conditionalFormatting>
  <conditionalFormatting sqref="L51">
    <cfRule type="expression" dxfId="628" priority="1057">
      <formula>$AD51&gt;27</formula>
    </cfRule>
  </conditionalFormatting>
  <conditionalFormatting sqref="L50">
    <cfRule type="expression" dxfId="627" priority="1050">
      <formula>$AD50&gt;27</formula>
    </cfRule>
  </conditionalFormatting>
  <conditionalFormatting sqref="L49">
    <cfRule type="expression" dxfId="626" priority="1043">
      <formula>$AD49&gt;27</formula>
    </cfRule>
  </conditionalFormatting>
  <conditionalFormatting sqref="L48">
    <cfRule type="expression" dxfId="625" priority="1036">
      <formula>$AD48&gt;27</formula>
    </cfRule>
  </conditionalFormatting>
  <conditionalFormatting sqref="L47">
    <cfRule type="expression" dxfId="624" priority="1029">
      <formula>$AD47&gt;27</formula>
    </cfRule>
  </conditionalFormatting>
  <conditionalFormatting sqref="L46">
    <cfRule type="expression" dxfId="623" priority="1021">
      <formula>$AD46&gt;27</formula>
    </cfRule>
  </conditionalFormatting>
  <conditionalFormatting sqref="L46">
    <cfRule type="expression" dxfId="622" priority="1020">
      <formula>$AD46&lt;27</formula>
    </cfRule>
  </conditionalFormatting>
  <conditionalFormatting sqref="L46">
    <cfRule type="expression" dxfId="621" priority="1027">
      <formula>#REF!&gt;27</formula>
    </cfRule>
  </conditionalFormatting>
  <conditionalFormatting sqref="A361:R361 T361:AB361">
    <cfRule type="expression" dxfId="620" priority="1012">
      <formula>$J361="On Hold"</formula>
    </cfRule>
    <cfRule type="expression" dxfId="619" priority="1014">
      <formula>$J361=OR("","NA")</formula>
    </cfRule>
    <cfRule type="expression" dxfId="618" priority="1015">
      <formula>$J361="TBA"</formula>
    </cfRule>
    <cfRule type="expression" dxfId="617" priority="1016">
      <formula>$J361="Other"</formula>
    </cfRule>
    <cfRule type="expression" dxfId="616" priority="1017">
      <formula>$J361="Building"</formula>
    </cfRule>
    <cfRule type="expression" dxfId="615" priority="1018">
      <formula>$J361="Planning"</formula>
    </cfRule>
  </conditionalFormatting>
  <conditionalFormatting sqref="A362:R362 T362:AB362">
    <cfRule type="expression" dxfId="614" priority="1005">
      <formula>$J362="On Hold"</formula>
    </cfRule>
    <cfRule type="expression" dxfId="613" priority="1007">
      <formula>$J362=OR("","NA")</formula>
    </cfRule>
    <cfRule type="expression" dxfId="612" priority="1008">
      <formula>$J362="TBA"</formula>
    </cfRule>
    <cfRule type="expression" dxfId="611" priority="1009">
      <formula>$J362="Other"</formula>
    </cfRule>
    <cfRule type="expression" dxfId="610" priority="1010">
      <formula>$J362="Building"</formula>
    </cfRule>
    <cfRule type="expression" dxfId="609" priority="1011">
      <formula>$J362="Planning"</formula>
    </cfRule>
  </conditionalFormatting>
  <conditionalFormatting sqref="L45">
    <cfRule type="expression" dxfId="608" priority="985">
      <formula>$AD45&gt;27</formula>
    </cfRule>
  </conditionalFormatting>
  <conditionalFormatting sqref="L44">
    <cfRule type="expression" dxfId="607" priority="978">
      <formula>$AD44&gt;27</formula>
    </cfRule>
  </conditionalFormatting>
  <conditionalFormatting sqref="L43">
    <cfRule type="expression" dxfId="606" priority="971">
      <formula>$AD43&gt;27</formula>
    </cfRule>
  </conditionalFormatting>
  <conditionalFormatting sqref="L42">
    <cfRule type="expression" dxfId="605" priority="963">
      <formula>$AD42&gt;27</formula>
    </cfRule>
  </conditionalFormatting>
  <conditionalFormatting sqref="L42">
    <cfRule type="expression" dxfId="604" priority="962">
      <formula>$AD42&lt;27</formula>
    </cfRule>
  </conditionalFormatting>
  <conditionalFormatting sqref="L241 L227:L235 L161">
    <cfRule type="expression" dxfId="603" priority="969">
      <formula>$AD311&gt;27</formula>
    </cfRule>
  </conditionalFormatting>
  <conditionalFormatting sqref="L41">
    <cfRule type="expression" dxfId="602" priority="954">
      <formula>$AD41&gt;27</formula>
    </cfRule>
  </conditionalFormatting>
  <conditionalFormatting sqref="L41">
    <cfRule type="expression" dxfId="601" priority="953">
      <formula>$AD41&lt;27</formula>
    </cfRule>
  </conditionalFormatting>
  <conditionalFormatting sqref="L40">
    <cfRule type="expression" dxfId="600" priority="946">
      <formula>$AD40&gt;27</formula>
    </cfRule>
  </conditionalFormatting>
  <conditionalFormatting sqref="L39">
    <cfRule type="expression" dxfId="599" priority="939">
      <formula>$AD39&gt;27</formula>
    </cfRule>
  </conditionalFormatting>
  <conditionalFormatting sqref="L38">
    <cfRule type="expression" dxfId="598" priority="932">
      <formula>$AD38&gt;27</formula>
    </cfRule>
  </conditionalFormatting>
  <conditionalFormatting sqref="L37">
    <cfRule type="expression" dxfId="597" priority="925">
      <formula>$AD37&gt;27</formula>
    </cfRule>
  </conditionalFormatting>
  <conditionalFormatting sqref="L36">
    <cfRule type="expression" dxfId="596" priority="918">
      <formula>$AD36&gt;27</formula>
    </cfRule>
  </conditionalFormatting>
  <conditionalFormatting sqref="L35">
    <cfRule type="expression" dxfId="595" priority="910">
      <formula>$AD35&gt;27</formula>
    </cfRule>
  </conditionalFormatting>
  <conditionalFormatting sqref="L35">
    <cfRule type="expression" dxfId="594" priority="909">
      <formula>$AD35&lt;27</formula>
    </cfRule>
  </conditionalFormatting>
  <conditionalFormatting sqref="L34">
    <cfRule type="expression" dxfId="593" priority="902">
      <formula>$AD34&gt;27</formula>
    </cfRule>
  </conditionalFormatting>
  <conditionalFormatting sqref="L33">
    <cfRule type="expression" dxfId="592" priority="895">
      <formula>$AD33&gt;27</formula>
    </cfRule>
  </conditionalFormatting>
  <conditionalFormatting sqref="L32">
    <cfRule type="expression" dxfId="591" priority="888">
      <formula>$AD32&gt;27</formula>
    </cfRule>
  </conditionalFormatting>
  <conditionalFormatting sqref="L31">
    <cfRule type="expression" dxfId="590" priority="881">
      <formula>$AD31&gt;27</formula>
    </cfRule>
  </conditionalFormatting>
  <conditionalFormatting sqref="L30">
    <cfRule type="expression" dxfId="589" priority="874">
      <formula>$AD30&gt;27</formula>
    </cfRule>
  </conditionalFormatting>
  <conditionalFormatting sqref="L29">
    <cfRule type="expression" dxfId="588" priority="867">
      <formula>$AD29&gt;27</formula>
    </cfRule>
  </conditionalFormatting>
  <conditionalFormatting sqref="L28">
    <cfRule type="expression" dxfId="587" priority="860">
      <formula>$AD28&gt;27</formula>
    </cfRule>
  </conditionalFormatting>
  <conditionalFormatting sqref="L27">
    <cfRule type="expression" dxfId="586" priority="853">
      <formula>$AD27&gt;27</formula>
    </cfRule>
  </conditionalFormatting>
  <conditionalFormatting sqref="L26">
    <cfRule type="expression" dxfId="585" priority="846">
      <formula>$AD26&gt;27</formula>
    </cfRule>
  </conditionalFormatting>
  <conditionalFormatting sqref="L25">
    <cfRule type="expression" dxfId="584" priority="839">
      <formula>$AD25&gt;27</formula>
    </cfRule>
  </conditionalFormatting>
  <conditionalFormatting sqref="L24">
    <cfRule type="expression" dxfId="583" priority="831">
      <formula>$AD24&gt;27</formula>
    </cfRule>
  </conditionalFormatting>
  <conditionalFormatting sqref="L24">
    <cfRule type="expression" dxfId="582" priority="830">
      <formula>$AD24&lt;27</formula>
    </cfRule>
  </conditionalFormatting>
  <conditionalFormatting sqref="L23">
    <cfRule type="expression" dxfId="581" priority="823">
      <formula>$AD23&gt;27</formula>
    </cfRule>
  </conditionalFormatting>
  <conditionalFormatting sqref="L22">
    <cfRule type="expression" dxfId="580" priority="816">
      <formula>$AD22&gt;27</formula>
    </cfRule>
  </conditionalFormatting>
  <conditionalFormatting sqref="A349:AB349">
    <cfRule type="expression" dxfId="579" priority="808">
      <formula>$J349="On Hold"</formula>
    </cfRule>
    <cfRule type="expression" dxfId="578" priority="810">
      <formula>$J349=OR("","NA")</formula>
    </cfRule>
    <cfRule type="expression" dxfId="577" priority="811">
      <formula>$J349="TBA"</formula>
    </cfRule>
    <cfRule type="expression" dxfId="576" priority="812">
      <formula>$J349="Other"</formula>
    </cfRule>
    <cfRule type="expression" dxfId="575" priority="813">
      <formula>$J349="Building"</formula>
    </cfRule>
    <cfRule type="expression" dxfId="574" priority="814">
      <formula>$J349="Planning"</formula>
    </cfRule>
  </conditionalFormatting>
  <conditionalFormatting sqref="L21">
    <cfRule type="expression" dxfId="573" priority="788">
      <formula>$AD21&gt;27</formula>
    </cfRule>
  </conditionalFormatting>
  <conditionalFormatting sqref="L20">
    <cfRule type="expression" dxfId="572" priority="781">
      <formula>$AD20&gt;27</formula>
    </cfRule>
  </conditionalFormatting>
  <conditionalFormatting sqref="L19">
    <cfRule type="expression" dxfId="571" priority="774">
      <formula>$AD19&gt;27</formula>
    </cfRule>
  </conditionalFormatting>
  <conditionalFormatting sqref="L18">
    <cfRule type="expression" dxfId="570" priority="767">
      <formula>$AD18&gt;27</formula>
    </cfRule>
  </conditionalFormatting>
  <conditionalFormatting sqref="L17">
    <cfRule type="expression" dxfId="569" priority="760">
      <formula>$AD17&gt;27</formula>
    </cfRule>
  </conditionalFormatting>
  <conditionalFormatting sqref="L16">
    <cfRule type="expression" dxfId="568" priority="753">
      <formula>$AD16&gt;27</formula>
    </cfRule>
  </conditionalFormatting>
  <conditionalFormatting sqref="L174 L177 L182:L186 L152 L140:L143 L227">
    <cfRule type="expression" dxfId="567" priority="751">
      <formula>$AD186&gt;27</formula>
    </cfRule>
  </conditionalFormatting>
  <conditionalFormatting sqref="L15">
    <cfRule type="expression" dxfId="566" priority="737">
      <formula>$AD15&gt;27</formula>
    </cfRule>
  </conditionalFormatting>
  <conditionalFormatting sqref="L14">
    <cfRule type="expression" dxfId="565" priority="730">
      <formula>$AD14&gt;27</formula>
    </cfRule>
  </conditionalFormatting>
  <conditionalFormatting sqref="L13">
    <cfRule type="expression" dxfId="564" priority="723">
      <formula>$AD13&gt;27</formula>
    </cfRule>
  </conditionalFormatting>
  <conditionalFormatting sqref="L12">
    <cfRule type="expression" dxfId="563" priority="716">
      <formula>$AD12&gt;27</formula>
    </cfRule>
  </conditionalFormatting>
  <conditionalFormatting sqref="L11">
    <cfRule type="expression" dxfId="562" priority="709">
      <formula>$AD11&gt;27</formula>
    </cfRule>
  </conditionalFormatting>
  <conditionalFormatting sqref="L10">
    <cfRule type="expression" dxfId="561" priority="702">
      <formula>$AD10&gt;27</formula>
    </cfRule>
  </conditionalFormatting>
  <conditionalFormatting sqref="L9">
    <cfRule type="expression" dxfId="560" priority="694">
      <formula>$AD9&gt;27</formula>
    </cfRule>
  </conditionalFormatting>
  <conditionalFormatting sqref="L9">
    <cfRule type="expression" dxfId="559" priority="693">
      <formula>$AD9&lt;27</formula>
    </cfRule>
  </conditionalFormatting>
  <conditionalFormatting sqref="L8">
    <cfRule type="expression" dxfId="558" priority="686">
      <formula>$AD8&gt;27</formula>
    </cfRule>
  </conditionalFormatting>
  <conditionalFormatting sqref="L7">
    <cfRule type="expression" dxfId="557" priority="632">
      <formula>$AD7&gt;27</formula>
    </cfRule>
  </conditionalFormatting>
  <conditionalFormatting sqref="L6">
    <cfRule type="expression" dxfId="556" priority="555">
      <formula>$AD6&gt;27</formula>
    </cfRule>
  </conditionalFormatting>
  <conditionalFormatting sqref="A351:AB351">
    <cfRule type="expression" dxfId="555" priority="512">
      <formula>$J351="On Hold"</formula>
    </cfRule>
    <cfRule type="expression" dxfId="554" priority="514">
      <formula>$J351=OR("","NA")</formula>
    </cfRule>
    <cfRule type="expression" dxfId="553" priority="515">
      <formula>$J351="TBA"</formula>
    </cfRule>
    <cfRule type="expression" dxfId="552" priority="516">
      <formula>$J351="Other"</formula>
    </cfRule>
    <cfRule type="expression" dxfId="551" priority="517">
      <formula>$J351="Building"</formula>
    </cfRule>
    <cfRule type="expression" dxfId="550" priority="518">
      <formula>$J351="Planning"</formula>
    </cfRule>
  </conditionalFormatting>
  <conditionalFormatting sqref="L377">
    <cfRule type="expression" dxfId="549" priority="492">
      <formula>$AD377&gt;27</formula>
    </cfRule>
  </conditionalFormatting>
  <conditionalFormatting sqref="L378">
    <cfRule type="expression" dxfId="548" priority="464">
      <formula>$AD378&gt;27</formula>
    </cfRule>
  </conditionalFormatting>
  <conditionalFormatting sqref="L5">
    <cfRule type="expression" dxfId="547" priority="415">
      <formula>$AD5&gt;27</formula>
    </cfRule>
  </conditionalFormatting>
  <conditionalFormatting sqref="L4">
    <cfRule type="expression" dxfId="546" priority="408">
      <formula>$AD4&gt;27</formula>
    </cfRule>
  </conditionalFormatting>
  <conditionalFormatting sqref="L69 L128 L131:L132 L143 L153:L154 L161 L184 L195 L138:L139">
    <cfRule type="expression" dxfId="545" priority="3325">
      <formula>$AD71&gt;27</formula>
    </cfRule>
  </conditionalFormatting>
  <conditionalFormatting sqref="L100:L101 L120:L122 L133:L134">
    <cfRule type="expression" dxfId="544" priority="3350">
      <formula>$AD144&gt;27</formula>
    </cfRule>
  </conditionalFormatting>
  <conditionalFormatting sqref="L224:L235 L262:L281">
    <cfRule type="expression" dxfId="543" priority="3372">
      <formula>$AD102&gt;27</formula>
    </cfRule>
  </conditionalFormatting>
  <conditionalFormatting sqref="L221:L235">
    <cfRule type="expression" dxfId="542" priority="3414">
      <formula>$AD161&gt;27</formula>
    </cfRule>
  </conditionalFormatting>
  <conditionalFormatting sqref="L210:L235 L141:L160 L165:L184">
    <cfRule type="expression" dxfId="541" priority="3415">
      <formula>$AD116&gt;27</formula>
    </cfRule>
  </conditionalFormatting>
  <conditionalFormatting sqref="L191 L197:L198 L204 L158 L136:L139 L143">
    <cfRule type="expression" dxfId="540" priority="3472">
      <formula>$AD167&gt;27</formula>
    </cfRule>
  </conditionalFormatting>
  <conditionalFormatting sqref="L64:L67">
    <cfRule type="expression" dxfId="539" priority="3521">
      <formula>$AD88&gt;27</formula>
    </cfRule>
  </conditionalFormatting>
  <conditionalFormatting sqref="L237 L100:L101">
    <cfRule type="expression" dxfId="538" priority="3569">
      <formula>$AD68&gt;27</formula>
    </cfRule>
  </conditionalFormatting>
  <conditionalFormatting sqref="A264:Z264">
    <cfRule type="expression" dxfId="537" priority="3578">
      <formula>$H264="On Hold"</formula>
    </cfRule>
    <cfRule type="expression" dxfId="536" priority="3579">
      <formula>$H264=OR("","NA")</formula>
    </cfRule>
    <cfRule type="expression" dxfId="535" priority="3580">
      <formula>$H264="TBA"</formula>
    </cfRule>
    <cfRule type="expression" dxfId="534" priority="3581">
      <formula>$H264="Other"</formula>
    </cfRule>
    <cfRule type="expression" dxfId="533" priority="3582">
      <formula>$H264="Building"</formula>
    </cfRule>
    <cfRule type="expression" dxfId="532" priority="3583">
      <formula>$H264="Planning"</formula>
    </cfRule>
  </conditionalFormatting>
  <conditionalFormatting sqref="L271:L285">
    <cfRule type="expression" dxfId="531" priority="3603">
      <formula>$AD64&gt;27</formula>
    </cfRule>
  </conditionalFormatting>
  <conditionalFormatting sqref="L232:L235">
    <cfRule type="expression" dxfId="530" priority="3642">
      <formula>$AD116&gt;27</formula>
    </cfRule>
  </conditionalFormatting>
  <conditionalFormatting sqref="L85:L87 L122:L123 L144:L145 L179:L183 L198:L200 L203 L135:L137 L161:L162">
    <cfRule type="expression" dxfId="529" priority="3696">
      <formula>$AD91&gt;27</formula>
    </cfRule>
  </conditionalFormatting>
  <conditionalFormatting sqref="L137:L139 L150:L160 L174:L193">
    <cfRule type="expression" dxfId="528" priority="3697">
      <formula>$AD103&gt;27</formula>
    </cfRule>
  </conditionalFormatting>
  <conditionalFormatting sqref="L91 L132:L143 L145:L160 L166:L229 L163:L164">
    <cfRule type="expression" dxfId="527" priority="3708">
      <formula>$AD86&gt;27</formula>
    </cfRule>
  </conditionalFormatting>
  <conditionalFormatting sqref="L103">
    <cfRule type="expression" dxfId="526" priority="3709">
      <formula>$AD86&gt;27</formula>
    </cfRule>
  </conditionalFormatting>
  <conditionalFormatting sqref="L178 L185 L152 L154:L157 L133 L147">
    <cfRule type="expression" dxfId="525" priority="3718">
      <formula>$AD182&gt;27</formula>
    </cfRule>
  </conditionalFormatting>
  <conditionalFormatting sqref="L223:L235">
    <cfRule type="expression" dxfId="524" priority="3754">
      <formula>$AD161&gt;27</formula>
    </cfRule>
  </conditionalFormatting>
  <conditionalFormatting sqref="L107:L108 L192:L235">
    <cfRule type="expression" dxfId="523" priority="3756">
      <formula>$AD292&gt;27</formula>
    </cfRule>
  </conditionalFormatting>
  <conditionalFormatting sqref="L174 L178 L187 L191 L79 L99:L101 L119 L194">
    <cfRule type="expression" dxfId="522" priority="3764">
      <formula>$AD127&gt;27</formula>
    </cfRule>
  </conditionalFormatting>
  <conditionalFormatting sqref="L161:L235">
    <cfRule type="expression" dxfId="521" priority="3766">
      <formula>$AD399&gt;27</formula>
    </cfRule>
  </conditionalFormatting>
  <conditionalFormatting sqref="L137:L141">
    <cfRule type="expression" dxfId="520" priority="3772">
      <formula>$AD372&gt;27</formula>
    </cfRule>
  </conditionalFormatting>
  <conditionalFormatting sqref="L116:L121 L90">
    <cfRule type="expression" dxfId="519" priority="3794">
      <formula>$AD277&gt;27</formula>
    </cfRule>
  </conditionalFormatting>
  <conditionalFormatting sqref="L186:L235 L129:L139">
    <cfRule type="expression" dxfId="518" priority="3805">
      <formula>$AD366&gt;27</formula>
    </cfRule>
  </conditionalFormatting>
  <conditionalFormatting sqref="L281:L285">
    <cfRule type="expression" dxfId="517" priority="3829">
      <formula>$AD102&gt;27</formula>
    </cfRule>
  </conditionalFormatting>
  <conditionalFormatting sqref="L76:L77 L123 L167 L185:L186 L204">
    <cfRule type="expression" dxfId="516" priority="3833">
      <formula>$AD183&gt;27</formula>
    </cfRule>
  </conditionalFormatting>
  <conditionalFormatting sqref="L103 L94:L95">
    <cfRule type="expression" dxfId="515" priority="3839">
      <formula>$AD224&gt;27</formula>
    </cfRule>
  </conditionalFormatting>
  <conditionalFormatting sqref="L188:L210 L233:L235">
    <cfRule type="expression" dxfId="514" priority="3881">
      <formula>$AD116&gt;27</formula>
    </cfRule>
  </conditionalFormatting>
  <conditionalFormatting sqref="L227:L235 L239 L253:L275">
    <cfRule type="expression" dxfId="513" priority="3889">
      <formula>$AD90&gt;27</formula>
    </cfRule>
  </conditionalFormatting>
  <conditionalFormatting sqref="L107 L127:L128 L133 L148:L150 L178 L182:L184 L189 L196 L203:L205 L226:L229 L158:L162">
    <cfRule type="expression" dxfId="512" priority="3891">
      <formula>$AD111&gt;27</formula>
    </cfRule>
  </conditionalFormatting>
  <conditionalFormatting sqref="L191:L193 L116 L158">
    <cfRule type="expression" dxfId="511" priority="3897">
      <formula>$AD132&gt;27</formula>
    </cfRule>
  </conditionalFormatting>
  <conditionalFormatting sqref="L175 L183 L197:L198 L216 L128 L111 L142">
    <cfRule type="expression" dxfId="510" priority="3900">
      <formula>$AD132&gt;27</formula>
    </cfRule>
  </conditionalFormatting>
  <conditionalFormatting sqref="L121 L125:L126 L96 L103 L188 L198:L202 L160">
    <cfRule type="expression" dxfId="509" priority="4129">
      <formula>$AD202&gt;27</formula>
    </cfRule>
  </conditionalFormatting>
  <conditionalFormatting sqref="L161 L136 L149 L206:L207 L214">
    <cfRule type="expression" dxfId="508" priority="4179">
      <formula>$AD210&gt;27</formula>
    </cfRule>
  </conditionalFormatting>
  <conditionalFormatting sqref="L122:L123 L143 L183:L187 L200 L219:L223">
    <cfRule type="expression" dxfId="507" priority="4248">
      <formula>$AD207&gt;27</formula>
    </cfRule>
  </conditionalFormatting>
  <conditionalFormatting sqref="L90 L105 L126 L162:L163">
    <cfRule type="expression" dxfId="506" priority="4269">
      <formula>$AD194&gt;27</formula>
    </cfRule>
  </conditionalFormatting>
  <conditionalFormatting sqref="L125 L122 L99:L101 L103 L184:L185 L203 L161:L164">
    <cfRule type="expression" dxfId="505" priority="4271">
      <formula>$AD207&gt;27</formula>
    </cfRule>
  </conditionalFormatting>
  <conditionalFormatting sqref="L167:L169 L124:L125 L107:L109 L104 L140 L203:L204 L217:L218">
    <cfRule type="expression" dxfId="504" priority="4348">
      <formula>$AD167&gt;27</formula>
    </cfRule>
  </conditionalFormatting>
  <conditionalFormatting sqref="L227:L235 L215:L216 L246:L261">
    <cfRule type="expression" dxfId="503" priority="4352">
      <formula>$AD113&gt;27</formula>
    </cfRule>
  </conditionalFormatting>
  <conditionalFormatting sqref="L134 L142:L144 L180:L184 L194:L196 L204:L205 L211:L212">
    <cfRule type="expression" dxfId="502" priority="4359">
      <formula>$AD222&gt;27</formula>
    </cfRule>
  </conditionalFormatting>
  <conditionalFormatting sqref="L128:L129">
    <cfRule type="expression" dxfId="501" priority="4368">
      <formula>$AD266&gt;27</formula>
    </cfRule>
  </conditionalFormatting>
  <conditionalFormatting sqref="L228">
    <cfRule type="expression" dxfId="500" priority="4443">
      <formula>$AD109&gt;27</formula>
    </cfRule>
  </conditionalFormatting>
  <conditionalFormatting sqref="L173:L195 L197:L216 L159:L160">
    <cfRule type="expression" dxfId="499" priority="4447">
      <formula>$AD102&gt;27</formula>
    </cfRule>
  </conditionalFormatting>
  <conditionalFormatting sqref="L176:L177 L194 L190 L102 L107:L108 L127 L129:L132 L149 L202 L249">
    <cfRule type="expression" dxfId="498" priority="4452">
      <formula>$AD142&gt;27</formula>
    </cfRule>
  </conditionalFormatting>
  <conditionalFormatting sqref="L130 L113:L115 L125:L126 L163 L201:L205">
    <cfRule type="expression" dxfId="497" priority="4458">
      <formula>$AD216&gt;27</formula>
    </cfRule>
  </conditionalFormatting>
  <conditionalFormatting sqref="L97:L98">
    <cfRule type="expression" dxfId="496" priority="4539">
      <formula>$AD224&gt;27</formula>
    </cfRule>
  </conditionalFormatting>
  <conditionalFormatting sqref="L216:L235 L163:L169">
    <cfRule type="expression" dxfId="495" priority="4558">
      <formula>$AD108&gt;27</formula>
    </cfRule>
  </conditionalFormatting>
  <conditionalFormatting sqref="L161 L191 L195:L197 L128 L138:L139">
    <cfRule type="expression" dxfId="494" priority="4560">
      <formula>$AD163&gt;27</formula>
    </cfRule>
  </conditionalFormatting>
  <conditionalFormatting sqref="L110:L111 L126:L127 L171:L172 L189:L193">
    <cfRule type="expression" dxfId="493" priority="4568">
      <formula>$AD225&gt;27</formula>
    </cfRule>
  </conditionalFormatting>
  <conditionalFormatting sqref="L136:L139 L120:L121 L220:L230">
    <cfRule type="expression" dxfId="492" priority="4570">
      <formula>$AD266&gt;27</formula>
    </cfRule>
  </conditionalFormatting>
  <conditionalFormatting sqref="L172 L194 L202:L203 L102:L103 L128 L135 L124">
    <cfRule type="expression" dxfId="491" priority="4597">
      <formula>$AD141&gt;27</formula>
    </cfRule>
  </conditionalFormatting>
  <conditionalFormatting sqref="L110 L147 L198 L205:L206 L229:L233">
    <cfRule type="expression" dxfId="490" priority="4601">
      <formula>$AD185&gt;27</formula>
    </cfRule>
  </conditionalFormatting>
  <conditionalFormatting sqref="L195 L205 L214 L159:L162 L150:L152">
    <cfRule type="expression" dxfId="489" priority="4630">
      <formula>$AD164&gt;27</formula>
    </cfRule>
  </conditionalFormatting>
  <conditionalFormatting sqref="L169 L192 L194 L100:L101 L105:L106 L123:L125 L200:L201 L239:L240">
    <cfRule type="expression" dxfId="488" priority="4632">
      <formula>$AD141&gt;27</formula>
    </cfRule>
  </conditionalFormatting>
  <conditionalFormatting sqref="L170:L171 L173 L195 L105 L131:L135 L127:L129">
    <cfRule type="expression" dxfId="487" priority="4636">
      <formula>$AD142&gt;27</formula>
    </cfRule>
  </conditionalFormatting>
  <conditionalFormatting sqref="L140 L126">
    <cfRule type="expression" dxfId="486" priority="4641">
      <formula>$AD218&gt;27</formula>
    </cfRule>
  </conditionalFormatting>
  <conditionalFormatting sqref="L137 L98 L194:L195">
    <cfRule type="expression" dxfId="485" priority="4644">
      <formula>$AD196&gt;27</formula>
    </cfRule>
  </conditionalFormatting>
  <conditionalFormatting sqref="L150 L129:L130 L122:L124 L108 L152:L153 L195:L197">
    <cfRule type="expression" dxfId="484" priority="4646">
      <formula>$AD195&gt;27</formula>
    </cfRule>
  </conditionalFormatting>
  <conditionalFormatting sqref="L184:L191 L193:L212 L214:L235">
    <cfRule type="expression" dxfId="483" priority="4662">
      <formula>$AD131&gt;27</formula>
    </cfRule>
  </conditionalFormatting>
  <conditionalFormatting sqref="L140:L149 L161:L173 L196:L235">
    <cfRule type="expression" dxfId="482" priority="4687">
      <formula>$AD105&gt;27</formula>
    </cfRule>
  </conditionalFormatting>
  <conditionalFormatting sqref="L188:L235 L155:L160 L167:L186 L253:L269">
    <cfRule type="expression" dxfId="481" priority="4688">
      <formula>$AD128&gt;27</formula>
    </cfRule>
  </conditionalFormatting>
  <conditionalFormatting sqref="L173 L178:L181 L121 L124 L155 L252:L253">
    <cfRule type="expression" dxfId="480" priority="4729">
      <formula>$AD159&gt;27</formula>
    </cfRule>
  </conditionalFormatting>
  <conditionalFormatting sqref="L93 L131 L182 L185 L157:L160">
    <cfRule type="expression" dxfId="479" priority="4734">
      <formula>$AD202&gt;27</formula>
    </cfRule>
  </conditionalFormatting>
  <conditionalFormatting sqref="L173:L235 L153:L171">
    <cfRule type="expression" dxfId="478" priority="4737">
      <formula>$AD141&gt;27</formula>
    </cfRule>
  </conditionalFormatting>
  <conditionalFormatting sqref="L166 L176 L179:L180 L191 L200:L203 L127:L128 L121 L151">
    <cfRule type="expression" dxfId="477" priority="4740">
      <formula>$AD149&gt;27</formula>
    </cfRule>
  </conditionalFormatting>
  <conditionalFormatting sqref="L134:L135 L124 L159:L160 L184:L185 L220:L221">
    <cfRule type="expression" dxfId="476" priority="4741">
      <formula>$AD206&gt;27</formula>
    </cfRule>
  </conditionalFormatting>
  <conditionalFormatting sqref="L165 L167 L159:L160 L122 L219 L236">
    <cfRule type="expression" dxfId="475" priority="4754">
      <formula>$AD192&gt;27</formula>
    </cfRule>
  </conditionalFormatting>
  <conditionalFormatting sqref="L129:L139 L174:L235 L153:L172">
    <cfRule type="expression" dxfId="474" priority="4756">
      <formula>$AD116&gt;27</formula>
    </cfRule>
  </conditionalFormatting>
  <conditionalFormatting sqref="L124:L125">
    <cfRule type="expression" dxfId="473" priority="4759">
      <formula>$AD194&gt;27</formula>
    </cfRule>
  </conditionalFormatting>
  <conditionalFormatting sqref="L157:L160 L136 L194">
    <cfRule type="expression" dxfId="472" priority="4769">
      <formula>$AD209&gt;27</formula>
    </cfRule>
  </conditionalFormatting>
  <conditionalFormatting sqref="L122:L144 L146:L165 L167:L235">
    <cfRule type="expression" dxfId="471" priority="4788">
      <formula>$AD116&gt;27</formula>
    </cfRule>
  </conditionalFormatting>
  <conditionalFormatting sqref="L106 L203:L204">
    <cfRule type="expression" dxfId="470" priority="4789">
      <formula>$AD195&gt;27</formula>
    </cfRule>
  </conditionalFormatting>
  <conditionalFormatting sqref="L161:L235 L108:L110">
    <cfRule type="expression" dxfId="469" priority="4800">
      <formula>$AD366&gt;27</formula>
    </cfRule>
  </conditionalFormatting>
  <conditionalFormatting sqref="L249:L285 L207:L225 L197:L201">
    <cfRule type="expression" dxfId="468" priority="4814">
      <formula>$AD110&gt;27</formula>
    </cfRule>
  </conditionalFormatting>
  <conditionalFormatting sqref="L241">
    <cfRule type="expression" dxfId="467" priority="4816">
      <formula>$AD102&gt;27</formula>
    </cfRule>
  </conditionalFormatting>
  <conditionalFormatting sqref="L138:L139 L121 L176:L195 L197:L235 L152:L160">
    <cfRule type="expression" dxfId="466" priority="4817">
      <formula>$AD85&gt;27</formula>
    </cfRule>
  </conditionalFormatting>
  <conditionalFormatting sqref="L136 L106 L140 L222 L229">
    <cfRule type="expression" dxfId="465" priority="4819">
      <formula>$AD162&gt;27</formula>
    </cfRule>
  </conditionalFormatting>
  <conditionalFormatting sqref="L238 L136:L139 L181:L236">
    <cfRule type="expression" dxfId="464" priority="4829">
      <formula>$AD116&gt;27</formula>
    </cfRule>
  </conditionalFormatting>
  <conditionalFormatting sqref="L172:L186 L188:L207 L209:L235">
    <cfRule type="expression" dxfId="463" priority="4832">
      <formula>$AD124&gt;27</formula>
    </cfRule>
  </conditionalFormatting>
  <conditionalFormatting sqref="L212:L214 L202:L205 L221:L235">
    <cfRule type="expression" dxfId="462" priority="4846">
      <formula>$AD97&gt;27</formula>
    </cfRule>
  </conditionalFormatting>
  <conditionalFormatting sqref="L166:L167 L151 L125:L129 L142">
    <cfRule type="expression" dxfId="461" priority="4853">
      <formula>$AD268&gt;27</formula>
    </cfRule>
  </conditionalFormatting>
  <conditionalFormatting sqref="L176:L187 L213:L232">
    <cfRule type="expression" dxfId="460" priority="4854">
      <formula>$AD103&gt;27</formula>
    </cfRule>
  </conditionalFormatting>
  <conditionalFormatting sqref="L161:L235 L35">
    <cfRule type="expression" dxfId="459" priority="4875">
      <formula>$AD303&gt;27</formula>
    </cfRule>
  </conditionalFormatting>
  <conditionalFormatting sqref="L140:L235 L118:L125">
    <cfRule type="expression" dxfId="458" priority="4891">
      <formula>$AD369&gt;27</formula>
    </cfRule>
  </conditionalFormatting>
  <conditionalFormatting sqref="L152 L112 L145:L146 L158:L159 L195:L196">
    <cfRule type="expression" dxfId="457" priority="4902">
      <formula>$AD195&gt;27</formula>
    </cfRule>
  </conditionalFormatting>
  <conditionalFormatting sqref="L217:L235 L262:L285">
    <cfRule type="expression" dxfId="456" priority="4908">
      <formula>$AD116&gt;27</formula>
    </cfRule>
  </conditionalFormatting>
  <conditionalFormatting sqref="L240 L155 L138:L141 L169:L170">
    <cfRule type="expression" dxfId="455" priority="4913">
      <formula>$AD278&gt;27</formula>
    </cfRule>
  </conditionalFormatting>
  <conditionalFormatting sqref="L161:L235">
    <cfRule type="expression" dxfId="454" priority="4976">
      <formula>$AD443&gt;27</formula>
    </cfRule>
  </conditionalFormatting>
  <conditionalFormatting sqref="L219:L235 L199:L211">
    <cfRule type="expression" dxfId="453" priority="4978">
      <formula>$AD102&gt;27</formula>
    </cfRule>
  </conditionalFormatting>
  <conditionalFormatting sqref="L125:L139 L143">
    <cfRule type="expression" dxfId="452" priority="4979">
      <formula>$AD122&gt;27</formula>
    </cfRule>
  </conditionalFormatting>
  <conditionalFormatting sqref="L161:L235 L102:L104">
    <cfRule type="expression" dxfId="451" priority="4981">
      <formula>$AD367&gt;27</formula>
    </cfRule>
  </conditionalFormatting>
  <conditionalFormatting sqref="L209:L221 L249:L266 L268:L285">
    <cfRule type="expression" dxfId="450" priority="4982">
      <formula>$AD102&gt;27</formula>
    </cfRule>
  </conditionalFormatting>
  <conditionalFormatting sqref="L267:L285">
    <cfRule type="expression" dxfId="449" priority="4987">
      <formula>$AD140&gt;27</formula>
    </cfRule>
  </conditionalFormatting>
  <conditionalFormatting sqref="L108 L153:L157 L287:L288">
    <cfRule type="expression" dxfId="448" priority="4989">
      <formula>$AD123&gt;27</formula>
    </cfRule>
  </conditionalFormatting>
  <conditionalFormatting sqref="L106">
    <cfRule type="expression" dxfId="447" priority="4990">
      <formula>$AD105&gt;27</formula>
    </cfRule>
  </conditionalFormatting>
  <conditionalFormatting sqref="L105:L106 L114:L115">
    <cfRule type="expression" dxfId="446" priority="4997">
      <formula>$AD122&gt;27</formula>
    </cfRule>
  </conditionalFormatting>
  <conditionalFormatting sqref="L128 L162 L186:L187">
    <cfRule type="expression" dxfId="445" priority="5010">
      <formula>$AD208&gt;27</formula>
    </cfRule>
  </conditionalFormatting>
  <conditionalFormatting sqref="L144 L140 L161:L164 L187:L235">
    <cfRule type="expression" dxfId="444" priority="5017">
      <formula>$AD114&gt;27</formula>
    </cfRule>
  </conditionalFormatting>
  <conditionalFormatting sqref="L161:L235">
    <cfRule type="expression" dxfId="443" priority="5018">
      <formula>$AD409&gt;27</formula>
    </cfRule>
  </conditionalFormatting>
  <conditionalFormatting sqref="L105:L106">
    <cfRule type="expression" dxfId="442" priority="5020">
      <formula>$AD70&gt;27</formula>
    </cfRule>
  </conditionalFormatting>
  <conditionalFormatting sqref="L229:L235">
    <cfRule type="expression" dxfId="441" priority="5041">
      <formula>$AD102&gt;27</formula>
    </cfRule>
  </conditionalFormatting>
  <conditionalFormatting sqref="L119 L175 L189:L190">
    <cfRule type="expression" dxfId="440" priority="5046">
      <formula>$AD137&gt;27</formula>
    </cfRule>
  </conditionalFormatting>
  <conditionalFormatting sqref="L103:L104">
    <cfRule type="expression" dxfId="439" priority="5086">
      <formula>$AD413&gt;27</formula>
    </cfRule>
  </conditionalFormatting>
  <conditionalFormatting sqref="L103:L104 L161:L235">
    <cfRule type="expression" dxfId="438" priority="5096">
      <formula>$AD396&gt;27</formula>
    </cfRule>
  </conditionalFormatting>
  <conditionalFormatting sqref="L112:L113 L149:L160 L170:L235">
    <cfRule type="expression" dxfId="437" priority="5098">
      <formula>$AD103&gt;27</formula>
    </cfRule>
  </conditionalFormatting>
  <conditionalFormatting sqref="L225:L235 L189:L199">
    <cfRule type="expression" dxfId="436" priority="5103">
      <formula>$AD104&gt;27</formula>
    </cfRule>
  </conditionalFormatting>
  <conditionalFormatting sqref="L116:L117">
    <cfRule type="expression" dxfId="435" priority="5107">
      <formula>$AD103&gt;27</formula>
    </cfRule>
  </conditionalFormatting>
  <conditionalFormatting sqref="L109 L186:L187">
    <cfRule type="expression" dxfId="434" priority="5109">
      <formula>$AD203&gt;27</formula>
    </cfRule>
  </conditionalFormatting>
  <conditionalFormatting sqref="L127:L139">
    <cfRule type="expression" dxfId="433" priority="5115">
      <formula>$AD398&gt;27</formula>
    </cfRule>
  </conditionalFormatting>
  <conditionalFormatting sqref="L107:L108 L211:L229 L237 L137:L142 L165:L167 L270:L285">
    <cfRule type="expression" dxfId="432" priority="5121">
      <formula>$AD103&gt;27</formula>
    </cfRule>
  </conditionalFormatting>
  <conditionalFormatting sqref="L104">
    <cfRule type="expression" dxfId="431" priority="5123">
      <formula>$AD86&gt;27</formula>
    </cfRule>
  </conditionalFormatting>
  <conditionalFormatting sqref="L188 L131 L138:L139 L157:L160 L367 L216:L217 L237">
    <cfRule type="expression" dxfId="430" priority="5125">
      <formula>$AD181&gt;27</formula>
    </cfRule>
  </conditionalFormatting>
  <conditionalFormatting sqref="L174 L177 L102:L104 L206 L246">
    <cfRule type="expression" dxfId="429" priority="5139">
      <formula>$AD164&gt;27</formula>
    </cfRule>
  </conditionalFormatting>
  <conditionalFormatting sqref="L163:L164 L172:L173 L178:L179 L201:L202 L206 L130:L131 L154 L146 L215">
    <cfRule type="expression" dxfId="428" priority="5142">
      <formula>$AD157&gt;27</formula>
    </cfRule>
  </conditionalFormatting>
  <conditionalFormatting sqref="L119:L120 L143:L147">
    <cfRule type="expression" dxfId="427" priority="5160">
      <formula>$AD280&gt;27</formula>
    </cfRule>
  </conditionalFormatting>
  <conditionalFormatting sqref="L111:L112 L240 L161:L167">
    <cfRule type="expression" dxfId="426" priority="5163">
      <formula>$AD103&gt;27</formula>
    </cfRule>
  </conditionalFormatting>
  <conditionalFormatting sqref="L223:L235">
    <cfRule type="expression" dxfId="425" priority="5174">
      <formula>$AD140&gt;27</formula>
    </cfRule>
  </conditionalFormatting>
  <conditionalFormatting sqref="L107:L110">
    <cfRule type="expression" dxfId="424" priority="5179">
      <formula>$AD71&gt;27</formula>
    </cfRule>
  </conditionalFormatting>
  <conditionalFormatting sqref="L106">
    <cfRule type="expression" dxfId="423" priority="5209">
      <formula>$AD430&gt;27</formula>
    </cfRule>
  </conditionalFormatting>
  <conditionalFormatting sqref="L106">
    <cfRule type="expression" dxfId="422" priority="5211">
      <formula>$AD413&gt;27</formula>
    </cfRule>
  </conditionalFormatting>
  <conditionalFormatting sqref="L209:L230 L232:L235 L198:L206">
    <cfRule type="expression" dxfId="421" priority="5220">
      <formula>$AD106&gt;27</formula>
    </cfRule>
  </conditionalFormatting>
  <conditionalFormatting sqref="L199:L200">
    <cfRule type="expression" dxfId="420" priority="5265">
      <formula>$AD375&gt;27</formula>
    </cfRule>
  </conditionalFormatting>
  <conditionalFormatting sqref="L129 L127 L278:L285 L182">
    <cfRule type="expression" dxfId="419" priority="5268">
      <formula>$AD226&gt;27</formula>
    </cfRule>
  </conditionalFormatting>
  <conditionalFormatting sqref="L148:L149 L249:L258">
    <cfRule type="expression" dxfId="418" priority="5270">
      <formula>$AD266&gt;27</formula>
    </cfRule>
  </conditionalFormatting>
  <conditionalFormatting sqref="L177:L189 L215:L234 L140:L160">
    <cfRule type="expression" dxfId="417" priority="5275">
      <formula>$AD65&gt;27</formula>
    </cfRule>
  </conditionalFormatting>
  <conditionalFormatting sqref="L102 L165:L167 L203:L207">
    <cfRule type="expression" dxfId="416" priority="5276">
      <formula>$AD203&gt;27</formula>
    </cfRule>
  </conditionalFormatting>
  <conditionalFormatting sqref="L201:L235">
    <cfRule type="expression" dxfId="415" priority="5282">
      <formula>$AD161&gt;27</formula>
    </cfRule>
  </conditionalFormatting>
  <conditionalFormatting sqref="L239">
    <cfRule type="expression" dxfId="414" priority="5283">
      <formula>$AD106&gt;27</formula>
    </cfRule>
  </conditionalFormatting>
  <conditionalFormatting sqref="L106">
    <cfRule type="expression" dxfId="413" priority="5284">
      <formula>$AD392&gt;27</formula>
    </cfRule>
  </conditionalFormatting>
  <conditionalFormatting sqref="L110">
    <cfRule type="expression" dxfId="412" priority="5295">
      <formula>$AD452&gt;27</formula>
    </cfRule>
  </conditionalFormatting>
  <conditionalFormatting sqref="L110">
    <cfRule type="expression" dxfId="411" priority="5297">
      <formula>$AD435&gt;27</formula>
    </cfRule>
  </conditionalFormatting>
  <conditionalFormatting sqref="L252">
    <cfRule type="expression" dxfId="410" priority="5301">
      <formula>$AD110&gt;27</formula>
    </cfRule>
  </conditionalFormatting>
  <conditionalFormatting sqref="L93:L94">
    <cfRule type="expression" dxfId="409" priority="5303">
      <formula>$AD133&gt;27</formula>
    </cfRule>
  </conditionalFormatting>
  <conditionalFormatting sqref="L126:L127 L189 L161:L167">
    <cfRule type="expression" dxfId="408" priority="5311">
      <formula>$AD231&gt;27</formula>
    </cfRule>
  </conditionalFormatting>
  <conditionalFormatting sqref="L224:L234">
    <cfRule type="expression" dxfId="407" priority="5321">
      <formula>$AD366&gt;27</formula>
    </cfRule>
  </conditionalFormatting>
  <conditionalFormatting sqref="L245:L248">
    <cfRule type="expression" dxfId="406" priority="5335">
      <formula>$AD116&gt;27</formula>
    </cfRule>
  </conditionalFormatting>
  <conditionalFormatting sqref="L184 L186:L188">
    <cfRule type="expression" dxfId="405" priority="5336">
      <formula>$AD228&gt;27</formula>
    </cfRule>
  </conditionalFormatting>
  <conditionalFormatting sqref="L249:L285">
    <cfRule type="expression" dxfId="404" priority="5337">
      <formula>$AD164&gt;27</formula>
    </cfRule>
  </conditionalFormatting>
  <conditionalFormatting sqref="L124">
    <cfRule type="expression" dxfId="403" priority="5378">
      <formula>$AD123&gt;27</formula>
    </cfRule>
  </conditionalFormatting>
  <conditionalFormatting sqref="L119 L131 L182:L183 L199:L202 L208:L212">
    <cfRule type="expression" dxfId="402" priority="5392">
      <formula>$AD215&gt;27</formula>
    </cfRule>
  </conditionalFormatting>
  <conditionalFormatting sqref="L147 L134 L105:L106 L143 L202:L206 L210">
    <cfRule type="expression" dxfId="401" priority="5395">
      <formula>$AD169&gt;27</formula>
    </cfRule>
  </conditionalFormatting>
  <conditionalFormatting sqref="L164:L165 L169 L171 L173:L174 L177 L193 L118:L122 L106 L141 L360">
    <cfRule type="expression" dxfId="400" priority="5406">
      <formula>$AD132&gt;27</formula>
    </cfRule>
  </conditionalFormatting>
  <conditionalFormatting sqref="L125 L137:L139 L141 L187:L188">
    <cfRule type="expression" dxfId="399" priority="5483">
      <formula>$AD218&gt;27</formula>
    </cfRule>
  </conditionalFormatting>
  <conditionalFormatting sqref="L142">
    <cfRule type="expression" dxfId="398" priority="5489">
      <formula>$AD234&gt;27</formula>
    </cfRule>
  </conditionalFormatting>
  <conditionalFormatting sqref="L162:L163 L170:L171 L74 L138:L139 L95 L102:L104 L141:L143 L200:L201 L226:L227">
    <cfRule type="expression" dxfId="397" priority="5505">
      <formula>$AD140&gt;27</formula>
    </cfRule>
  </conditionalFormatting>
  <conditionalFormatting sqref="L118 L123:L124 L171 L177 L198 L201">
    <cfRule type="expression" dxfId="396" priority="5541">
      <formula>$AD126&gt;27</formula>
    </cfRule>
  </conditionalFormatting>
  <conditionalFormatting sqref="L143:L235 L111:L115">
    <cfRule type="expression" dxfId="395" priority="5543">
      <formula>$AD372&gt;27</formula>
    </cfRule>
  </conditionalFormatting>
  <conditionalFormatting sqref="L127:L128 L146 L116">
    <cfRule type="expression" dxfId="394" priority="5545">
      <formula>$AD281&gt;27</formula>
    </cfRule>
  </conditionalFormatting>
  <conditionalFormatting sqref="L190">
    <cfRule type="expression" dxfId="393" priority="5587">
      <formula>$AD172&gt;27</formula>
    </cfRule>
  </conditionalFormatting>
  <conditionalFormatting sqref="L167 L172 L179:L181 L192 L197:L198 L203 L205:L206 L143 L149 L137 L140:L141">
    <cfRule type="expression" dxfId="392" priority="5601">
      <formula>$AD162&gt;27</formula>
    </cfRule>
  </conditionalFormatting>
  <conditionalFormatting sqref="L87">
    <cfRule type="expression" dxfId="391" priority="5630">
      <formula>$AD127&gt;27</formula>
    </cfRule>
  </conditionalFormatting>
  <conditionalFormatting sqref="L212">
    <cfRule type="expression" dxfId="390" priority="5660">
      <formula>$AD130&gt;27</formula>
    </cfRule>
  </conditionalFormatting>
  <conditionalFormatting sqref="L166:L167 L170 L177:L179 L198:L199 L140 L257:L285">
    <cfRule type="expression" dxfId="389" priority="5661">
      <formula>$AD149&gt;27</formula>
    </cfRule>
  </conditionalFormatting>
  <conditionalFormatting sqref="L230:L235 L192:L204">
    <cfRule type="expression" dxfId="388" priority="5668">
      <formula>$AD102&gt;27</formula>
    </cfRule>
  </conditionalFormatting>
  <conditionalFormatting sqref="L226:L235">
    <cfRule type="expression" dxfId="387" priority="5696">
      <formula>$AD161&gt;27</formula>
    </cfRule>
  </conditionalFormatting>
  <conditionalFormatting sqref="L282:L285">
    <cfRule type="expression" dxfId="386" priority="5703">
      <formula>$AD161&gt;27</formula>
    </cfRule>
  </conditionalFormatting>
  <conditionalFormatting sqref="L161:L235">
    <cfRule type="expression" dxfId="385" priority="5715">
      <formula>$AD450&gt;27</formula>
    </cfRule>
  </conditionalFormatting>
  <conditionalFormatting sqref="L161:L235">
    <cfRule type="expression" dxfId="384" priority="5717">
      <formula>$AD433&gt;27</formula>
    </cfRule>
  </conditionalFormatting>
  <conditionalFormatting sqref="L205:L207">
    <cfRule type="expression" dxfId="383" priority="5734">
      <formula>$AD98&gt;27</formula>
    </cfRule>
  </conditionalFormatting>
  <conditionalFormatting sqref="L143:L145 L228:L235">
    <cfRule type="expression" dxfId="382" priority="5747">
      <formula>$AD292&gt;27</formula>
    </cfRule>
  </conditionalFormatting>
  <conditionalFormatting sqref="L138:L139 L116:L122 L183:L235">
    <cfRule type="expression" dxfId="381" priority="5771">
      <formula>$AD94&gt;27</formula>
    </cfRule>
  </conditionalFormatting>
  <conditionalFormatting sqref="L238">
    <cfRule type="expression" dxfId="380" priority="5775">
      <formula>$AD89&gt;27</formula>
    </cfRule>
  </conditionalFormatting>
  <conditionalFormatting sqref="L217:L235 L196:L215">
    <cfRule type="expression" dxfId="379" priority="5783">
      <formula>$AD140&gt;27</formula>
    </cfRule>
  </conditionalFormatting>
  <conditionalFormatting sqref="L161:L235">
    <cfRule type="expression" dxfId="378" priority="5815">
      <formula>$AD460&gt;27</formula>
    </cfRule>
  </conditionalFormatting>
  <conditionalFormatting sqref="L102:L104 L194:L235">
    <cfRule type="expression" dxfId="377" priority="5823">
      <formula>$AD69&gt;27</formula>
    </cfRule>
  </conditionalFormatting>
  <conditionalFormatting sqref="L127 L135 L146 L179 L193 L204:L205 L239">
    <cfRule type="expression" dxfId="376" priority="5827">
      <formula>$AD130&gt;27</formula>
    </cfRule>
  </conditionalFormatting>
  <conditionalFormatting sqref="L175:L235 L141:L148 L120 L161:L169">
    <cfRule type="expression" dxfId="375" priority="5829">
      <formula>$AD110&gt;27</formula>
    </cfRule>
  </conditionalFormatting>
  <conditionalFormatting sqref="L123:L125 L140:L142 L150:L151 L170:L171 L200:L201 L211 L159:L160 L154">
    <cfRule type="expression" dxfId="374" priority="5835">
      <formula>$AD130&gt;27</formula>
    </cfRule>
  </conditionalFormatting>
  <conditionalFormatting sqref="L142">
    <cfRule type="expression" dxfId="373" priority="5844">
      <formula>$AD236&gt;27</formula>
    </cfRule>
  </conditionalFormatting>
  <conditionalFormatting sqref="L161:L235">
    <cfRule type="expression" dxfId="372" priority="5904">
      <formula>$AD475&gt;27</formula>
    </cfRule>
  </conditionalFormatting>
  <conditionalFormatting sqref="L176 L104 L154:L156 L224:L226 L183:L184">
    <cfRule type="expression" dxfId="371" priority="5916">
      <formula>$AD162&gt;27</formula>
    </cfRule>
  </conditionalFormatting>
  <conditionalFormatting sqref="L199:L208 L249:L267">
    <cfRule type="expression" dxfId="370" priority="5920">
      <formula>$AD91&gt;27</formula>
    </cfRule>
  </conditionalFormatting>
  <conditionalFormatting sqref="L172 L183 L187:L188 L192 L129 L120 L99:L101">
    <cfRule type="expression" dxfId="369" priority="5922">
      <formula>$AD119&gt;27</formula>
    </cfRule>
  </conditionalFormatting>
  <conditionalFormatting sqref="L127">
    <cfRule type="expression" dxfId="368" priority="5936">
      <formula>$AD154&gt;27</formula>
    </cfRule>
  </conditionalFormatting>
  <conditionalFormatting sqref="L180:L182 L185 L193 L91 L143 L245">
    <cfRule type="expression" dxfId="367" priority="5951">
      <formula>$AD127&gt;27</formula>
    </cfRule>
  </conditionalFormatting>
  <conditionalFormatting sqref="L132 L163 L192 L195">
    <cfRule type="expression" dxfId="366" priority="5994">
      <formula>$AD133&gt;27</formula>
    </cfRule>
  </conditionalFormatting>
  <conditionalFormatting sqref="L124:L128 L197:L235 L190:L191">
    <cfRule type="expression" dxfId="365" priority="5995">
      <formula>$AD304&gt;27</formula>
    </cfRule>
  </conditionalFormatting>
  <conditionalFormatting sqref="L146:L147 L141 L159:L160 L172:L235">
    <cfRule type="expression" dxfId="364" priority="6052">
      <formula>$AD130&gt;27</formula>
    </cfRule>
  </conditionalFormatting>
  <conditionalFormatting sqref="L135:L152 L126:L128 L154:L173 L175:L235 L249:L256">
    <cfRule type="expression" dxfId="363" priority="6054">
      <formula>$AD112&gt;27</formula>
    </cfRule>
  </conditionalFormatting>
  <conditionalFormatting sqref="L174:L175 L133:L136 L128 L110 L152 L228:L229 L250:L251">
    <cfRule type="expression" dxfId="362" priority="6077">
      <formula>$AD162&gt;27</formula>
    </cfRule>
  </conditionalFormatting>
  <conditionalFormatting sqref="L210:L232">
    <cfRule type="expression" dxfId="361" priority="6100">
      <formula>$AD116&gt;27</formula>
    </cfRule>
  </conditionalFormatting>
  <conditionalFormatting sqref="L122 L197:L235">
    <cfRule type="expression" dxfId="360" priority="6106">
      <formula>$AD291&gt;27</formula>
    </cfRule>
  </conditionalFormatting>
  <conditionalFormatting sqref="L132 L191 L159:L160">
    <cfRule type="expression" dxfId="359" priority="6108">
      <formula>$AD137&gt;27</formula>
    </cfRule>
  </conditionalFormatting>
  <conditionalFormatting sqref="L150 L119:L120 L137 L148 L193 L199 L215">
    <cfRule type="expression" dxfId="358" priority="6166">
      <formula>$AD205&gt;27</formula>
    </cfRule>
  </conditionalFormatting>
  <conditionalFormatting sqref="L169:L170 L190 L197:L199 L202 L94 L108:L109 L153:L155 L140">
    <cfRule type="expression" dxfId="357" priority="6176">
      <formula>$AD127&gt;27</formula>
    </cfRule>
  </conditionalFormatting>
  <conditionalFormatting sqref="L194:L235 L178:L187 L161:L166">
    <cfRule type="expression" dxfId="356" priority="6179">
      <formula>$AD133&gt;27</formula>
    </cfRule>
  </conditionalFormatting>
  <conditionalFormatting sqref="L82 L126 L130 L119 L153:L155 L201:L202 L215:L216 L227:L231">
    <cfRule type="expression" dxfId="355" priority="6208">
      <formula>$AD159&gt;27</formula>
    </cfRule>
  </conditionalFormatting>
  <conditionalFormatting sqref="L81 L156:L157 L232:L235">
    <cfRule type="expression" dxfId="354" priority="6210">
      <formula>$AD215&gt;27</formula>
    </cfRule>
  </conditionalFormatting>
  <conditionalFormatting sqref="L219:L235">
    <cfRule type="expression" dxfId="353" priority="6212">
      <formula>$AD140&gt;27</formula>
    </cfRule>
  </conditionalFormatting>
  <conditionalFormatting sqref="L144">
    <cfRule type="expression" dxfId="352" priority="6213">
      <formula>$AD181&gt;27</formula>
    </cfRule>
  </conditionalFormatting>
  <conditionalFormatting sqref="L177 L180:L181 L201:L202 L142">
    <cfRule type="expression" dxfId="351" priority="6235">
      <formula>$AD174&gt;27</formula>
    </cfRule>
  </conditionalFormatting>
  <conditionalFormatting sqref="L89 L135:L137 L125:L126 L100:L101 L108 L147 L183:L184 L197:L198 L201:L203 L210:L213">
    <cfRule type="expression" dxfId="350" priority="6247">
      <formula>$AD184&gt;27</formula>
    </cfRule>
  </conditionalFormatting>
  <conditionalFormatting sqref="L162 L176 L201:L202 L210 L127:L131">
    <cfRule type="expression" dxfId="349" priority="6292">
      <formula>$AD144&gt;27</formula>
    </cfRule>
  </conditionalFormatting>
  <conditionalFormatting sqref="L144:L156 L161:L180">
    <cfRule type="expression" dxfId="348" priority="6312">
      <formula>$AD102&gt;27</formula>
    </cfRule>
  </conditionalFormatting>
  <conditionalFormatting sqref="L131">
    <cfRule type="expression" dxfId="347" priority="6355">
      <formula>$AD189&gt;27</formula>
    </cfRule>
  </conditionalFormatting>
  <conditionalFormatting sqref="L185:L235 L161:L162">
    <cfRule type="expression" dxfId="346" priority="6367">
      <formula>$AD137&gt;27</formula>
    </cfRule>
  </conditionalFormatting>
  <conditionalFormatting sqref="L147 L140:L145 L118:L121 L156:L166 L168:L235 L273:L285">
    <cfRule type="expression" dxfId="345" priority="6369">
      <formula>$AD111&gt;27</formula>
    </cfRule>
  </conditionalFormatting>
  <conditionalFormatting sqref="L164:L165 L176 L199:L200 L126:L129 L123:L124 L102:L104 L155 L144 L223">
    <cfRule type="expression" dxfId="344" priority="6371">
      <formula>$AD121&gt;27</formula>
    </cfRule>
  </conditionalFormatting>
  <conditionalFormatting sqref="L161:L235">
    <cfRule type="expression" dxfId="343" priority="6376">
      <formula>$AD411&gt;27</formula>
    </cfRule>
  </conditionalFormatting>
  <conditionalFormatting sqref="L147:L149 L198:L208">
    <cfRule type="expression" dxfId="342" priority="6379">
      <formula>$AD315&gt;27</formula>
    </cfRule>
  </conditionalFormatting>
  <conditionalFormatting sqref="L165:L166 L171 L179 L95:L96 L109:L110 L107 L141 L212:L217 L223:L226">
    <cfRule type="expression" dxfId="341" priority="6380">
      <formula>$AD150&gt;27</formula>
    </cfRule>
  </conditionalFormatting>
  <conditionalFormatting sqref="L165:L187 L189:L208 L210:L235 L151:L160">
    <cfRule type="expression" dxfId="340" priority="6431">
      <formula>$AD102&gt;27</formula>
    </cfRule>
  </conditionalFormatting>
  <conditionalFormatting sqref="L123:L124 L114:L115 L161 L192:L196">
    <cfRule type="expression" dxfId="339" priority="6433">
      <formula>$AD226&gt;27</formula>
    </cfRule>
  </conditionalFormatting>
  <conditionalFormatting sqref="L102 L109 L113 L84 L106 L163:L164 L171">
    <cfRule type="expression" dxfId="338" priority="6434">
      <formula>$AD201&gt;27</formula>
    </cfRule>
  </conditionalFormatting>
  <conditionalFormatting sqref="L241 L204">
    <cfRule type="expression" dxfId="337" priority="6447">
      <formula>$AD94&gt;27</formula>
    </cfRule>
  </conditionalFormatting>
  <conditionalFormatting sqref="L83 L151 L125 L142:L143 L197 L203 L218">
    <cfRule type="expression" dxfId="336" priority="6463">
      <formula>$AD159&gt;27</formula>
    </cfRule>
  </conditionalFormatting>
  <conditionalFormatting sqref="L247:L248 L267:L285 L222:L235 L208:L220">
    <cfRule type="expression" dxfId="335" priority="6515">
      <formula>$AD102&gt;27</formula>
    </cfRule>
  </conditionalFormatting>
  <conditionalFormatting sqref="L233">
    <cfRule type="expression" dxfId="334" priority="6526">
      <formula>$AD141&gt;27</formula>
    </cfRule>
  </conditionalFormatting>
  <conditionalFormatting sqref="L123">
    <cfRule type="expression" dxfId="333" priority="6548">
      <formula>$AD156&gt;27</formula>
    </cfRule>
  </conditionalFormatting>
  <conditionalFormatting sqref="L179:L188 L190:L209 L161:L164">
    <cfRule type="expression" dxfId="332" priority="6609">
      <formula>$AD111&gt;27</formula>
    </cfRule>
  </conditionalFormatting>
  <conditionalFormatting sqref="L145:L146 L171 L175 L189:L190 L194:L196 L135:L139 L154:L156">
    <cfRule type="expression" dxfId="331" priority="6633">
      <formula>$AD145&gt;27</formula>
    </cfRule>
  </conditionalFormatting>
  <conditionalFormatting sqref="L130:L140">
    <cfRule type="expression" dxfId="330" priority="6639">
      <formula>$AD366&gt;27</formula>
    </cfRule>
  </conditionalFormatting>
  <conditionalFormatting sqref="L161:L235 L116:L139">
    <cfRule type="expression" dxfId="329" priority="6641">
      <formula>$AD376&gt;27</formula>
    </cfRule>
  </conditionalFormatting>
  <conditionalFormatting sqref="L172 L181 L186 L195 L90 L96:L101">
    <cfRule type="expression" dxfId="328" priority="6645">
      <formula>$AD113&gt;27</formula>
    </cfRule>
  </conditionalFormatting>
  <conditionalFormatting sqref="L206:L218 L249:L263">
    <cfRule type="expression" dxfId="327" priority="6684">
      <formula>$AD102&gt;27</formula>
    </cfRule>
  </conditionalFormatting>
  <conditionalFormatting sqref="L112">
    <cfRule type="expression" dxfId="326" priority="6685">
      <formula>$AD185&gt;27</formula>
    </cfRule>
  </conditionalFormatting>
  <conditionalFormatting sqref="L222">
    <cfRule type="expression" dxfId="325" priority="6714">
      <formula>$AD130&gt;27</formula>
    </cfRule>
  </conditionalFormatting>
  <conditionalFormatting sqref="L116:L117">
    <cfRule type="expression" dxfId="324" priority="6726">
      <formula>$AD150&gt;27</formula>
    </cfRule>
  </conditionalFormatting>
  <conditionalFormatting sqref="L204 L174:L196 L161:L172">
    <cfRule type="expression" dxfId="323" priority="6759">
      <formula>$AD103&gt;27</formula>
    </cfRule>
  </conditionalFormatting>
  <conditionalFormatting sqref="L152">
    <cfRule type="expression" dxfId="322" priority="6761">
      <formula>$AD162&gt;27</formula>
    </cfRule>
  </conditionalFormatting>
  <conditionalFormatting sqref="L161:L235">
    <cfRule type="expression" dxfId="321" priority="6797">
      <formula>$AD437&gt;27</formula>
    </cfRule>
  </conditionalFormatting>
  <conditionalFormatting sqref="L129:L130 L173">
    <cfRule type="expression" dxfId="320" priority="6838">
      <formula>$AD231&gt;27</formula>
    </cfRule>
  </conditionalFormatting>
  <conditionalFormatting sqref="L114:L115 L99 L103">
    <cfRule type="expression" dxfId="319" priority="6853">
      <formula>$AD289&gt;27</formula>
    </cfRule>
  </conditionalFormatting>
  <conditionalFormatting sqref="L239 L233:L235 L167:L170">
    <cfRule type="expression" dxfId="318" priority="6865">
      <formula>$AD311&gt;27</formula>
    </cfRule>
  </conditionalFormatting>
  <conditionalFormatting sqref="L236">
    <cfRule type="expression" dxfId="317" priority="6892">
      <formula>$AD128&gt;27</formula>
    </cfRule>
  </conditionalFormatting>
  <conditionalFormatting sqref="L152 L190:L235">
    <cfRule type="expression" dxfId="316" priority="6919">
      <formula>$AD123&gt;27</formula>
    </cfRule>
  </conditionalFormatting>
  <conditionalFormatting sqref="L184:L206 L208:L227 L229:L235">
    <cfRule type="expression" dxfId="315" priority="6929">
      <formula>$AD116&gt;27</formula>
    </cfRule>
  </conditionalFormatting>
  <conditionalFormatting sqref="L129">
    <cfRule type="expression" dxfId="314" priority="6947">
      <formula>$AD211&gt;27</formula>
    </cfRule>
  </conditionalFormatting>
  <conditionalFormatting sqref="L81 L130:L132 L109:L110 L103 L107 L157:L158 L216:L218 L183">
    <cfRule type="expression" dxfId="313" priority="6990">
      <formula>$AD140&gt;27</formula>
    </cfRule>
  </conditionalFormatting>
  <conditionalFormatting sqref="L140:L143 L177 L204:L235">
    <cfRule type="expression" dxfId="312" priority="6995">
      <formula>$AD97&gt;27</formula>
    </cfRule>
  </conditionalFormatting>
  <conditionalFormatting sqref="L212:L214">
    <cfRule type="expression" dxfId="311" priority="7000">
      <formula>$AD144&gt;27</formula>
    </cfRule>
  </conditionalFormatting>
  <conditionalFormatting sqref="L92 L146 L159:L163 L138:L139 L129 L141 L221:L224">
    <cfRule type="expression" dxfId="310" priority="7010">
      <formula>$AD161&gt;27</formula>
    </cfRule>
  </conditionalFormatting>
  <conditionalFormatting sqref="L165:L166 L168 L184 L193:L194 L218:L223 L137 L99">
    <cfRule type="expression" dxfId="309" priority="7015">
      <formula>$AD111&gt;27</formula>
    </cfRule>
  </conditionalFormatting>
  <conditionalFormatting sqref="L140:L141 L157 L129:L130 L134:L137 L208:L209 L164">
    <cfRule type="expression" dxfId="308" priority="7039">
      <formula>$AD207&gt;27</formula>
    </cfRule>
  </conditionalFormatting>
  <conditionalFormatting sqref="L122:L123 L157 L149">
    <cfRule type="expression" dxfId="307" priority="7086">
      <formula>$AD183&gt;27</formula>
    </cfRule>
  </conditionalFormatting>
  <conditionalFormatting sqref="L170:L192 L197:L213">
    <cfRule type="expression" dxfId="306" priority="7089">
      <formula>$AD116&gt;27</formula>
    </cfRule>
  </conditionalFormatting>
  <conditionalFormatting sqref="L150">
    <cfRule type="expression" dxfId="305" priority="7138">
      <formula>$AD238&gt;27</formula>
    </cfRule>
  </conditionalFormatting>
  <conditionalFormatting sqref="L173:L174 L189 L197 L201:L204 L140:L142 L134:L136 L151 L259">
    <cfRule type="expression" dxfId="304" priority="7174">
      <formula>$AD164&gt;27</formula>
    </cfRule>
  </conditionalFormatting>
  <conditionalFormatting sqref="L157:L160">
    <cfRule type="expression" dxfId="303" priority="7190">
      <formula>$AD282&gt;27</formula>
    </cfRule>
  </conditionalFormatting>
  <conditionalFormatting sqref="L165 L172 L156">
    <cfRule type="expression" dxfId="302" priority="7197">
      <formula>$AD285&gt;27</formula>
    </cfRule>
  </conditionalFormatting>
  <conditionalFormatting sqref="L170 L156:L157 L159:L161 L137:L140 L154 L222:L223">
    <cfRule type="expression" dxfId="301" priority="7204">
      <formula>$AD205&gt;27</formula>
    </cfRule>
  </conditionalFormatting>
  <conditionalFormatting sqref="L119:L120 L145:L149 L218:L235">
    <cfRule type="expression" dxfId="300" priority="7239">
      <formula>$AD278&gt;27</formula>
    </cfRule>
  </conditionalFormatting>
  <conditionalFormatting sqref="L173 L181 L158:L160 L130:L131 L105:L106 L147:L148">
    <cfRule type="expression" dxfId="299" priority="7241">
      <formula>$AD165&gt;27</formula>
    </cfRule>
  </conditionalFormatting>
  <conditionalFormatting sqref="L169:L170 L175 L182 L186 L98 L111">
    <cfRule type="expression" dxfId="298" priority="7271">
      <formula>$AD149&gt;27</formula>
    </cfRule>
  </conditionalFormatting>
  <conditionalFormatting sqref="L143">
    <cfRule type="expression" dxfId="297" priority="7310">
      <formula>$AD230&gt;27</formula>
    </cfRule>
  </conditionalFormatting>
  <conditionalFormatting sqref="L168 L192 L188:L190 L126:L130 L153 L41 L224:L229">
    <cfRule type="expression" dxfId="296" priority="7336">
      <formula>$AD83&gt;27</formula>
    </cfRule>
  </conditionalFormatting>
  <conditionalFormatting sqref="L164:L165">
    <cfRule type="expression" dxfId="295" priority="7345">
      <formula>$AD153&gt;27</formula>
    </cfRule>
  </conditionalFormatting>
  <conditionalFormatting sqref="L276:L285">
    <cfRule type="expression" dxfId="294" priority="7351">
      <formula>$AD140&gt;27</formula>
    </cfRule>
  </conditionalFormatting>
  <conditionalFormatting sqref="L80 L124:L125 L185 L199:L200 L161">
    <cfRule type="expression" dxfId="293" priority="7494">
      <formula>$AD161&gt;27</formula>
    </cfRule>
  </conditionalFormatting>
  <conditionalFormatting sqref="L140:L147">
    <cfRule type="expression" dxfId="292" priority="7501">
      <formula>$AD369&gt;27</formula>
    </cfRule>
  </conditionalFormatting>
  <conditionalFormatting sqref="L245">
    <cfRule type="expression" dxfId="291" priority="7504">
      <formula>$AD234&gt;27</formula>
    </cfRule>
  </conditionalFormatting>
  <conditionalFormatting sqref="L182 L156 L121 L136 L144 L227:L228 L238">
    <cfRule type="expression" dxfId="290" priority="7527">
      <formula>$AD174&gt;27</formula>
    </cfRule>
  </conditionalFormatting>
  <conditionalFormatting sqref="L99">
    <cfRule type="expression" dxfId="289" priority="7591">
      <formula>$AD162&gt;27</formula>
    </cfRule>
  </conditionalFormatting>
  <conditionalFormatting sqref="L161:L171 L211:L230">
    <cfRule type="expression" dxfId="288" priority="7686">
      <formula>$AD90&gt;27</formula>
    </cfRule>
  </conditionalFormatting>
  <conditionalFormatting sqref="L248 L140:L153 L161:L174 L176:L235">
    <cfRule type="expression" dxfId="287" priority="7688">
      <formula>$AD125&gt;27</formula>
    </cfRule>
  </conditionalFormatting>
  <conditionalFormatting sqref="L118:L119 L206:L235">
    <cfRule type="expression" dxfId="286" priority="7710">
      <formula>$AD278&gt;27</formula>
    </cfRule>
  </conditionalFormatting>
  <conditionalFormatting sqref="L233">
    <cfRule type="expression" dxfId="285" priority="7732">
      <formula>$AD155&gt;27</formula>
    </cfRule>
  </conditionalFormatting>
  <conditionalFormatting sqref="L224:L225 L182:L191">
    <cfRule type="expression" dxfId="284" priority="7781">
      <formula>$AD105&gt;27</formula>
    </cfRule>
  </conditionalFormatting>
  <conditionalFormatting sqref="L168">
    <cfRule type="expression" dxfId="283" priority="7854">
      <formula>$AD162&gt;27</formula>
    </cfRule>
  </conditionalFormatting>
  <conditionalFormatting sqref="L118">
    <cfRule type="expression" dxfId="282" priority="7856">
      <formula>$AD173&gt;27</formula>
    </cfRule>
  </conditionalFormatting>
  <conditionalFormatting sqref="L153">
    <cfRule type="expression" dxfId="281" priority="7900">
      <formula>$AD238&gt;27</formula>
    </cfRule>
  </conditionalFormatting>
  <conditionalFormatting sqref="L109">
    <cfRule type="expression" dxfId="280" priority="7961">
      <formula>$AD229&gt;27</formula>
    </cfRule>
  </conditionalFormatting>
  <conditionalFormatting sqref="L143">
    <cfRule type="expression" dxfId="279" priority="7964">
      <formula>$AD238&gt;27</formula>
    </cfRule>
  </conditionalFormatting>
  <conditionalFormatting sqref="L170:L171 L181 L177:L178 L125 L111:L112 L145:L146 L224:L225">
    <cfRule type="expression" dxfId="278" priority="7973">
      <formula>$AD165&gt;27</formula>
    </cfRule>
  </conditionalFormatting>
  <conditionalFormatting sqref="L183:L235">
    <cfRule type="expression" dxfId="277" priority="8036">
      <formula>$AD377&gt;27</formula>
    </cfRule>
  </conditionalFormatting>
  <conditionalFormatting sqref="L88">
    <cfRule type="expression" dxfId="276" priority="8044">
      <formula>$AD184&gt;27</formula>
    </cfRule>
  </conditionalFormatting>
  <conditionalFormatting sqref="L120">
    <cfRule type="expression" dxfId="275" priority="8101">
      <formula>$AD204&gt;27</formula>
    </cfRule>
  </conditionalFormatting>
  <conditionalFormatting sqref="L164:L235 L140:L160 L107:L110">
    <cfRule type="expression" dxfId="274" priority="8123">
      <formula>$AD369&gt;27</formula>
    </cfRule>
  </conditionalFormatting>
  <conditionalFormatting sqref="L132:L134">
    <cfRule type="expression" dxfId="273" priority="8125">
      <formula>$AD164&gt;27</formula>
    </cfRule>
  </conditionalFormatting>
  <conditionalFormatting sqref="L277:L285">
    <cfRule type="expression" dxfId="272" priority="8127">
      <formula>$AD164&gt;27</formula>
    </cfRule>
  </conditionalFormatting>
  <conditionalFormatting sqref="L167:L168 L178 L128 L135:L136 L138:L139 L105 L120:L121 L185">
    <cfRule type="expression" dxfId="271" priority="8136">
      <formula>$AD162&gt;27</formula>
    </cfRule>
  </conditionalFormatting>
  <conditionalFormatting sqref="L161 L168 L173:L174 L190 L102:L104 L125:L129 L134:L135 L151 L225:L227 L246 L198:L199">
    <cfRule type="expression" dxfId="270" priority="8139">
      <formula>$AD145&gt;27</formula>
    </cfRule>
  </conditionalFormatting>
  <conditionalFormatting sqref="L164:L235">
    <cfRule type="expression" dxfId="269" priority="8141">
      <formula>$AD443&gt;27</formula>
    </cfRule>
  </conditionalFormatting>
  <conditionalFormatting sqref="L162:L163 L172 L186:L187 L190 L206 L137:L139">
    <cfRule type="expression" dxfId="268" priority="8170">
      <formula>$AD150&gt;27</formula>
    </cfRule>
  </conditionalFormatting>
  <conditionalFormatting sqref="L133:L136 L119:L121 L193:L194 L198 L207:L211">
    <cfRule type="expression" dxfId="267" priority="8247">
      <formula>$AD216&gt;27</formula>
    </cfRule>
  </conditionalFormatting>
  <conditionalFormatting sqref="L167:L235">
    <cfRule type="expression" dxfId="266" priority="8295">
      <formula>$AD434&gt;27</formula>
    </cfRule>
  </conditionalFormatting>
  <conditionalFormatting sqref="L168 L161:L162 L102 L148:L149">
    <cfRule type="expression" dxfId="265" priority="8331">
      <formula>$AD174&gt;27</formula>
    </cfRule>
  </conditionalFormatting>
  <conditionalFormatting sqref="L213 L143:L150">
    <cfRule type="expression" dxfId="264" priority="8337">
      <formula>$AD93&gt;27</formula>
    </cfRule>
  </conditionalFormatting>
  <conditionalFormatting sqref="L164 L172:L176 L180:L183 L155 L116 L128:L129 L133 L152:L153">
    <cfRule type="expression" dxfId="263" priority="8358">
      <formula>$AD163&gt;27</formula>
    </cfRule>
  </conditionalFormatting>
  <conditionalFormatting sqref="L130">
    <cfRule type="expression" dxfId="262" priority="8387">
      <formula>$AD238&gt;27</formula>
    </cfRule>
  </conditionalFormatting>
  <conditionalFormatting sqref="L222 L228:L235">
    <cfRule type="expression" dxfId="261" priority="8391">
      <formula>$AD134&gt;27</formula>
    </cfRule>
  </conditionalFormatting>
  <conditionalFormatting sqref="L150 L132:L133 L118 L156 L161:L163 L213:L214 L225:L226 L228">
    <cfRule type="expression" dxfId="260" priority="8395">
      <formula>$AD185&gt;27</formula>
    </cfRule>
  </conditionalFormatting>
  <conditionalFormatting sqref="L106 L110 L125:L127 L201:L202 L207:L208 L226">
    <cfRule type="expression" dxfId="259" priority="8399">
      <formula>$AD185&gt;27</formula>
    </cfRule>
  </conditionalFormatting>
  <conditionalFormatting sqref="L178 L180">
    <cfRule type="expression" dxfId="258" priority="8417">
      <formula>$AD239&gt;27</formula>
    </cfRule>
  </conditionalFormatting>
  <conditionalFormatting sqref="L196:L205 L207:L226 L228:L235">
    <cfRule type="expression" dxfId="257" priority="8419">
      <formula>$AD129&gt;27</formula>
    </cfRule>
  </conditionalFormatting>
  <conditionalFormatting sqref="L249:L285 L207:L235">
    <cfRule type="expression" dxfId="256" priority="8425">
      <formula>$AD161&gt;27</formula>
    </cfRule>
  </conditionalFormatting>
  <conditionalFormatting sqref="L113 L128:L131 L143 L145 L219:L220">
    <cfRule type="expression" dxfId="255" priority="8446">
      <formula>$AD203&gt;27</formula>
    </cfRule>
  </conditionalFormatting>
  <conditionalFormatting sqref="L86">
    <cfRule type="expression" dxfId="254" priority="8448">
      <formula>$AD194&gt;27</formula>
    </cfRule>
  </conditionalFormatting>
  <conditionalFormatting sqref="L181:L189 L212:L235">
    <cfRule type="expression" dxfId="253" priority="8483">
      <formula>$AD130&gt;27</formula>
    </cfRule>
  </conditionalFormatting>
  <conditionalFormatting sqref="L126:L127">
    <cfRule type="expression" dxfId="252" priority="8498">
      <formula>$AD186&gt;27</formula>
    </cfRule>
  </conditionalFormatting>
  <conditionalFormatting sqref="L97">
    <cfRule type="expression" dxfId="251" priority="8525">
      <formula>$AD173&gt;27</formula>
    </cfRule>
  </conditionalFormatting>
  <conditionalFormatting sqref="L174 L196 L213:L214 L129:L133">
    <cfRule type="expression" dxfId="250" priority="8581">
      <formula>$AD144&gt;27</formula>
    </cfRule>
  </conditionalFormatting>
  <conditionalFormatting sqref="L249:L285">
    <cfRule type="expression" dxfId="249" priority="8619">
      <formula>$AD174&gt;27</formula>
    </cfRule>
  </conditionalFormatting>
  <conditionalFormatting sqref="L247">
    <cfRule type="expression" dxfId="248" priority="8621">
      <formula>$AD174&gt;27</formula>
    </cfRule>
  </conditionalFormatting>
  <conditionalFormatting sqref="L207">
    <cfRule type="expression" dxfId="247" priority="8652">
      <formula>$AD236&gt;27</formula>
    </cfRule>
  </conditionalFormatting>
  <conditionalFormatting sqref="L84:L85">
    <cfRule type="expression" dxfId="246" priority="8666">
      <formula>$AD183&gt;27</formula>
    </cfRule>
  </conditionalFormatting>
  <conditionalFormatting sqref="L73:L74">
    <cfRule type="expression" dxfId="245" priority="8688">
      <formula>$AD183&gt;27</formula>
    </cfRule>
  </conditionalFormatting>
  <conditionalFormatting sqref="L127">
    <cfRule type="expression" dxfId="244" priority="8721">
      <formula>$AD241&gt;27</formula>
    </cfRule>
  </conditionalFormatting>
  <conditionalFormatting sqref="L132">
    <cfRule type="expression" dxfId="243" priority="8763">
      <formula>$AD239&gt;27</formula>
    </cfRule>
  </conditionalFormatting>
  <conditionalFormatting sqref="L116:L118">
    <cfRule type="expression" dxfId="242" priority="8875">
      <formula>$AD186&gt;27</formula>
    </cfRule>
  </conditionalFormatting>
  <conditionalFormatting sqref="L166:L235">
    <cfRule type="expression" dxfId="241" priority="8877">
      <formula>$AD377&gt;27</formula>
    </cfRule>
  </conditionalFormatting>
  <conditionalFormatting sqref="L135">
    <cfRule type="expression" dxfId="240" priority="8962">
      <formula>$AD238&gt;27</formula>
    </cfRule>
  </conditionalFormatting>
  <conditionalFormatting sqref="L199">
    <cfRule type="expression" dxfId="239" priority="8964">
      <formula>$AD163&gt;27</formula>
    </cfRule>
  </conditionalFormatting>
  <conditionalFormatting sqref="L222">
    <cfRule type="expression" dxfId="238" priority="9134">
      <formula>$AD93&gt;27</formula>
    </cfRule>
  </conditionalFormatting>
  <conditionalFormatting sqref="L191">
    <cfRule type="expression" dxfId="237" priority="9180">
      <formula>$AD131&gt;27</formula>
    </cfRule>
  </conditionalFormatting>
  <conditionalFormatting sqref="L85 L222:L235 L123:L124 L138:L139">
    <cfRule type="expression" dxfId="236" priority="9309">
      <formula>$AD240&gt;27</formula>
    </cfRule>
  </conditionalFormatting>
  <conditionalFormatting sqref="L183:L235 L145">
    <cfRule type="expression" dxfId="235" priority="9476">
      <formula>$AD126&gt;27</formula>
    </cfRule>
  </conditionalFormatting>
  <conditionalFormatting sqref="L202:L235">
    <cfRule type="expression" dxfId="234" priority="9526">
      <formula>$AD176&gt;27</formula>
    </cfRule>
  </conditionalFormatting>
  <conditionalFormatting sqref="L226 L231:L235 L172:L184">
    <cfRule type="expression" dxfId="233" priority="9544">
      <formula>$AD102&gt;27</formula>
    </cfRule>
  </conditionalFormatting>
  <conditionalFormatting sqref="L143">
    <cfRule type="expression" dxfId="232" priority="9579">
      <formula>$AD241&gt;27</formula>
    </cfRule>
  </conditionalFormatting>
  <conditionalFormatting sqref="L235 L197:L209">
    <cfRule type="expression" dxfId="231" priority="9714">
      <formula>$AD102&gt;27</formula>
    </cfRule>
  </conditionalFormatting>
  <conditionalFormatting sqref="L79 L146:L150 L163">
    <cfRule type="expression" dxfId="230" priority="9735">
      <formula>$AD201&gt;27</formula>
    </cfRule>
  </conditionalFormatting>
  <conditionalFormatting sqref="L110">
    <cfRule type="expression" dxfId="229" priority="9806">
      <formula>$AD192&gt;27</formula>
    </cfRule>
  </conditionalFormatting>
  <conditionalFormatting sqref="L232">
    <cfRule type="expression" dxfId="228" priority="9812">
      <formula>$AD177&gt;27</formula>
    </cfRule>
  </conditionalFormatting>
  <conditionalFormatting sqref="L238">
    <cfRule type="expression" dxfId="227" priority="9903">
      <formula>$AD171&gt;27</formula>
    </cfRule>
  </conditionalFormatting>
  <conditionalFormatting sqref="L132">
    <cfRule type="expression" dxfId="226" priority="9904">
      <formula>$AD237&gt;27</formula>
    </cfRule>
  </conditionalFormatting>
  <conditionalFormatting sqref="L169">
    <cfRule type="expression" dxfId="225" priority="9920">
      <formula>$AD236&gt;27</formula>
    </cfRule>
  </conditionalFormatting>
  <conditionalFormatting sqref="L140:L152 L116:L138 L161:L176">
    <cfRule type="expression" dxfId="224" priority="9973">
      <formula>$AD78&gt;27</formula>
    </cfRule>
  </conditionalFormatting>
  <conditionalFormatting sqref="L204 L231:L232 L148:L158">
    <cfRule type="expression" dxfId="223" priority="10024">
      <formula>$AD366&gt;27</formula>
    </cfRule>
  </conditionalFormatting>
  <conditionalFormatting sqref="L208:L235 L187:L206">
    <cfRule type="expression" dxfId="222" priority="10129">
      <formula>$AD140&gt;27</formula>
    </cfRule>
  </conditionalFormatting>
  <conditionalFormatting sqref="L204 L209:L235 L130:L137 L163:L182 L140:L160">
    <cfRule type="expression" dxfId="221" priority="10160">
      <formula>$AD107&gt;27</formula>
    </cfRule>
  </conditionalFormatting>
  <conditionalFormatting sqref="L245:L248">
    <cfRule type="expression" dxfId="220" priority="10185">
      <formula>$AD119&gt;27</formula>
    </cfRule>
  </conditionalFormatting>
  <conditionalFormatting sqref="L251:L261 L198:L223">
    <cfRule type="expression" dxfId="219" priority="10215">
      <formula>$AD75&gt;27</formula>
    </cfRule>
  </conditionalFormatting>
  <conditionalFormatting sqref="L191 L221:L223">
    <cfRule type="expression" dxfId="218" priority="10358">
      <formula>$AD189&gt;27</formula>
    </cfRule>
  </conditionalFormatting>
  <conditionalFormatting sqref="L148">
    <cfRule type="expression" dxfId="217" priority="10568">
      <formula>$AD193&gt;27</formula>
    </cfRule>
  </conditionalFormatting>
  <conditionalFormatting sqref="L110 L164:L166 L234:L235">
    <cfRule type="expression" dxfId="216" priority="10574">
      <formula>$AD242&gt;27</formula>
    </cfRule>
  </conditionalFormatting>
  <conditionalFormatting sqref="L141:L144 L152">
    <cfRule type="expression" dxfId="215" priority="10581">
      <formula>$AD278&gt;27</formula>
    </cfRule>
  </conditionalFormatting>
  <conditionalFormatting sqref="L233:L235 L217:L231 L199">
    <cfRule type="expression" dxfId="214" priority="10602">
      <formula>$AD106&gt;27</formula>
    </cfRule>
  </conditionalFormatting>
  <conditionalFormatting sqref="L249:L285">
    <cfRule type="expression" dxfId="213" priority="10686">
      <formula>$AD168&gt;27</formula>
    </cfRule>
  </conditionalFormatting>
  <conditionalFormatting sqref="L80">
    <cfRule type="expression" dxfId="212" priority="10744">
      <formula>$AD240&gt;27</formula>
    </cfRule>
  </conditionalFormatting>
  <conditionalFormatting sqref="L194:L235">
    <cfRule type="expression" dxfId="211" priority="10786">
      <formula>$AD395&gt;27</formula>
    </cfRule>
  </conditionalFormatting>
  <conditionalFormatting sqref="L241">
    <cfRule type="expression" dxfId="210" priority="10805">
      <formula>$AD193&gt;27</formula>
    </cfRule>
  </conditionalFormatting>
  <conditionalFormatting sqref="L172:L183 L215:L228 L185:L207">
    <cfRule type="expression" dxfId="209" priority="10915">
      <formula>$AD103&gt;27</formula>
    </cfRule>
  </conditionalFormatting>
  <conditionalFormatting sqref="L107">
    <cfRule type="expression" dxfId="208" priority="11008">
      <formula>$AD195&gt;27</formula>
    </cfRule>
  </conditionalFormatting>
  <conditionalFormatting sqref="L158 L126 L133 L155 L195:L196">
    <cfRule type="expression" dxfId="207" priority="11010">
      <formula>$AD197&gt;27</formula>
    </cfRule>
  </conditionalFormatting>
  <conditionalFormatting sqref="L205:L235">
    <cfRule type="expression" dxfId="206" priority="11138">
      <formula>$AD165&gt;27</formula>
    </cfRule>
  </conditionalFormatting>
  <conditionalFormatting sqref="L106">
    <cfRule type="expression" dxfId="205" priority="11171">
      <formula>$AD235&gt;27</formula>
    </cfRule>
  </conditionalFormatting>
  <conditionalFormatting sqref="L210:L235 L139:L151 L128:L137 L111:L115 L177:L196 L153:L175">
    <cfRule type="expression" dxfId="204" priority="11216">
      <formula>$AD74&gt;27</formula>
    </cfRule>
  </conditionalFormatting>
  <conditionalFormatting sqref="L140:L160">
    <cfRule type="expression" dxfId="203" priority="11414">
      <formula>$AD374&gt;27</formula>
    </cfRule>
  </conditionalFormatting>
  <conditionalFormatting sqref="L219:L235">
    <cfRule type="expression" dxfId="202" priority="11632">
      <formula>$AD197&gt;27</formula>
    </cfRule>
  </conditionalFormatting>
  <conditionalFormatting sqref="L204">
    <cfRule type="expression" dxfId="201" priority="11652">
      <formula>$AD123&gt;27</formula>
    </cfRule>
  </conditionalFormatting>
  <conditionalFormatting sqref="L237">
    <cfRule type="expression" dxfId="200" priority="11740">
      <formula>$AD186&gt;27</formula>
    </cfRule>
  </conditionalFormatting>
  <conditionalFormatting sqref="L230">
    <cfRule type="expression" dxfId="199" priority="11782">
      <formula>$AD201&gt;27</formula>
    </cfRule>
  </conditionalFormatting>
  <conditionalFormatting sqref="L240">
    <cfRule type="expression" dxfId="198" priority="11865">
      <formula>$AD153&gt;27</formula>
    </cfRule>
  </conditionalFormatting>
  <conditionalFormatting sqref="L250:L285">
    <cfRule type="expression" dxfId="197" priority="11958">
      <formula>$AD202&gt;27</formula>
    </cfRule>
  </conditionalFormatting>
  <conditionalFormatting sqref="L232 L239 L170:L189 L149:L160 L249:L272">
    <cfRule type="expression" dxfId="196" priority="12093">
      <formula>$AD119&gt;27</formula>
    </cfRule>
  </conditionalFormatting>
  <conditionalFormatting sqref="L88 L138:L139 L155 L214:L235">
    <cfRule type="expression" dxfId="195" priority="12149">
      <formula>$AD240&gt;27</formula>
    </cfRule>
  </conditionalFormatting>
  <conditionalFormatting sqref="L142:L146">
    <cfRule type="expression" dxfId="194" priority="12268">
      <formula>$AD304&gt;27</formula>
    </cfRule>
  </conditionalFormatting>
  <conditionalFormatting sqref="L168">
    <cfRule type="expression" dxfId="193" priority="12349">
      <formula>$AD294&gt;27</formula>
    </cfRule>
  </conditionalFormatting>
  <conditionalFormatting sqref="L148:L150 L130 L213:L235">
    <cfRule type="expression" dxfId="192" priority="12531">
      <formula>$AD294&gt;27</formula>
    </cfRule>
  </conditionalFormatting>
  <conditionalFormatting sqref="L231:L235 L181:L191 L207:L229">
    <cfRule type="expression" dxfId="191" priority="12629">
      <formula>$AD90&gt;27</formula>
    </cfRule>
  </conditionalFormatting>
  <conditionalFormatting sqref="L105 L165:L166 L183:L187 L191:L193 L147:L149">
    <cfRule type="expression" dxfId="190" priority="12865">
      <formula>$AD226&gt;27</formula>
    </cfRule>
  </conditionalFormatting>
  <conditionalFormatting sqref="L224:L225">
    <cfRule type="expression" dxfId="189" priority="12869">
      <formula>$AD190&gt;27</formula>
    </cfRule>
  </conditionalFormatting>
  <conditionalFormatting sqref="L245:L246">
    <cfRule type="expression" dxfId="188" priority="12907">
      <formula>$AD207&gt;27</formula>
    </cfRule>
  </conditionalFormatting>
  <conditionalFormatting sqref="L248 L186:L187">
    <cfRule type="expression" dxfId="187" priority="12973">
      <formula>$AD147&gt;27</formula>
    </cfRule>
  </conditionalFormatting>
  <conditionalFormatting sqref="L99 L238 L145:L146">
    <cfRule type="expression" dxfId="186" priority="13012">
      <formula>$AD234&gt;27</formula>
    </cfRule>
  </conditionalFormatting>
  <conditionalFormatting sqref="L83 L116:L118 L171:L173 L197 L191:L192 L204:L206">
    <cfRule type="expression" dxfId="185" priority="13165">
      <formula>$AD194&gt;27</formula>
    </cfRule>
  </conditionalFormatting>
  <conditionalFormatting sqref="L76">
    <cfRule type="expression" dxfId="184" priority="13214">
      <formula>$AD201&gt;27</formula>
    </cfRule>
  </conditionalFormatting>
  <conditionalFormatting sqref="L131:L135 L117:L118 L193:L203">
    <cfRule type="expression" dxfId="183" priority="13221">
      <formula>$AD290&gt;27</formula>
    </cfRule>
  </conditionalFormatting>
  <conditionalFormatting sqref="L223:L235">
    <cfRule type="expression" dxfId="182" priority="13527">
      <formula>$AD206&gt;27</formula>
    </cfRule>
  </conditionalFormatting>
  <conditionalFormatting sqref="L245">
    <cfRule type="expression" dxfId="181" priority="13776">
      <formula>$AD122&gt;27</formula>
    </cfRule>
  </conditionalFormatting>
  <conditionalFormatting sqref="L124">
    <cfRule type="expression" dxfId="180" priority="13819">
      <formula>$AD219&gt;27</formula>
    </cfRule>
  </conditionalFormatting>
  <conditionalFormatting sqref="L247">
    <cfRule type="expression" dxfId="179" priority="13830">
      <formula>$AD219&gt;27</formula>
    </cfRule>
  </conditionalFormatting>
  <conditionalFormatting sqref="L119 L186:L187">
    <cfRule type="expression" dxfId="178" priority="13918">
      <formula>$AD242&gt;27</formula>
    </cfRule>
  </conditionalFormatting>
  <conditionalFormatting sqref="L280">
    <cfRule type="expression" dxfId="177" priority="14047">
      <formula>$AD218&gt;27</formula>
    </cfRule>
  </conditionalFormatting>
  <conditionalFormatting sqref="L220 L161:L175">
    <cfRule type="expression" dxfId="176" priority="14086">
      <formula>$AD145&gt;27</formula>
    </cfRule>
  </conditionalFormatting>
  <conditionalFormatting sqref="L236">
    <cfRule type="expression" dxfId="175" priority="14209">
      <formula>$AD196&gt;27</formula>
    </cfRule>
  </conditionalFormatting>
  <conditionalFormatting sqref="L75 L112:L113 L122 L154 L190:L191">
    <cfRule type="expression" dxfId="174" priority="14219">
      <formula>$AD194&gt;27</formula>
    </cfRule>
  </conditionalFormatting>
  <conditionalFormatting sqref="L227:L235">
    <cfRule type="expression" dxfId="173" priority="14274">
      <formula>$AD207&gt;27</formula>
    </cfRule>
  </conditionalFormatting>
  <conditionalFormatting sqref="L178:L179 L188">
    <cfRule type="expression" dxfId="172" priority="14280">
      <formula>$AD302&gt;27</formula>
    </cfRule>
  </conditionalFormatting>
  <conditionalFormatting sqref="L242:L248">
    <cfRule type="expression" dxfId="171" priority="14317">
      <formula>$AD212&gt;27</formula>
    </cfRule>
  </conditionalFormatting>
  <conditionalFormatting sqref="L104 L151:L153 L237 L111 L161:L162 L168:L169">
    <cfRule type="expression" dxfId="170" priority="14469">
      <formula>$AD235&gt;27</formula>
    </cfRule>
  </conditionalFormatting>
  <conditionalFormatting sqref="L218 L229:L232">
    <cfRule type="expression" dxfId="169" priority="14522">
      <formula>$AD100&gt;27</formula>
    </cfRule>
  </conditionalFormatting>
  <conditionalFormatting sqref="L105 L107 L140:L144">
    <cfRule type="expression" dxfId="168" priority="14549">
      <formula>$AD233&gt;27</formula>
    </cfRule>
  </conditionalFormatting>
  <conditionalFormatting sqref="L230">
    <cfRule type="expression" dxfId="167" priority="14642">
      <formula>$AD176&gt;27</formula>
    </cfRule>
  </conditionalFormatting>
  <conditionalFormatting sqref="L129">
    <cfRule type="expression" dxfId="166" priority="14714">
      <formula>$AD241&gt;27</formula>
    </cfRule>
  </conditionalFormatting>
  <conditionalFormatting sqref="L106 L104 L203 L212 L138:L139 L179 L166 L205 L224:L225 L195 L144:L146 L188 L158:L162 L182:L183 L124">
    <cfRule type="expression" dxfId="165" priority="14785">
      <formula>#REF!&gt;27</formula>
    </cfRule>
  </conditionalFormatting>
  <conditionalFormatting sqref="L167:L235">
    <cfRule type="expression" dxfId="164" priority="15171">
      <formula>$AD451&gt;27</formula>
    </cfRule>
  </conditionalFormatting>
  <conditionalFormatting sqref="L157:L160">
    <cfRule type="expression" dxfId="163" priority="15194">
      <formula>$AD377&gt;27</formula>
    </cfRule>
  </conditionalFormatting>
  <conditionalFormatting sqref="L168:L235">
    <cfRule type="expression" dxfId="162" priority="15383">
      <formula>$AD377&gt;27</formula>
    </cfRule>
  </conditionalFormatting>
  <conditionalFormatting sqref="L240 L123:L124 L147:L153 L220:L235">
    <cfRule type="expression" dxfId="161" priority="15387">
      <formula>$AD280&gt;27</formula>
    </cfRule>
  </conditionalFormatting>
  <conditionalFormatting sqref="L99 L157">
    <cfRule type="expression" dxfId="160" priority="15412">
      <formula>$AD235&gt;27</formula>
    </cfRule>
  </conditionalFormatting>
  <conditionalFormatting sqref="L161:L235">
    <cfRule type="expression" dxfId="159" priority="15419">
      <formula>$AD458&gt;27</formula>
    </cfRule>
  </conditionalFormatting>
  <conditionalFormatting sqref="L186:L235">
    <cfRule type="expression" dxfId="158" priority="15442">
      <formula>$AD406&gt;27</formula>
    </cfRule>
  </conditionalFormatting>
  <conditionalFormatting sqref="L171:L173">
    <cfRule type="expression" dxfId="157" priority="15471">
      <formula>$AD312&gt;27</formula>
    </cfRule>
  </conditionalFormatting>
  <conditionalFormatting sqref="L215:L220">
    <cfRule type="expression" dxfId="156" priority="15552">
      <formula>$AD371&gt;27</formula>
    </cfRule>
  </conditionalFormatting>
  <conditionalFormatting sqref="L241 L121:L122">
    <cfRule type="expression" dxfId="155" priority="15588">
      <formula>$AD292&gt;27</formula>
    </cfRule>
  </conditionalFormatting>
  <conditionalFormatting sqref="L207:L235">
    <cfRule type="expression" dxfId="154" priority="15627">
      <formula>$AD377&gt;27</formula>
    </cfRule>
  </conditionalFormatting>
  <conditionalFormatting sqref="L137 L114:L115 L210">
    <cfRule type="expression" dxfId="153" priority="15642">
      <formula>$AD280&gt;27</formula>
    </cfRule>
  </conditionalFormatting>
  <conditionalFormatting sqref="L203:L235 L100:L101">
    <cfRule type="expression" dxfId="152" priority="16014">
      <formula>$AD308&gt;27</formula>
    </cfRule>
  </conditionalFormatting>
  <conditionalFormatting sqref="L104">
    <cfRule type="expression" dxfId="151" priority="16086">
      <formula>$AD229&gt;27</formula>
    </cfRule>
  </conditionalFormatting>
  <conditionalFormatting sqref="L108">
    <cfRule type="expression" dxfId="150" priority="16207">
      <formula>$AD230&gt;27</formula>
    </cfRule>
  </conditionalFormatting>
  <conditionalFormatting sqref="L216:L235">
    <cfRule type="expression" dxfId="149" priority="16294">
      <formula>$AD378&gt;27</formula>
    </cfRule>
  </conditionalFormatting>
  <conditionalFormatting sqref="L124:L131">
    <cfRule type="expression" dxfId="148" priority="16368">
      <formula>$AD369&gt;27</formula>
    </cfRule>
  </conditionalFormatting>
  <conditionalFormatting sqref="L144:L235">
    <cfRule type="expression" dxfId="147" priority="16475">
      <formula>$AD421&gt;27</formula>
    </cfRule>
  </conditionalFormatting>
  <conditionalFormatting sqref="L185:L235 L111">
    <cfRule type="expression" dxfId="146" priority="16578">
      <formula>$AD303&gt;27</formula>
    </cfRule>
  </conditionalFormatting>
  <conditionalFormatting sqref="L127:L139">
    <cfRule type="expression" dxfId="145" priority="16587">
      <formula>$AD381&gt;27</formula>
    </cfRule>
  </conditionalFormatting>
  <conditionalFormatting sqref="L194:L200">
    <cfRule type="expression" dxfId="144" priority="16606">
      <formula>$AD132&gt;27</formula>
    </cfRule>
  </conditionalFormatting>
  <conditionalFormatting sqref="L181:L202">
    <cfRule type="expression" dxfId="143" priority="16613">
      <formula>$AD117&gt;27</formula>
    </cfRule>
  </conditionalFormatting>
  <conditionalFormatting sqref="L205:L227">
    <cfRule type="expression" dxfId="142" priority="16689">
      <formula>$AD116&gt;27</formula>
    </cfRule>
  </conditionalFormatting>
  <conditionalFormatting sqref="L123:L135 L140:L180">
    <cfRule type="expression" dxfId="141" priority="16701">
      <formula>$AD102&gt;27</formula>
    </cfRule>
  </conditionalFormatting>
  <conditionalFormatting sqref="L140:L235">
    <cfRule type="expression" dxfId="140" priority="16707">
      <formula>$AD409&gt;27</formula>
    </cfRule>
  </conditionalFormatting>
  <conditionalFormatting sqref="L119:L139">
    <cfRule type="expression" dxfId="139" priority="16718">
      <formula>$AD403&gt;27</formula>
    </cfRule>
  </conditionalFormatting>
  <conditionalFormatting sqref="L119:L139">
    <cfRule type="expression" dxfId="138" priority="16723">
      <formula>$AD386&gt;27</formula>
    </cfRule>
  </conditionalFormatting>
  <conditionalFormatting sqref="L249:L266 L216:L228">
    <cfRule type="expression" dxfId="137" priority="16726">
      <formula>$AD88&gt;27</formula>
    </cfRule>
  </conditionalFormatting>
  <conditionalFormatting sqref="L200:L222">
    <cfRule type="expression" dxfId="136" priority="16751">
      <formula>$AD116&gt;27</formula>
    </cfRule>
  </conditionalFormatting>
  <conditionalFormatting sqref="L138:L139">
    <cfRule type="expression" dxfId="135" priority="16767">
      <formula>$AD96&gt;27</formula>
    </cfRule>
  </conditionalFormatting>
  <conditionalFormatting sqref="L128:L139">
    <cfRule type="expression" dxfId="134" priority="16803">
      <formula>$AD419&gt;27</formula>
    </cfRule>
  </conditionalFormatting>
  <conditionalFormatting sqref="L128:L139">
    <cfRule type="expression" dxfId="133" priority="16805">
      <formula>$AD402&gt;27</formula>
    </cfRule>
  </conditionalFormatting>
  <conditionalFormatting sqref="L219:L235 L264:L285">
    <cfRule type="expression" dxfId="132" priority="16808">
      <formula>$AD116&gt;27</formula>
    </cfRule>
  </conditionalFormatting>
  <conditionalFormatting sqref="L130:L139">
    <cfRule type="expression" dxfId="131" priority="16812">
      <formula>$AD431&gt;27</formula>
    </cfRule>
  </conditionalFormatting>
  <conditionalFormatting sqref="L131:L139">
    <cfRule type="expression" dxfId="130" priority="16820">
      <formula>$AD447&gt;27</formula>
    </cfRule>
  </conditionalFormatting>
  <conditionalFormatting sqref="L240">
    <cfRule type="expression" dxfId="129" priority="16824">
      <formula>$AD131&gt;27</formula>
    </cfRule>
  </conditionalFormatting>
  <conditionalFormatting sqref="L218">
    <cfRule type="expression" dxfId="128" priority="16841">
      <formula>$AD138&gt;27</formula>
    </cfRule>
  </conditionalFormatting>
  <conditionalFormatting sqref="L173:L183">
    <cfRule type="expression" dxfId="127" priority="16886">
      <formula>$AD128&gt;27</formula>
    </cfRule>
  </conditionalFormatting>
  <conditionalFormatting sqref="L193:L196 L212:L234">
    <cfRule type="expression" dxfId="126" priority="16950">
      <formula>$AD97&gt;27</formula>
    </cfRule>
  </conditionalFormatting>
  <conditionalFormatting sqref="L205:L235 L121:L125 L192:L193">
    <cfRule type="expression" dxfId="125" priority="16956">
      <formula>$AD304&gt;27</formula>
    </cfRule>
  </conditionalFormatting>
  <conditionalFormatting sqref="L131:L139">
    <cfRule type="expression" dxfId="124" priority="16986">
      <formula>$AD430&gt;27</formula>
    </cfRule>
  </conditionalFormatting>
  <conditionalFormatting sqref="L161:L235 L147:L157">
    <cfRule type="expression" dxfId="123" priority="16995">
      <formula>$AD366&gt;27</formula>
    </cfRule>
  </conditionalFormatting>
  <conditionalFormatting sqref="L161:L235">
    <cfRule type="expression" dxfId="122" priority="16999">
      <formula>$AD384&gt;27</formula>
    </cfRule>
  </conditionalFormatting>
  <conditionalFormatting sqref="L152:L160 L163:L235">
    <cfRule type="expression" dxfId="121" priority="17041">
      <formula>$AD366&gt;27</formula>
    </cfRule>
  </conditionalFormatting>
  <conditionalFormatting sqref="L89 L86 L180:L235">
    <cfRule type="expression" dxfId="120" priority="17059">
      <formula>$AD277&gt;27</formula>
    </cfRule>
  </conditionalFormatting>
  <conditionalFormatting sqref="L96 L130">
    <cfRule type="expression" dxfId="119" priority="17118">
      <formula>$AD196&gt;27</formula>
    </cfRule>
  </conditionalFormatting>
  <conditionalFormatting sqref="L249:L280">
    <cfRule type="expression" dxfId="118" priority="17177">
      <formula>$AD69&gt;27</formula>
    </cfRule>
  </conditionalFormatting>
  <conditionalFormatting sqref="L92">
    <cfRule type="expression" dxfId="117" priority="17192">
      <formula>$AD240&gt;27</formula>
    </cfRule>
  </conditionalFormatting>
  <conditionalFormatting sqref="L223:L225">
    <cfRule type="expression" dxfId="116" priority="17240">
      <formula>$AD98&gt;27</formula>
    </cfRule>
  </conditionalFormatting>
  <conditionalFormatting sqref="L219:L231 L233:L235">
    <cfRule type="expression" dxfId="115" priority="17252">
      <formula>$AD102&gt;27</formula>
    </cfRule>
  </conditionalFormatting>
  <conditionalFormatting sqref="L185:L198">
    <cfRule type="expression" dxfId="114" priority="17312">
      <formula>$AD87&gt;27</formula>
    </cfRule>
  </conditionalFormatting>
  <conditionalFormatting sqref="L126:L136">
    <cfRule type="expression" dxfId="113" priority="17322">
      <formula>$AD366&gt;27</formula>
    </cfRule>
  </conditionalFormatting>
  <conditionalFormatting sqref="L242:L244">
    <cfRule type="expression" dxfId="112" priority="17330">
      <formula>$AD112&gt;27</formula>
    </cfRule>
  </conditionalFormatting>
  <conditionalFormatting sqref="L157:L158">
    <cfRule type="expression" dxfId="111" priority="17367">
      <formula>$AD99&gt;27</formula>
    </cfRule>
  </conditionalFormatting>
  <conditionalFormatting sqref="L226:L235">
    <cfRule type="expression" dxfId="110" priority="17403">
      <formula>$AD102&gt;27</formula>
    </cfRule>
  </conditionalFormatting>
  <conditionalFormatting sqref="L134:L139">
    <cfRule type="expression" dxfId="109" priority="17432">
      <formula>$AD377&gt;27</formula>
    </cfRule>
  </conditionalFormatting>
  <conditionalFormatting sqref="L181:L200 L157:L160">
    <cfRule type="expression" dxfId="108" priority="17441">
      <formula>$AD116&gt;27</formula>
    </cfRule>
  </conditionalFormatting>
  <conditionalFormatting sqref="L249:L252">
    <cfRule type="expression" dxfId="107" priority="17448">
      <formula>$AD111&gt;27</formula>
    </cfRule>
  </conditionalFormatting>
  <conditionalFormatting sqref="L140:L160">
    <cfRule type="expression" dxfId="106" priority="17487">
      <formula>$AD385&gt;27</formula>
    </cfRule>
  </conditionalFormatting>
  <conditionalFormatting sqref="L201:L220">
    <cfRule type="expression" dxfId="105" priority="17489">
      <formula>$AD140&gt;27</formula>
    </cfRule>
  </conditionalFormatting>
  <conditionalFormatting sqref="L203:L222">
    <cfRule type="expression" dxfId="104" priority="17507">
      <formula>$AD140&gt;27</formula>
    </cfRule>
  </conditionalFormatting>
  <conditionalFormatting sqref="L140:L142 L157:L160 L165:L169">
    <cfRule type="expression" dxfId="103" priority="17549">
      <formula>$AD279&gt;27</formula>
    </cfRule>
  </conditionalFormatting>
  <conditionalFormatting sqref="L213:L235 L192:L211">
    <cfRule type="expression" dxfId="102" priority="17584">
      <formula>$AD140&gt;27</formula>
    </cfRule>
  </conditionalFormatting>
  <conditionalFormatting sqref="L140:L160 L42">
    <cfRule type="expression" dxfId="101" priority="17623">
      <formula>$AD301&gt;27</formula>
    </cfRule>
  </conditionalFormatting>
  <conditionalFormatting sqref="L140:L160">
    <cfRule type="expression" dxfId="100" priority="17654">
      <formula>$AD423&gt;27</formula>
    </cfRule>
  </conditionalFormatting>
  <conditionalFormatting sqref="L140:L160 L100:L101">
    <cfRule type="expression" dxfId="99" priority="17657">
      <formula>$AD366&gt;27</formula>
    </cfRule>
  </conditionalFormatting>
  <conditionalFormatting sqref="L141:L160">
    <cfRule type="expression" dxfId="98" priority="17665">
      <formula>$AD390&gt;27</formula>
    </cfRule>
  </conditionalFormatting>
  <conditionalFormatting sqref="L235 L190:L213">
    <cfRule type="expression" dxfId="97" priority="17696">
      <formula>$AD116&gt;27</formula>
    </cfRule>
  </conditionalFormatting>
  <conditionalFormatting sqref="L190 L202:L224 L226:L235">
    <cfRule type="expression" dxfId="96" priority="17711">
      <formula>$AD104&gt;27</formula>
    </cfRule>
  </conditionalFormatting>
  <conditionalFormatting sqref="L149:L160">
    <cfRule type="expression" dxfId="95" priority="17732">
      <formula>$AD377&gt;27</formula>
    </cfRule>
  </conditionalFormatting>
  <conditionalFormatting sqref="L206:L225 L227:L235">
    <cfRule type="expression" dxfId="94" priority="17736">
      <formula>$AD140&gt;27</formula>
    </cfRule>
  </conditionalFormatting>
  <conditionalFormatting sqref="L140:L160">
    <cfRule type="expression" dxfId="93" priority="17740">
      <formula>$AD430&gt;27</formula>
    </cfRule>
  </conditionalFormatting>
  <conditionalFormatting sqref="L140:L160">
    <cfRule type="expression" dxfId="92" priority="17742">
      <formula>$AD413&gt;27</formula>
    </cfRule>
  </conditionalFormatting>
  <conditionalFormatting sqref="L140:L160">
    <cfRule type="expression" dxfId="91" priority="17750">
      <formula>$AD440&gt;27</formula>
    </cfRule>
  </conditionalFormatting>
  <conditionalFormatting sqref="L140:L160">
    <cfRule type="expression" dxfId="90" priority="17755">
      <formula>$AD455&gt;27</formula>
    </cfRule>
  </conditionalFormatting>
  <conditionalFormatting sqref="L144:L160">
    <cfRule type="expression" dxfId="89" priority="17829">
      <formula>$AD438&gt;27</formula>
    </cfRule>
  </conditionalFormatting>
  <conditionalFormatting sqref="L184:L203">
    <cfRule type="expression" dxfId="88" priority="17846">
      <formula>$AD140&gt;27</formula>
    </cfRule>
  </conditionalFormatting>
  <conditionalFormatting sqref="L126:L139 L105:L106">
    <cfRule type="expression" dxfId="87" priority="17907">
      <formula>$AD368&gt;27</formula>
    </cfRule>
  </conditionalFormatting>
  <conditionalFormatting sqref="L144 L136 L104 L142 L200 L216 L221:L223">
    <cfRule type="expression" dxfId="86" priority="17927">
      <formula>$AD195&gt;27</formula>
    </cfRule>
  </conditionalFormatting>
  <conditionalFormatting sqref="L161:L176 L192:L214">
    <cfRule type="expression" dxfId="85" priority="17937">
      <formula>$AD85&gt;27</formula>
    </cfRule>
  </conditionalFormatting>
  <conditionalFormatting sqref="L161:L170">
    <cfRule type="expression" dxfId="84" priority="17978">
      <formula>$AD130&gt;27</formula>
    </cfRule>
  </conditionalFormatting>
  <conditionalFormatting sqref="L77 L146:L147 L116 L203:L235">
    <cfRule type="expression" dxfId="83" priority="17983">
      <formula>$AD240&gt;27</formula>
    </cfRule>
  </conditionalFormatting>
  <conditionalFormatting sqref="L140:L160">
    <cfRule type="expression" dxfId="82" priority="18005">
      <formula>$AD438&gt;27</formula>
    </cfRule>
  </conditionalFormatting>
  <conditionalFormatting sqref="L143:L160">
    <cfRule type="expression" dxfId="81" priority="18028">
      <formula>$AD421&gt;27</formula>
    </cfRule>
  </conditionalFormatting>
  <conditionalFormatting sqref="L118:L160">
    <cfRule type="expression" dxfId="80" priority="18033">
      <formula>$AD388&gt;27</formula>
    </cfRule>
  </conditionalFormatting>
  <conditionalFormatting sqref="L9 L113:L119 L100:L101 L188:L235">
    <cfRule type="expression" dxfId="79" priority="18037">
      <formula>$AD198&gt;27</formula>
    </cfRule>
  </conditionalFormatting>
  <conditionalFormatting sqref="L242:L248 L109:L110 L82 L175:L235">
    <cfRule type="expression" dxfId="78" priority="18062">
      <formula>$AD275&gt;27</formula>
    </cfRule>
  </conditionalFormatting>
  <conditionalFormatting sqref="L161:L235">
    <cfRule type="expression" dxfId="77" priority="18115">
      <formula>$AD382&gt;27</formula>
    </cfRule>
  </conditionalFormatting>
  <conditionalFormatting sqref="L138:L160">
    <cfRule type="expression" dxfId="76" priority="18123">
      <formula>$AD378&gt;27</formula>
    </cfRule>
  </conditionalFormatting>
  <conditionalFormatting sqref="L182:L235">
    <cfRule type="expression" dxfId="75" priority="18182">
      <formula>$AD384&gt;27</formula>
    </cfRule>
  </conditionalFormatting>
  <conditionalFormatting sqref="L73 L103">
    <cfRule type="expression" dxfId="74" priority="18193">
      <formula>$AD276&gt;27</formula>
    </cfRule>
  </conditionalFormatting>
  <conditionalFormatting sqref="L202:L235">
    <cfRule type="expression" dxfId="73" priority="18247">
      <formula>$AD383&gt;27</formula>
    </cfRule>
  </conditionalFormatting>
  <conditionalFormatting sqref="L150:L235">
    <cfRule type="expression" dxfId="72" priority="18263">
      <formula>$AD366&gt;27</formula>
    </cfRule>
  </conditionalFormatting>
  <conditionalFormatting sqref="L201:L235">
    <cfRule type="expression" dxfId="71" priority="18369">
      <formula>$AD396&gt;27</formula>
    </cfRule>
  </conditionalFormatting>
  <conditionalFormatting sqref="L201:L235 L131:L132 L188:L198">
    <cfRule type="expression" dxfId="70" priority="18433">
      <formula>$AD309&gt;27</formula>
    </cfRule>
  </conditionalFormatting>
  <conditionalFormatting sqref="L161:L235">
    <cfRule type="expression" dxfId="69" priority="18443">
      <formula>$AD373&gt;27</formula>
    </cfRule>
  </conditionalFormatting>
  <conditionalFormatting sqref="L242:L248">
    <cfRule type="expression" dxfId="68" priority="18542">
      <formula>$AD418&gt;27</formula>
    </cfRule>
  </conditionalFormatting>
  <conditionalFormatting sqref="L140:L235">
    <cfRule type="expression" dxfId="67" priority="18643">
      <formula>$AD379&gt;27</formula>
    </cfRule>
  </conditionalFormatting>
  <conditionalFormatting sqref="L159:L235">
    <cfRule type="expression" dxfId="66" priority="18676">
      <formula>$AD392&gt;27</formula>
    </cfRule>
  </conditionalFormatting>
  <conditionalFormatting sqref="L153:L163">
    <cfRule type="expression" dxfId="65" priority="18706">
      <formula>$AD366&gt;27</formula>
    </cfRule>
  </conditionalFormatting>
  <conditionalFormatting sqref="L124:L160">
    <cfRule type="expression" dxfId="64" priority="18729">
      <formula>$AD377&gt;27</formula>
    </cfRule>
  </conditionalFormatting>
  <conditionalFormatting sqref="L140:L235">
    <cfRule type="expression" dxfId="63" priority="18734">
      <formula>$AD392&gt;27</formula>
    </cfRule>
  </conditionalFormatting>
  <conditionalFormatting sqref="L161:L235">
    <cfRule type="expression" dxfId="62" priority="18743">
      <formula>$AD388&gt;27</formula>
    </cfRule>
  </conditionalFormatting>
  <conditionalFormatting sqref="L193:L235 L106">
    <cfRule type="expression" dxfId="61" priority="18752">
      <formula>$AD292&gt;27</formula>
    </cfRule>
  </conditionalFormatting>
  <conditionalFormatting sqref="L134:L235">
    <cfRule type="expression" dxfId="60" priority="18776">
      <formula>$AD366&gt;27</formula>
    </cfRule>
  </conditionalFormatting>
  <conditionalFormatting sqref="L160">
    <cfRule type="expression" dxfId="59" priority="18799">
      <formula>$AD377&gt;27</formula>
    </cfRule>
  </conditionalFormatting>
  <conditionalFormatting sqref="L120:L139">
    <cfRule type="expression" dxfId="58" priority="18804">
      <formula>$AD366&gt;27</formula>
    </cfRule>
  </conditionalFormatting>
  <conditionalFormatting sqref="L151:L160">
    <cfRule type="expression" dxfId="57" priority="18814">
      <formula>$AD377&gt;27</formula>
    </cfRule>
  </conditionalFormatting>
  <conditionalFormatting sqref="L140:L235">
    <cfRule type="expression" dxfId="56" priority="18839">
      <formula>$AD371&gt;27</formula>
    </cfRule>
  </conditionalFormatting>
  <conditionalFormatting sqref="L140:L160">
    <cfRule type="expression" dxfId="55" priority="18870">
      <formula>$AD382&gt;27</formula>
    </cfRule>
  </conditionalFormatting>
  <conditionalFormatting sqref="L152:L235">
    <cfRule type="expression" dxfId="54" priority="18880">
      <formula>$AD377&gt;27</formula>
    </cfRule>
  </conditionalFormatting>
  <conditionalFormatting sqref="L194:L235 L93">
    <cfRule type="expression" dxfId="53" priority="18885">
      <formula>$AD277&gt;27</formula>
    </cfRule>
  </conditionalFormatting>
  <conditionalFormatting sqref="L161:L235 L136:L139">
    <cfRule type="expression" dxfId="52" priority="18904">
      <formula>$AD366&gt;27</formula>
    </cfRule>
  </conditionalFormatting>
  <conditionalFormatting sqref="L183:L235 L97">
    <cfRule type="expression" dxfId="51" priority="18922">
      <formula>$AD307&gt;27</formula>
    </cfRule>
  </conditionalFormatting>
  <conditionalFormatting sqref="L161:L235">
    <cfRule type="expression" dxfId="50" priority="18929">
      <formula>$AD376&gt;27</formula>
    </cfRule>
  </conditionalFormatting>
  <conditionalFormatting sqref="L153:L235">
    <cfRule type="expression" dxfId="49" priority="18941">
      <formula>$AD377&gt;27</formula>
    </cfRule>
  </conditionalFormatting>
  <conditionalFormatting sqref="L155:L160">
    <cfRule type="expression" dxfId="48" priority="18952">
      <formula>$AD377&gt;27</formula>
    </cfRule>
  </conditionalFormatting>
  <conditionalFormatting sqref="L171:L235">
    <cfRule type="expression" dxfId="47" priority="19119">
      <formula>$AD377&gt;27</formula>
    </cfRule>
  </conditionalFormatting>
  <conditionalFormatting sqref="L172:L235">
    <cfRule type="expression" dxfId="46" priority="19212">
      <formula>$AD377&gt;27</formula>
    </cfRule>
  </conditionalFormatting>
  <conditionalFormatting sqref="L161:L235 L122:L132">
    <cfRule type="expression" dxfId="45" priority="19217">
      <formula>$AD366&gt;27</formula>
    </cfRule>
  </conditionalFormatting>
  <conditionalFormatting sqref="L185:L235">
    <cfRule type="expression" dxfId="44" priority="19277">
      <formula>$AD398&gt;27</formula>
    </cfRule>
  </conditionalFormatting>
  <conditionalFormatting sqref="L228:L235">
    <cfRule type="expression" dxfId="43" priority="19427">
      <formula>$AD395&gt;27</formula>
    </cfRule>
  </conditionalFormatting>
  <conditionalFormatting sqref="A342:G342">
    <cfRule type="expression" dxfId="42" priority="19503">
      <formula>#REF!="On Hold"</formula>
    </cfRule>
    <cfRule type="expression" dxfId="41" priority="19504">
      <formula>#REF!=OR("","NA")</formula>
    </cfRule>
    <cfRule type="expression" dxfId="40" priority="19505">
      <formula>#REF!="TBA"</formula>
    </cfRule>
    <cfRule type="expression" dxfId="39" priority="19506">
      <formula>#REF!="Other"</formula>
    </cfRule>
    <cfRule type="expression" dxfId="38" priority="19507">
      <formula>#REF!="Building"</formula>
    </cfRule>
    <cfRule type="expression" dxfId="37" priority="19508">
      <formula>#REF!="Planning"</formula>
    </cfRule>
  </conditionalFormatting>
  <conditionalFormatting sqref="L200:L235">
    <cfRule type="expression" dxfId="36" priority="19584">
      <formula>$AD377&gt;27</formula>
    </cfRule>
  </conditionalFormatting>
  <conditionalFormatting sqref="L177:L235">
    <cfRule type="expression" dxfId="35" priority="19693">
      <formula>$AD377&gt;27</formula>
    </cfRule>
  </conditionalFormatting>
  <conditionalFormatting sqref="L215:L235 L129:L133 L117:L118">
    <cfRule type="expression" dxfId="34" priority="19713">
      <formula>$AD292&gt;27</formula>
    </cfRule>
  </conditionalFormatting>
  <conditionalFormatting sqref="L170:L235">
    <cfRule type="expression" dxfId="33" priority="19768">
      <formula>$AD366&gt;27</formula>
    </cfRule>
  </conditionalFormatting>
  <conditionalFormatting sqref="L105 L116:L117 L198:L235">
    <cfRule type="expression" dxfId="32" priority="19789">
      <formula>$AD279&gt;27</formula>
    </cfRule>
  </conditionalFormatting>
  <conditionalFormatting sqref="L120:L121 L194:L235">
    <cfRule type="expression" dxfId="31" priority="19875">
      <formula>$AD292&gt;27</formula>
    </cfRule>
  </conditionalFormatting>
  <conditionalFormatting sqref="L112:L113 L141 L212:L235">
    <cfRule type="expression" dxfId="30" priority="19941">
      <formula>$AD266&gt;27</formula>
    </cfRule>
  </conditionalFormatting>
  <conditionalFormatting sqref="L78 L178:L235">
    <cfRule type="expression" dxfId="29" priority="20002">
      <formula>$AD277&gt;27</formula>
    </cfRule>
  </conditionalFormatting>
  <conditionalFormatting sqref="L242:L248">
    <cfRule type="expression" dxfId="28" priority="20022">
      <formula>$AD397&gt;27</formula>
    </cfRule>
  </conditionalFormatting>
  <conditionalFormatting sqref="L162:L164 L143:L145 L126:L128 L140 L213:L235">
    <cfRule type="expression" dxfId="27" priority="20092">
      <formula>$AD279&gt;27</formula>
    </cfRule>
  </conditionalFormatting>
  <conditionalFormatting sqref="L212:L214">
    <cfRule type="expression" dxfId="26" priority="20099">
      <formula>$AD385&gt;27</formula>
    </cfRule>
  </conditionalFormatting>
  <conditionalFormatting sqref="L241 L228:L235 L88 L114:L115">
    <cfRule type="expression" dxfId="25" priority="20231">
      <formula>$AD276&gt;27</formula>
    </cfRule>
  </conditionalFormatting>
  <conditionalFormatting sqref="L168:L170 L230:L235">
    <cfRule type="expression" dxfId="24" priority="20332">
      <formula>$AD315&gt;27</formula>
    </cfRule>
  </conditionalFormatting>
  <conditionalFormatting sqref="L179:L235">
    <cfRule type="expression" dxfId="23" priority="20383">
      <formula>$AD377&gt;27</formula>
    </cfRule>
  </conditionalFormatting>
  <conditionalFormatting sqref="L161:L235 L136:L139">
    <cfRule type="expression" dxfId="22" priority="20467">
      <formula>$AD377&gt;27</formula>
    </cfRule>
  </conditionalFormatting>
  <conditionalFormatting sqref="L205:L235">
    <cfRule type="expression" dxfId="21" priority="20472">
      <formula>$AD409&gt;27</formula>
    </cfRule>
  </conditionalFormatting>
  <conditionalFormatting sqref="L154:L156 L122:L123 L208:L235">
    <cfRule type="expression" dxfId="20" priority="20527">
      <formula>$AD280&gt;27</formula>
    </cfRule>
  </conditionalFormatting>
  <conditionalFormatting sqref="L162 L140">
    <cfRule type="expression" dxfId="19" priority="20618">
      <formula>$AD273&gt;27</formula>
    </cfRule>
  </conditionalFormatting>
  <conditionalFormatting sqref="L352:L353 L243:L244 L249:L254 L259:L263 K264 L265:L266 M269 L270:L280 M348:M351 L286:L341">
    <cfRule type="expression" dxfId="18" priority="20619">
      <formula>$AD266&gt;27</formula>
    </cfRule>
  </conditionalFormatting>
  <conditionalFormatting sqref="L250:L253 L259 L271 L277 L279:L280 L287">
    <cfRule type="expression" dxfId="17" priority="20630">
      <formula>$AD273&lt;27</formula>
    </cfRule>
  </conditionalFormatting>
  <conditionalFormatting sqref="L259:L277 L103:L104 L116:L240">
    <cfRule type="expression" dxfId="16" priority="20646">
      <formula>#REF!&gt;27</formula>
    </cfRule>
  </conditionalFormatting>
  <conditionalFormatting sqref="M361:M362 L354:L360 L363:L376">
    <cfRule type="expression" dxfId="15" priority="20662">
      <formula>#REF!&gt;27</formula>
    </cfRule>
  </conditionalFormatting>
  <conditionalFormatting sqref="L360 L367">
    <cfRule type="expression" dxfId="14" priority="20663">
      <formula>#REF!&lt;27</formula>
    </cfRule>
  </conditionalFormatting>
  <conditionalFormatting sqref="L24">
    <cfRule type="expression" dxfId="13" priority="20672">
      <formula>$AD368&gt;27</formula>
    </cfRule>
  </conditionalFormatting>
  <conditionalFormatting sqref="L107 L98:L99 L194">
    <cfRule type="expression" dxfId="12" priority="20870">
      <formula>$AD280&gt;27</formula>
    </cfRule>
  </conditionalFormatting>
  <conditionalFormatting sqref="L111:L113">
    <cfRule type="expression" dxfId="11" priority="20927">
      <formula>$AD368&gt;27</formula>
    </cfRule>
  </conditionalFormatting>
  <conditionalFormatting sqref="L125:L129 L133:L135">
    <cfRule type="expression" dxfId="10" priority="20994">
      <formula>$AD304&gt;27</formula>
    </cfRule>
  </conditionalFormatting>
  <dataValidations count="225">
    <dataValidation type="list" allowBlank="1" showInputMessage="1" showErrorMessage="1" sqref="I3 I379:I1048576 O3" xr:uid="{CADCBF57-DB86-42C6-8EA7-F833B441CFAC}">
      <formula1>#REF!</formula1>
    </dataValidation>
    <dataValidation type="list" allowBlank="1" showInputMessage="1" showErrorMessage="1" sqref="O9" xr:uid="{7DB66EED-41A1-45D4-B63D-A6365365B6A8}">
      <formula1>$P$3:$P$9</formula1>
    </dataValidation>
    <dataValidation type="list" allowBlank="1" showInputMessage="1" showErrorMessage="1" sqref="I9" xr:uid="{3FB108B4-FADB-4847-8A96-4313A7A91B55}">
      <formula1>$J$3:$J$13</formula1>
    </dataValidation>
    <dataValidation type="list" allowBlank="1" showInputMessage="1" showErrorMessage="1" sqref="O11" xr:uid="{937DEA29-7BEF-4BD8-B346-C773F36F86D6}">
      <formula1>$P$3:$P$11</formula1>
    </dataValidation>
    <dataValidation type="list" allowBlank="1" showInputMessage="1" showErrorMessage="1" sqref="I11" xr:uid="{32015D2B-6C21-4905-AD5A-D7C30CD050B3}">
      <formula1>$J$3:$J$15</formula1>
    </dataValidation>
    <dataValidation type="list" allowBlank="1" showInputMessage="1" showErrorMessage="1" sqref="I18" xr:uid="{85EF2981-C326-4634-B18B-638C38E78DF4}">
      <formula1>$J$3:$J$22</formula1>
    </dataValidation>
    <dataValidation type="list" allowBlank="1" showInputMessage="1" showErrorMessage="1" sqref="O18" xr:uid="{7017451A-E078-4787-ACBC-33805D1B969F}">
      <formula1>$P$3:$P$18</formula1>
    </dataValidation>
    <dataValidation type="list" allowBlank="1" showInputMessage="1" showErrorMessage="1" sqref="I20" xr:uid="{C03D9CCE-27D1-4F40-A001-7F043D8D872E}">
      <formula1>$J$3:$J$24</formula1>
    </dataValidation>
    <dataValidation type="list" allowBlank="1" showInputMessage="1" showErrorMessage="1" sqref="O20" xr:uid="{34E96D92-4E15-4A7B-A7CE-D8E598CB1016}">
      <formula1>$P$3:$P$20</formula1>
    </dataValidation>
    <dataValidation type="list" allowBlank="1" showInputMessage="1" showErrorMessage="1" sqref="I23" xr:uid="{96C1F45D-828D-43EE-9263-E444B069B49B}">
      <formula1>$J$3:$J$27</formula1>
    </dataValidation>
    <dataValidation type="list" allowBlank="1" showInputMessage="1" showErrorMessage="1" sqref="O23" xr:uid="{D4EBB234-7DD7-4CA8-AF0D-5564521E6B37}">
      <formula1>$P$3:$P$23</formula1>
    </dataValidation>
    <dataValidation type="list" allowBlank="1" showInputMessage="1" showErrorMessage="1" sqref="I24" xr:uid="{B48E3C2C-FE8A-4D2A-9E65-3153085AD989}">
      <formula1>$J$3:$J$28</formula1>
    </dataValidation>
    <dataValidation type="list" allowBlank="1" showInputMessage="1" showErrorMessage="1" sqref="O24" xr:uid="{C6CB5646-F1EF-468A-91B3-9A644B8BD96C}">
      <formula1>$P$3:$P$24</formula1>
    </dataValidation>
    <dataValidation type="list" allowBlank="1" showInputMessage="1" showErrorMessage="1" sqref="I25" xr:uid="{03553487-D835-4D69-A752-F51E861668DB}">
      <formula1>$J$3:$J$29</formula1>
    </dataValidation>
    <dataValidation type="list" allowBlank="1" showInputMessage="1" showErrorMessage="1" sqref="O25" xr:uid="{03AAD841-7151-41B3-804A-5414CFD806DC}">
      <formula1>$P$3:$P$25</formula1>
    </dataValidation>
    <dataValidation type="list" allowBlank="1" showInputMessage="1" showErrorMessage="1" sqref="I26" xr:uid="{784C8285-9A3D-4982-9487-062BBB0ED4B1}">
      <formula1>$J$3:$J$30</formula1>
    </dataValidation>
    <dataValidation type="list" allowBlank="1" showInputMessage="1" showErrorMessage="1" sqref="O26" xr:uid="{E298821A-9BC6-4031-8645-992718615601}">
      <formula1>$P$3:$P$26</formula1>
    </dataValidation>
    <dataValidation type="list" allowBlank="1" showInputMessage="1" showErrorMessage="1" sqref="I29" xr:uid="{DF8D828D-C9EE-49AF-9460-1B07AF24E333}">
      <formula1>$J$3:$J$33</formula1>
    </dataValidation>
    <dataValidation type="list" allowBlank="1" showInputMessage="1" showErrorMessage="1" sqref="O29" xr:uid="{E12E091C-B547-4C81-B5C2-8CE32401C6C6}">
      <formula1>$P$3:$P$29</formula1>
    </dataValidation>
    <dataValidation type="list" allowBlank="1" showInputMessage="1" showErrorMessage="1" sqref="I30" xr:uid="{40F87E1C-01E5-42B4-B45C-358683A65DF4}">
      <formula1>$J$3:$J$34</formula1>
    </dataValidation>
    <dataValidation type="list" allowBlank="1" showInputMessage="1" showErrorMessage="1" sqref="O30" xr:uid="{BF1AE6A0-AA11-4F79-8ED8-5DD3E05DEA8A}">
      <formula1>$P$3:$P$30</formula1>
    </dataValidation>
    <dataValidation type="list" allowBlank="1" showInputMessage="1" showErrorMessage="1" sqref="I31" xr:uid="{DF414331-6ABB-43B6-8733-BD78423215B7}">
      <formula1>$J$3:$J$35</formula1>
    </dataValidation>
    <dataValidation type="list" allowBlank="1" showInputMessage="1" showErrorMessage="1" sqref="O31" xr:uid="{5E1B6645-B398-4F41-ABC6-39C5448BA3EE}">
      <formula1>$P$3:$P$31</formula1>
    </dataValidation>
    <dataValidation type="list" allowBlank="1" showInputMessage="1" showErrorMessage="1" sqref="I32" xr:uid="{A49526E5-007B-4FAF-9694-4F22D0555987}">
      <formula1>$J$3:$J$36</formula1>
    </dataValidation>
    <dataValidation type="list" allowBlank="1" showInputMessage="1" showErrorMessage="1" sqref="O32" xr:uid="{A24905A7-E833-4144-A61F-A86519702C69}">
      <formula1>$P$3:$P$32</formula1>
    </dataValidation>
    <dataValidation type="list" allowBlank="1" showInputMessage="1" showErrorMessage="1" sqref="I33" xr:uid="{75AB4C07-AAE0-4D29-B702-2C3BA08133FC}">
      <formula1>$J$3:$J$37</formula1>
    </dataValidation>
    <dataValidation type="list" allowBlank="1" showInputMessage="1" showErrorMessage="1" sqref="O33" xr:uid="{56CFCB06-7FE2-435D-9CCB-92197C89FF96}">
      <formula1>$P$3:$P$33</formula1>
    </dataValidation>
    <dataValidation type="list" allowBlank="1" showInputMessage="1" showErrorMessage="1" sqref="I34" xr:uid="{577CDFB7-9237-49CF-B808-8BEEEC32D04E}">
      <formula1>$J$3:$J$38</formula1>
    </dataValidation>
    <dataValidation type="list" allowBlank="1" showInputMessage="1" showErrorMessage="1" sqref="O34" xr:uid="{8413A1E6-0189-4E2C-9B84-73F53734D560}">
      <formula1>$P$3:$P$34</formula1>
    </dataValidation>
    <dataValidation type="list" allowBlank="1" showInputMessage="1" showErrorMessage="1" sqref="I35" xr:uid="{F12D228E-D889-4A22-8449-75D7A6FC8505}">
      <formula1>$J$3:$J$39</formula1>
    </dataValidation>
    <dataValidation type="list" allowBlank="1" showInputMessage="1" showErrorMessage="1" sqref="O35" xr:uid="{07D9C36C-4217-4C99-9730-DB96BE864E87}">
      <formula1>$P$3:$P$35</formula1>
    </dataValidation>
    <dataValidation type="list" allowBlank="1" showInputMessage="1" showErrorMessage="1" sqref="I36" xr:uid="{2A4E2F05-C4FE-45F1-9EF4-6B71FF38169D}">
      <formula1>$J$3:$J$40</formula1>
    </dataValidation>
    <dataValidation type="list" allowBlank="1" showInputMessage="1" showErrorMessage="1" sqref="O36" xr:uid="{499ACADA-5141-4AFE-90A3-0C77DA853AAE}">
      <formula1>$P$3:$P$36</formula1>
    </dataValidation>
    <dataValidation type="list" allowBlank="1" showInputMessage="1" showErrorMessage="1" sqref="I37" xr:uid="{B2F06A26-A56F-4F07-B3A1-6A8FA518F272}">
      <formula1>$J$3:$J$41</formula1>
    </dataValidation>
    <dataValidation type="list" allowBlank="1" showInputMessage="1" showErrorMessage="1" sqref="O37" xr:uid="{D0739450-87A8-443A-BBA5-B7BEC604FA63}">
      <formula1>$P$3:$P$37</formula1>
    </dataValidation>
    <dataValidation type="list" allowBlank="1" showInputMessage="1" showErrorMessage="1" sqref="I38" xr:uid="{C962C6A6-5D40-45A4-B675-6D8F8AB752B9}">
      <formula1>$J$3:$J$42</formula1>
    </dataValidation>
    <dataValidation type="list" allowBlank="1" showInputMessage="1" showErrorMessage="1" sqref="O38" xr:uid="{BE0E3008-5C45-4716-A6D0-9B14A92A27CB}">
      <formula1>$P$3:$P$38</formula1>
    </dataValidation>
    <dataValidation type="list" allowBlank="1" showInputMessage="1" showErrorMessage="1" sqref="I40" xr:uid="{DB63FF0E-CB73-4BB9-ADD9-1BD37104FD1E}">
      <formula1>$J$3:$J$44</formula1>
    </dataValidation>
    <dataValidation type="list" allowBlank="1" showInputMessage="1" showErrorMessage="1" sqref="O40" xr:uid="{6B903015-B386-423A-8F62-61ECCE06AFF5}">
      <formula1>$P$3:$P$40</formula1>
    </dataValidation>
    <dataValidation type="list" allowBlank="1" showInputMessage="1" showErrorMessage="1" sqref="I41" xr:uid="{10978A8A-CA77-4195-8E16-F9561ECDBF15}">
      <formula1>$J$3:$J$45</formula1>
    </dataValidation>
    <dataValidation type="list" allowBlank="1" showInputMessage="1" showErrorMessage="1" sqref="O41" xr:uid="{C46A3286-F510-44FA-864E-9A4A3A6B05C4}">
      <formula1>$P$3:$P$41</formula1>
    </dataValidation>
    <dataValidation type="list" allowBlank="1" showInputMessage="1" showErrorMessage="1" sqref="I42" xr:uid="{E299674F-5B84-4477-A3CE-67C69BB47299}">
      <formula1>$J$3:$J$46</formula1>
    </dataValidation>
    <dataValidation type="list" allowBlank="1" showInputMessage="1" showErrorMessage="1" sqref="O42" xr:uid="{EAE72740-A924-4038-A7B5-8EF9C2E7EDA6}">
      <formula1>$P$3:$P$42</formula1>
    </dataValidation>
    <dataValidation type="list" allowBlank="1" showInputMessage="1" showErrorMessage="1" sqref="I43" xr:uid="{66850099-7417-40D1-8EEE-6A1C48741B55}">
      <formula1>$J$3:$J$47</formula1>
    </dataValidation>
    <dataValidation type="list" allowBlank="1" showInputMessage="1" showErrorMessage="1" sqref="O43" xr:uid="{DC5BFFEE-D95C-4315-ACE1-382FDEB53E27}">
      <formula1>$P$3:$P$43</formula1>
    </dataValidation>
    <dataValidation type="list" allowBlank="1" showInputMessage="1" showErrorMessage="1" sqref="I45" xr:uid="{DF2CEEFE-2BE5-4988-A0B5-10AEE35C6C0A}">
      <formula1>$J$3:$J$49</formula1>
    </dataValidation>
    <dataValidation type="list" allowBlank="1" showInputMessage="1" showErrorMessage="1" sqref="O45" xr:uid="{D0373C4D-1168-4725-B578-419A633EFA5B}">
      <formula1>$P$3:$P$45</formula1>
    </dataValidation>
    <dataValidation type="list" allowBlank="1" showInputMessage="1" showErrorMessage="1" sqref="I46" xr:uid="{6F303E26-30D6-4AAC-B93D-C72CB9A3714C}">
      <formula1>$J$3:$J$50</formula1>
    </dataValidation>
    <dataValidation type="list" allowBlank="1" showInputMessage="1" showErrorMessage="1" sqref="O46" xr:uid="{9C12DB27-66C9-4CCC-9244-E8E15B63797E}">
      <formula1>$P$3:$P$46</formula1>
    </dataValidation>
    <dataValidation type="list" allowBlank="1" showInputMessage="1" showErrorMessage="1" sqref="I47" xr:uid="{AB168760-D4D9-4884-80F0-4A2EA05E810D}">
      <formula1>$J$3:$J$51</formula1>
    </dataValidation>
    <dataValidation type="list" allowBlank="1" showInputMessage="1" showErrorMessage="1" sqref="O47" xr:uid="{643F2280-F989-4DE2-9B60-AEBAC1D8AB73}">
      <formula1>$P$3:$P$47</formula1>
    </dataValidation>
    <dataValidation type="list" allowBlank="1" showInputMessage="1" showErrorMessage="1" sqref="I48" xr:uid="{96E868D2-2F7D-44EE-8BAC-6254B0D94CB5}">
      <formula1>$J$3:$J$52</formula1>
    </dataValidation>
    <dataValidation type="list" allowBlank="1" showInputMessage="1" showErrorMessage="1" sqref="O48" xr:uid="{177E17AC-144F-481D-AF0F-F42DE809E9DE}">
      <formula1>$P$3:$P$48</formula1>
    </dataValidation>
    <dataValidation type="list" allowBlank="1" showInputMessage="1" showErrorMessage="1" sqref="O49" xr:uid="{4A1E5438-4F1A-4090-8045-D01DEC8617F1}">
      <formula1>$P$3:$P$49</formula1>
    </dataValidation>
    <dataValidation type="list" allowBlank="1" showInputMessage="1" showErrorMessage="1" sqref="O51" xr:uid="{D06CCF82-8337-4A6C-83BE-2DBC7FB04124}">
      <formula1>$P$3:$P$51</formula1>
    </dataValidation>
    <dataValidation type="list" allowBlank="1" showInputMessage="1" showErrorMessage="1" sqref="O52" xr:uid="{DD169933-5CC1-4E7B-B443-36B900CAFF8A}">
      <formula1>$P$3:$P$52</formula1>
    </dataValidation>
    <dataValidation type="list" allowBlank="1" showInputMessage="1" showErrorMessage="1" sqref="I365" xr:uid="{F42EE0E1-1B30-4123-97C7-DABBDB207193}">
      <formula1>$J$3:$J$26</formula1>
    </dataValidation>
    <dataValidation type="list" allowBlank="1" showInputMessage="1" showErrorMessage="1" sqref="O365" xr:uid="{574CF726-6BC0-40F3-87F0-C15AD6FF944C}">
      <formula1>$P$3:$P$22</formula1>
    </dataValidation>
    <dataValidation type="list" allowBlank="1" showInputMessage="1" showErrorMessage="1" sqref="I367" xr:uid="{ED7867A4-201B-42FB-91A2-88AB2F3B21C9}">
      <formula1>$J$3:$J$20</formula1>
    </dataValidation>
    <dataValidation type="list" allowBlank="1" showInputMessage="1" showErrorMessage="1" sqref="O367" xr:uid="{79D02802-F169-4F90-A04D-59EE9BF24806}">
      <formula1>$P$3:$P$16</formula1>
    </dataValidation>
    <dataValidation type="list" allowBlank="1" showInputMessage="1" showErrorMessage="1" sqref="O145 O147" xr:uid="{45658C9A-2986-47E2-B96B-B52D9A323678}">
      <formula1>$P$3:$P$8</formula1>
    </dataValidation>
    <dataValidation type="list" allowBlank="1" showInputMessage="1" showErrorMessage="1" sqref="I145 I147:I148" xr:uid="{C979F5F3-5FC6-4231-B247-48363301E47B}">
      <formula1>$J$3:$J$12</formula1>
    </dataValidation>
    <dataValidation type="list" allowBlank="1" showInputMessage="1" showErrorMessage="1" sqref="O79:O80 O110 O123:O235 O243:O248" xr:uid="{C1161A89-7F4B-401C-A0BD-CBBA7300CE21}">
      <formula1>$P$3:$P$7</formula1>
    </dataValidation>
    <dataValidation type="list" allowBlank="1" showInputMessage="1" showErrorMessage="1" sqref="I79:I80 I110 I123:I235 I243:I248" xr:uid="{C48A1688-089F-4E11-91DC-113CF7FE6F31}">
      <formula1>$J$3:$J$11</formula1>
    </dataValidation>
    <dataValidation type="list" allowBlank="1" showInputMessage="1" showErrorMessage="1" sqref="O377 O185:O235 O57" xr:uid="{83C0A20A-6BF4-4FDB-96B0-02C4FA9499AF}">
      <formula1>$P$3:$P$6</formula1>
    </dataValidation>
    <dataValidation type="list" allowBlank="1" showInputMessage="1" showErrorMessage="1" sqref="I377 I57 I185:I235" xr:uid="{5A3ED450-047B-4C3B-B52E-B06AB2EF501E}">
      <formula1>$J$3:$J$10</formula1>
    </dataValidation>
    <dataValidation type="list" allowBlank="1" showInputMessage="1" showErrorMessage="1" sqref="O290 O293 O301:O302 O304:O307 O314 O316 O319:O321 O371 O335 O337" xr:uid="{00000000-0002-0000-0000-000001000000}">
      <formula1>$P$3:$P$4</formula1>
    </dataValidation>
    <dataValidation type="list" allowBlank="1" showInputMessage="1" showErrorMessage="1" sqref="I290 I293 I301:I302 I304:I307 I314 I316 I319:I321 I371 I335 I337" xr:uid="{00000000-0002-0000-0000-000000000000}">
      <formula1>$J$3:$J$8</formula1>
    </dataValidation>
    <dataValidation type="list" allowBlank="1" showInputMessage="1" showErrorMessage="1" sqref="I160 I56 J350 J348 I360 I101" xr:uid="{640FE0AE-37D1-4CAB-942B-CBA032F98CCB}">
      <formula1>$J$3:$J$285</formula1>
    </dataValidation>
    <dataValidation type="list" allowBlank="1" showInputMessage="1" showErrorMessage="1" sqref="O115" xr:uid="{16555095-B11E-4F51-B9D5-34D28D51D6DF}">
      <formula1>$P$3:$P$115</formula1>
    </dataValidation>
    <dataValidation type="list" allowBlank="1" showInputMessage="1" showErrorMessage="1" sqref="I115" xr:uid="{2B57FEED-5635-4D16-8E84-4F4620D83E69}">
      <formula1>$J$3:$J$135</formula1>
    </dataValidation>
    <dataValidation type="list" allowBlank="1" showInputMessage="1" showErrorMessage="1" sqref="O56 P348 O360 P350" xr:uid="{E8E7CAA7-B98B-4BC5-AD0E-8DC40C78DF5F}">
      <formula1>$P$3:$P$56</formula1>
    </dataValidation>
    <dataValidation type="list" allowBlank="1" showInputMessage="1" showErrorMessage="1" sqref="O101" xr:uid="{2B76CF4E-5B2C-4A12-9C65-EB9103D142C6}">
      <formula1>$P$3:$P$101</formula1>
    </dataValidation>
    <dataValidation type="list" allowBlank="1" showInputMessage="1" showErrorMessage="1" sqref="O53:O55 O160 O85:O87 O65:O67 O57:O61" xr:uid="{8B5F93C8-A968-4A06-95DB-36DA1F417928}">
      <formula1>$P$3:$P$160</formula1>
    </dataValidation>
    <dataValidation type="list" allowBlank="1" showInputMessage="1" showErrorMessage="1" sqref="O62" xr:uid="{812E4DE1-B87D-4B68-AAA3-FCE19593D721}">
      <formula1>$P$3:$P$62</formula1>
    </dataValidation>
    <dataValidation type="list" allowBlank="1" showInputMessage="1" showErrorMessage="1" sqref="I175" xr:uid="{F56543A2-B130-44F7-AF9F-10A59F6361FD}">
      <formula1>$J$3:$J$62</formula1>
    </dataValidation>
    <dataValidation type="list" allowBlank="1" showInputMessage="1" showErrorMessage="1" sqref="O66:O67" xr:uid="{399A21A5-89BA-43C8-857F-20DF39BF628F}">
      <formula1>$P$3:$P$66</formula1>
    </dataValidation>
    <dataValidation type="list" allowBlank="1" showInputMessage="1" showErrorMessage="1" sqref="I149:I159 I161:I235" xr:uid="{A4C33A89-471B-4384-AE92-EA6946EF2A74}">
      <formula1>$J$3:$J$66</formula1>
    </dataValidation>
    <dataValidation type="list" allowBlank="1" showInputMessage="1" showErrorMessage="1" sqref="O68" xr:uid="{30787CB3-9929-4F5A-922C-A670AA9F3900}">
      <formula1>$P$3:$P$68</formula1>
    </dataValidation>
    <dataValidation type="list" allowBlank="1" showInputMessage="1" showErrorMessage="1" sqref="I249:I285" xr:uid="{F0572AC3-4281-47D0-9299-B13704B59A66}">
      <formula1>$J$3:$J$68</formula1>
    </dataValidation>
    <dataValidation type="list" allowBlank="1" showInputMessage="1" showErrorMessage="1" sqref="O70" xr:uid="{12163519-6DCD-4C27-8F02-5780BAFEE0C8}">
      <formula1>$P$3:$P$70</formula1>
    </dataValidation>
    <dataValidation type="list" allowBlank="1" showInputMessage="1" showErrorMessage="1" sqref="O71:O72" xr:uid="{72150A65-65B8-4032-BFA1-DBAAB3C3E01B}">
      <formula1>$P$3:$P$71</formula1>
    </dataValidation>
    <dataValidation type="list" allowBlank="1" showInputMessage="1" showErrorMessage="1" sqref="I180:I235" xr:uid="{A6B6CBDF-B145-4B33-8C42-4EC3470D0B68}">
      <formula1>$J$3:$J$70</formula1>
    </dataValidation>
    <dataValidation type="list" allowBlank="1" showInputMessage="1" showErrorMessage="1" sqref="O73" xr:uid="{D5E1EE8F-96A4-4EC4-AF1B-1CBD86356927}">
      <formula1>$P$3:$P$73</formula1>
    </dataValidation>
    <dataValidation type="list" allowBlank="1" showInputMessage="1" showErrorMessage="1" sqref="O74:O80" xr:uid="{DBDA9903-4D6C-4CE2-82AE-BB04C88D8A11}">
      <formula1>$P$3:$P$74</formula1>
    </dataValidation>
    <dataValidation type="list" allowBlank="1" showInputMessage="1" showErrorMessage="1" sqref="I277:I285" xr:uid="{F3345BFE-AC72-4394-8E58-06BC58ED5784}">
      <formula1>$J$3:$J$73</formula1>
    </dataValidation>
    <dataValidation type="list" allowBlank="1" showInputMessage="1" showErrorMessage="1" sqref="I139" xr:uid="{96721EC3-1085-4B5C-9FA1-5EDE562FFD12}">
      <formula1>$J$3:$J$74</formula1>
    </dataValidation>
    <dataValidation type="list" allowBlank="1" showInputMessage="1" showErrorMessage="1" sqref="O76" xr:uid="{FE8399A4-5D06-4E3E-8F61-AFF335DFAC2D}">
      <formula1>$P$3:$P$76</formula1>
    </dataValidation>
    <dataValidation type="list" allowBlank="1" showInputMessage="1" showErrorMessage="1" sqref="I187" xr:uid="{4B60D656-34AB-4CEA-AAE8-6C9D3577C61C}">
      <formula1>$J$3:$J$76</formula1>
    </dataValidation>
    <dataValidation type="list" allowBlank="1" showInputMessage="1" showErrorMessage="1" sqref="I64" xr:uid="{729E5463-FA9D-4FAD-9E1D-E3FBD9671E1E}">
      <formula1>$J$3:$J$71</formula1>
    </dataValidation>
    <dataValidation type="list" allowBlank="1" showInputMessage="1" showErrorMessage="1" sqref="O83" xr:uid="{B595C18D-4A57-470A-8CC5-6EAFF480BE33}">
      <formula1>$P$3:$P$83</formula1>
    </dataValidation>
    <dataValidation type="list" allowBlank="1" showInputMessage="1" showErrorMessage="1" sqref="I157" xr:uid="{12F27E34-3069-402A-8AA0-D119CB5CC0B9}">
      <formula1>$J$3:$J$83</formula1>
    </dataValidation>
    <dataValidation type="list" allowBlank="1" showInputMessage="1" showErrorMessage="1" sqref="O89" xr:uid="{A181850B-FECB-41FB-AB15-D73277B4126C}">
      <formula1>$P$3:$P$89</formula1>
    </dataValidation>
    <dataValidation type="list" allowBlank="1" showInputMessage="1" showErrorMessage="1" sqref="I162:I235" xr:uid="{FA05C03D-0FE1-49EC-ABCA-1F69BB646A5B}">
      <formula1>$J$3:$J$89</formula1>
    </dataValidation>
    <dataValidation type="list" allowBlank="1" showInputMessage="1" showErrorMessage="1" sqref="O91" xr:uid="{70521D40-66DD-4A91-85FD-AFB7CB4AF11F}">
      <formula1>$P$3:$P$91</formula1>
    </dataValidation>
    <dataValidation type="list" allowBlank="1" showInputMessage="1" showErrorMessage="1" sqref="O92" xr:uid="{944D8FDB-1419-4D68-A36A-E9CED52F2566}">
      <formula1>$P$3:$P$92</formula1>
    </dataValidation>
    <dataValidation type="list" allowBlank="1" showInputMessage="1" showErrorMessage="1" sqref="I128" xr:uid="{A47C2453-C3B5-4BC4-AFD8-85D63868A2E3}">
      <formula1>$J$3:$J$91</formula1>
    </dataValidation>
    <dataValidation type="list" allowBlank="1" showInputMessage="1" showErrorMessage="1" sqref="I129:I159 I161:I235" xr:uid="{00B8A3B6-AA68-4251-BC6E-41133B70C06F}">
      <formula1>$J$3:$J$92</formula1>
    </dataValidation>
    <dataValidation type="list" allowBlank="1" showInputMessage="1" showErrorMessage="1" sqref="O96" xr:uid="{BEAB4B73-7429-433A-99C0-07626346298B}">
      <formula1>$P$3:$P$96</formula1>
    </dataValidation>
    <dataValidation type="list" allowBlank="1" showInputMessage="1" showErrorMessage="1" sqref="I89" xr:uid="{D8A2AA22-969F-41B0-8E49-E4AC3DAEC01F}">
      <formula1>$J$3:$J$96</formula1>
    </dataValidation>
    <dataValidation type="list" allowBlank="1" showInputMessage="1" showErrorMessage="1" sqref="O103" xr:uid="{26EBE93E-6EAF-42BE-8A38-350D25A90E61}">
      <formula1>$P$3:$P$103</formula1>
    </dataValidation>
    <dataValidation type="list" allowBlank="1" showInputMessage="1" showErrorMessage="1" sqref="I203:I235" xr:uid="{5C2C3484-10BB-4A84-BB36-E2FB39122D76}">
      <formula1>$J$3:$J$103</formula1>
    </dataValidation>
    <dataValidation type="list" allowBlank="1" showInputMessage="1" showErrorMessage="1" sqref="O107" xr:uid="{B563C603-DCF3-4650-BC49-23456DB4743B}">
      <formula1>$P$3:$P$107</formula1>
    </dataValidation>
    <dataValidation type="list" allowBlank="1" showInputMessage="1" showErrorMessage="1" sqref="O108" xr:uid="{F887ABCF-E197-4AA2-9FDE-3D11CD9F2EB2}">
      <formula1>$P$3:$P$108</formula1>
    </dataValidation>
    <dataValidation type="list" allowBlank="1" showInputMessage="1" showErrorMessage="1" sqref="I281" xr:uid="{9EB01A82-17A4-43AD-A88F-AA6E48406071}">
      <formula1>$J$3:$J$108</formula1>
    </dataValidation>
    <dataValidation type="list" allowBlank="1" showInputMessage="1" showErrorMessage="1" sqref="I94" xr:uid="{1E4432FD-7D2F-4CFD-9E34-185CDA59A7A0}">
      <formula1>$J$3:$J$107</formula1>
    </dataValidation>
    <dataValidation type="list" allowBlank="1" showInputMessage="1" showErrorMessage="1" sqref="O116" xr:uid="{A05D1254-98B1-4178-81A4-F051D8C5073C}">
      <formula1>$P$3:$P$116</formula1>
    </dataValidation>
    <dataValidation type="list" allowBlank="1" showInputMessage="1" showErrorMessage="1" sqref="I81" xr:uid="{6708CDE1-1004-4B97-91EB-A9042EE14919}">
      <formula1>$J$3:$J$116</formula1>
    </dataValidation>
    <dataValidation type="list" allowBlank="1" showInputMessage="1" showErrorMessage="1" sqref="O119" xr:uid="{BE812A53-08C2-46A5-9AB2-8E1E5DF61218}">
      <formula1>$P$3:$P$119</formula1>
    </dataValidation>
    <dataValidation type="list" allowBlank="1" showInputMessage="1" showErrorMessage="1" sqref="O120" xr:uid="{40AC950E-DE44-4CDA-93E3-6D9246650517}">
      <formula1>$P$3:$P$120</formula1>
    </dataValidation>
    <dataValidation type="list" allowBlank="1" showInputMessage="1" showErrorMessage="1" sqref="O121" xr:uid="{CD4ECF61-7530-4B5A-8AEC-0C5E25760482}">
      <formula1>$P$3:$P$121</formula1>
    </dataValidation>
    <dataValidation type="list" allowBlank="1" showInputMessage="1" showErrorMessage="1" sqref="I224" xr:uid="{BD117A68-2B52-4B56-9297-A9483C040DD2}">
      <formula1>$J$3:$J$121</formula1>
    </dataValidation>
    <dataValidation type="list" allowBlank="1" showInputMessage="1" showErrorMessage="1" sqref="I203:I235" xr:uid="{F4845BB2-14EC-40B6-8550-6E87D5497DCD}">
      <formula1>$J$3:$J$119</formula1>
    </dataValidation>
    <dataValidation type="list" allowBlank="1" showInputMessage="1" showErrorMessage="1" sqref="I75" xr:uid="{5678A41A-BF3B-46E2-A9DA-73D20B7C99B1}">
      <formula1>$J$3:$J$120</formula1>
    </dataValidation>
    <dataValidation type="list" allowBlank="1" showInputMessage="1" showErrorMessage="1" sqref="O124" xr:uid="{C40F96FF-C0EF-47FD-8497-7A3EC78730EE}">
      <formula1>$P$3:$P$124</formula1>
    </dataValidation>
    <dataValidation type="list" allowBlank="1" showInputMessage="1" showErrorMessage="1" sqref="I212:I235" xr:uid="{200E78A0-F39F-4D6A-BC43-9A2D025DB0AC}">
      <formula1>$J$3:$J$124</formula1>
    </dataValidation>
    <dataValidation type="list" allowBlank="1" showInputMessage="1" showErrorMessage="1" sqref="O128" xr:uid="{4935F548-3D39-4768-8DD8-0E1CE2245960}">
      <formula1>$P$3:$P$128</formula1>
    </dataValidation>
    <dataValidation type="list" allowBlank="1" showInputMessage="1" showErrorMessage="1" sqref="I65" xr:uid="{1D96022A-03FA-45F5-B59F-5A4C2343E7C4}">
      <formula1>$J$3:$J$128</formula1>
    </dataValidation>
    <dataValidation type="list" allowBlank="1" showInputMessage="1" showErrorMessage="1" sqref="I66" xr:uid="{72EDA5DC-A38C-4711-B4C4-000883DA382D}">
      <formula1>$J$3:$J$131</formula1>
    </dataValidation>
    <dataValidation type="list" allowBlank="1" showInputMessage="1" showErrorMessage="1" sqref="O135" xr:uid="{C506E9C6-69FC-481C-BEBA-388A0E5956C9}">
      <formula1>$P$3:$P$135</formula1>
    </dataValidation>
    <dataValidation type="list" allowBlank="1" showInputMessage="1" showErrorMessage="1" sqref="O141" xr:uid="{AC17B2F5-6AF7-4148-8F21-CD603E0D8711}">
      <formula1>$P$3:$P$141</formula1>
    </dataValidation>
    <dataValidation type="list" allowBlank="1" showInputMessage="1" showErrorMessage="1" sqref="I120" xr:uid="{FF0DB49F-5A8A-42F3-AFC4-E8DF9006E9FC}">
      <formula1>$J$3:$J$141</formula1>
    </dataValidation>
    <dataValidation type="list" allowBlank="1" showInputMessage="1" showErrorMessage="1" sqref="O153" xr:uid="{D91E5A3D-1242-4949-B47B-840AEABCB234}">
      <formula1>$P$3:$P$153</formula1>
    </dataValidation>
    <dataValidation type="list" allowBlank="1" showInputMessage="1" showErrorMessage="1" sqref="O155" xr:uid="{FD7A68F1-BDDB-44D8-84DB-9030D2917913}">
      <formula1>$P$3:$P$155</formula1>
    </dataValidation>
    <dataValidation type="list" allowBlank="1" showInputMessage="1" showErrorMessage="1" sqref="I136" xr:uid="{1F67EEDC-5ECB-4AF0-99C2-342C3CA01E15}">
      <formula1>$J$3:$J$153</formula1>
    </dataValidation>
    <dataValidation type="list" allowBlank="1" showInputMessage="1" showErrorMessage="1" sqref="I262:I285" xr:uid="{329BF199-5966-4028-B31B-6DC417A765C2}">
      <formula1>$J$3:$J$155</formula1>
    </dataValidation>
    <dataValidation type="list" allowBlank="1" showInputMessage="1" showErrorMessage="1" sqref="O157" xr:uid="{91C6EDB4-0744-478D-89F0-9BF6AE1C454E}">
      <formula1>$P$3:$P$157</formula1>
    </dataValidation>
    <dataValidation type="list" allowBlank="1" showInputMessage="1" showErrorMessage="1" sqref="I224:I235" xr:uid="{EB291F83-FF9F-40BC-83F0-7A891F86E47B}">
      <formula1>$J$3:$J$157</formula1>
    </dataValidation>
    <dataValidation type="list" allowBlank="1" showInputMessage="1" showErrorMessage="1" sqref="O164" xr:uid="{6DE84402-DD39-41FC-ACE1-0CE0D43AF767}">
      <formula1>$P$3:$P$164</formula1>
    </dataValidation>
    <dataValidation type="list" allowBlank="1" showInputMessage="1" showErrorMessage="1" sqref="I257" xr:uid="{E3D14DCF-E86A-4F37-9E6D-52777C752DB3}">
      <formula1>$J$3:$J$165</formula1>
    </dataValidation>
    <dataValidation type="list" allowBlank="1" showInputMessage="1" showErrorMessage="1" sqref="I243:I245" xr:uid="{3B1E9743-AD32-4325-8ADC-C797D751899A}">
      <formula1>$J$3:$J$164</formula1>
    </dataValidation>
    <dataValidation type="list" allowBlank="1" showInputMessage="1" showErrorMessage="1" sqref="O175" xr:uid="{82BB6838-C081-42FB-8BA9-AC81A915C52F}">
      <formula1>$P$3:$P$175</formula1>
    </dataValidation>
    <dataValidation type="list" allowBlank="1" showInputMessage="1" showErrorMessage="1" sqref="I287:I288" xr:uid="{9A68F14C-648E-4EC7-82F8-0F7310031395}">
      <formula1>$J$3:$J$175</formula1>
    </dataValidation>
    <dataValidation type="list" allowBlank="1" showInputMessage="1" showErrorMessage="1" sqref="O183" xr:uid="{706EE353-9E0C-43D9-8C51-9B32F8815245}">
      <formula1>$P$3:$P$183</formula1>
    </dataValidation>
    <dataValidation type="list" allowBlank="1" showInputMessage="1" showErrorMessage="1" sqref="I252" xr:uid="{222C04CD-2751-4B00-9C54-E397DEEC652B}">
      <formula1>$J$3:$J$183</formula1>
    </dataValidation>
    <dataValidation type="list" allowBlank="1" showInputMessage="1" showErrorMessage="1" sqref="O186" xr:uid="{6A5E0EA1-9404-44AA-A81F-EF407BE693CE}">
      <formula1>$P$3:$P$186</formula1>
    </dataValidation>
    <dataValidation type="list" allowBlank="1" showInputMessage="1" showErrorMessage="1" sqref="O187" xr:uid="{82AD0BF8-B95E-4CAC-9F08-929AA6B4D047}">
      <formula1>$P$3:$P$187</formula1>
    </dataValidation>
    <dataValidation type="list" allowBlank="1" showInputMessage="1" showErrorMessage="1" sqref="I91" xr:uid="{3CD9BDEC-AC23-46A3-AA84-1E4D3FC60A99}">
      <formula1>$J$3:$J$186</formula1>
    </dataValidation>
    <dataValidation type="list" allowBlank="1" showInputMessage="1" showErrorMessage="1" sqref="I92" xr:uid="{04D08478-2846-463B-94D6-6B55E83F239B}">
      <formula1>$J$3:$J$187</formula1>
    </dataValidation>
    <dataValidation type="list" allowBlank="1" showInputMessage="1" showErrorMessage="1" sqref="O190" xr:uid="{550D4BC8-9D6C-4738-BA37-381DF1950D05}">
      <formula1>$P$3:$P$190</formula1>
    </dataValidation>
    <dataValidation type="list" allowBlank="1" showInputMessage="1" showErrorMessage="1" sqref="I153" xr:uid="{197BD37B-5E32-4615-9866-10F5D7FDF453}">
      <formula1>$J$3:$J$190</formula1>
    </dataValidation>
    <dataValidation type="list" allowBlank="1" showInputMessage="1" showErrorMessage="1" sqref="O199" xr:uid="{33D439A1-C434-4D73-B32E-6022AE6E28DB}">
      <formula1>$P$3:$P$199</formula1>
    </dataValidation>
    <dataValidation type="list" allowBlank="1" showInputMessage="1" showErrorMessage="1" sqref="I238" xr:uid="{F308AAF6-4420-4614-AC29-6C7FD35895CA}">
      <formula1>$J$3:$J$199</formula1>
    </dataValidation>
    <dataValidation type="list" allowBlank="1" showInputMessage="1" showErrorMessage="1" sqref="I267:I285" xr:uid="{0DF83EE3-8738-4DEE-91E7-BD23CE423A7C}">
      <formula1>$J$3:$J$205</formula1>
    </dataValidation>
    <dataValidation type="list" allowBlank="1" showInputMessage="1" showErrorMessage="1" sqref="O188" xr:uid="{212F2EA9-0293-4986-B8D6-C5D2949E4AB4}">
      <formula1>$P$3:$P$204</formula1>
    </dataValidation>
    <dataValidation type="list" allowBlank="1" showInputMessage="1" showErrorMessage="1" sqref="I93" xr:uid="{C2506FBE-6AF2-4E1D-A2F2-37086468F3EB}">
      <formula1>$J$3:$J$204</formula1>
    </dataValidation>
    <dataValidation type="list" allowBlank="1" showInputMessage="1" showErrorMessage="1" sqref="O212" xr:uid="{5A4582E9-E9B2-44A4-A958-EB83CE168C47}">
      <formula1>$P$3:$P$212</formula1>
    </dataValidation>
    <dataValidation type="list" allowBlank="1" showInputMessage="1" showErrorMessage="1" sqref="O213" xr:uid="{837D1B38-EAAB-428A-8CD7-AA32675CC6AB}">
      <formula1>$P$3:$P$213</formula1>
    </dataValidation>
    <dataValidation type="list" allowBlank="1" showInputMessage="1" showErrorMessage="1" sqref="O214" xr:uid="{19CEA692-41BB-4AD5-8CA9-3CE8BA8B77A0}">
      <formula1>$P$3:$P$214</formula1>
    </dataValidation>
    <dataValidation type="list" allowBlank="1" showInputMessage="1" showErrorMessage="1" sqref="I239" xr:uid="{A3147F21-9CAE-41F9-8CA3-DCCB257D03DE}">
      <formula1>$J$3:$J$214</formula1>
    </dataValidation>
    <dataValidation type="list" allowBlank="1" showInputMessage="1" showErrorMessage="1" sqref="I83" xr:uid="{9B6CF675-871E-46C4-A3C3-351162C1DAC2}">
      <formula1>$J$3:$J$212</formula1>
    </dataValidation>
    <dataValidation type="list" allowBlank="1" showInputMessage="1" showErrorMessage="1" sqref="I84" xr:uid="{8948871B-F663-4BDA-B053-916B0C7A4490}">
      <formula1>$J$3:$J$213</formula1>
    </dataValidation>
    <dataValidation type="list" allowBlank="1" showInputMessage="1" showErrorMessage="1" sqref="O220" xr:uid="{CF132E23-58FC-41A8-B765-7D51BE80FA2C}">
      <formula1>$P$3:$P$220</formula1>
    </dataValidation>
    <dataValidation type="list" allowBlank="1" showInputMessage="1" showErrorMessage="1" sqref="I275:I285" xr:uid="{FAA047EE-3D63-441C-88C5-6C643DEF38A8}">
      <formula1>$J$3:$J$220</formula1>
    </dataValidation>
    <dataValidation type="list" allowBlank="1" showInputMessage="1" showErrorMessage="1" sqref="I222:I223 I102 I251:I285" xr:uid="{1F909356-DDCA-40AA-BC98-F15124670100}">
      <formula1>$J$3:$J$222</formula1>
    </dataValidation>
    <dataValidation type="list" allowBlank="1" showInputMessage="1" showErrorMessage="1" sqref="O225 O195 O162 O142 O203" xr:uid="{1C078877-FEE2-476F-A2E9-B8BF01CBFFB7}">
      <formula1>$P$3:$P$225</formula1>
    </dataValidation>
    <dataValidation type="list" allowBlank="1" showInputMessage="1" showErrorMessage="1" sqref="O224" xr:uid="{A64C67EE-5CDF-4E5B-8D79-216325AFC291}">
      <formula1>$P$3:$P$224</formula1>
    </dataValidation>
    <dataValidation type="list" allowBlank="1" showInputMessage="1" showErrorMessage="1" sqref="O226 O65 O90" xr:uid="{0F373180-6FF5-4701-AF8B-25A286206F71}">
      <formula1>$P$3:$P$226</formula1>
    </dataValidation>
    <dataValidation type="list" allowBlank="1" showInputMessage="1" showErrorMessage="1" sqref="O193 O117 O138" xr:uid="{1448A411-A151-4CF7-BA67-C70F64ACBB07}">
      <formula1>$P$3:$P$222</formula1>
    </dataValidation>
    <dataValidation type="list" allowBlank="1" showInputMessage="1" showErrorMessage="1" sqref="I141 I121:I122 I161 I266:I285" xr:uid="{F091D745-F4CB-496B-BFC4-161F0347EAB8}">
      <formula1>$J$3:$J$225</formula1>
    </dataValidation>
    <dataValidation type="list" allowBlank="1" showInputMessage="1" showErrorMessage="1" sqref="I127" xr:uid="{EF90DF74-5D33-47C8-B174-5E4330765DF2}">
      <formula1>$J$3:$J$224</formula1>
    </dataValidation>
    <dataValidation type="list" allowBlank="1" showInputMessage="1" showErrorMessage="1" sqref="I195 I96 I142" xr:uid="{77DAFA54-CDE0-461F-A361-CDE325F06458}">
      <formula1>$J$3:$J$226</formula1>
    </dataValidation>
    <dataValidation type="list" allowBlank="1" showInputMessage="1" showErrorMessage="1" sqref="O230" xr:uid="{E0FD4E51-67BF-4CF0-BCF9-AA34C9FB7460}">
      <formula1>$P$3:$P$230</formula1>
    </dataValidation>
    <dataValidation type="list" allowBlank="1" showInputMessage="1" showErrorMessage="1" sqref="O247:O248 O233 O59:O60 O99 O110:O114 O133:O134 O149:O150 O196 O207:O208 O219 O189 O168:O173 O123 O86 O284" xr:uid="{F437A163-A00E-4A52-8CA2-7C4D267A9351}">
      <formula1>$O$3:$O$247</formula1>
    </dataValidation>
    <dataValidation type="list" allowBlank="1" showInputMessage="1" showErrorMessage="1" sqref="I230" xr:uid="{353F72EA-7830-4921-97A6-7BB7FF390A99}">
      <formula1>$J$3:$J$231</formula1>
    </dataValidation>
    <dataValidation type="list" allowBlank="1" showInputMessage="1" showErrorMessage="1" sqref="I205 I186 I194 I188 H154 I240 I97:I98 I227:I228 I254:I285" xr:uid="{0E1721C0-ED0D-4364-8A42-7F5535AD6EA2}">
      <formula1>$J$3:$J$240</formula1>
    </dataValidation>
    <dataValidation type="list" allowBlank="1" showInputMessage="1" showErrorMessage="1" sqref="I215 I73:I74 I140 I159 I253:I285" xr:uid="{F6266DC8-2DBC-4758-9FBD-305BEEF1B45E}">
      <formula1>$J$3:$J$239</formula1>
    </dataValidation>
    <dataValidation type="list" allowBlank="1" showInputMessage="1" showErrorMessage="1" sqref="I273:I274 I155" xr:uid="{AD667AFD-06C0-47F7-96BD-9F11D7EB2252}">
      <formula1>$J$3:$J$236</formula1>
    </dataValidation>
    <dataValidation type="list" allowBlank="1" showInputMessage="1" showErrorMessage="1" sqref="I241 I206 I53" xr:uid="{96C4208F-D3CA-4828-9187-85B9CC09E006}">
      <formula1>$J$3:$J$241</formula1>
    </dataValidation>
    <dataValidation type="list" allowBlank="1" showInputMessage="1" showErrorMessage="1" sqref="I237 I198 I124:I125 I156 I220:I221" xr:uid="{B76DBD78-5F14-455F-8CDE-9A7C0A37F280}">
      <formula1>$J$3:$J$237</formula1>
    </dataValidation>
    <dataValidation type="list" allowBlank="1" showInputMessage="1" showErrorMessage="1" sqref="O237 O198 O72 O88 O180 O125" xr:uid="{CB457819-1E71-4265-93FF-F9C280A5CA1E}">
      <formula1>$P$3:$P$237</formula1>
    </dataValidation>
    <dataValidation type="list" allowBlank="1" showInputMessage="1" showErrorMessage="1" sqref="O239 O182 O201 O194 O140 O159 O184" xr:uid="{097EDA33-0836-48D2-8AEC-EC58A453FB79}">
      <formula1>$P$3:$P$239</formula1>
    </dataValidation>
    <dataValidation type="list" allowBlank="1" showInputMessage="1" showErrorMessage="1" sqref="I158 I88 I181 H264:H285 I263:I285" xr:uid="{13994065-9A31-4D50-8A96-71B1B56FB925}">
      <formula1>$J$3:$J$238</formula1>
    </dataValidation>
    <dataValidation type="list" allowBlank="1" showInputMessage="1" showErrorMessage="1" sqref="I164 I256:I285" xr:uid="{4F2AF7C9-FDF7-4066-A67E-64213C9536CF}">
      <formula1>$J$3:$J$244</formula1>
    </dataValidation>
    <dataValidation type="list" allowBlank="1" showInputMessage="1" showErrorMessage="1" sqref="O241 O130 O163" xr:uid="{C0AC6514-1AD7-4138-866A-D03543A46D0A}">
      <formula1>$P$3:$P$241</formula1>
    </dataValidation>
    <dataValidation type="list" allowBlank="1" showInputMessage="1" showErrorMessage="1" sqref="I247:I248 I196 I219 I233:I235 I207:I211 I168:I174 I284 I123 I149:I150 I110:I114 I86 I133:I134 I54 I95 I59:I60" xr:uid="{385B83B0-83F6-449C-9D32-BE99F37BBA8A}">
      <formula1>$I$3:$I$232</formula1>
    </dataValidation>
    <dataValidation type="list" allowBlank="1" showInputMessage="1" showErrorMessage="1" sqref="I286 I152 I259:I260 I63" xr:uid="{1196E3F0-2E3D-4E9A-9081-9F65E310A0D6}">
      <formula1>$J$3:$J$235</formula1>
    </dataValidation>
    <dataValidation type="list" allowBlank="1" showInputMessage="1" showErrorMessage="1" sqref="I283 I108 I235 I209:I211 I61 I80 I87 I55 I99 I343:I346" xr:uid="{11F32F71-52E9-494F-8B78-86F00527B02A}">
      <formula1>$J$3:$J$232</formula1>
    </dataValidation>
    <dataValidation type="list" allowBlank="1" showInputMessage="1" showErrorMessage="1" sqref="O167" xr:uid="{53DE3CA8-EF5D-4099-AB9F-7FABAA6E44F5}">
      <formula1>$P$3:$P$232</formula1>
    </dataValidation>
    <dataValidation type="list" allowBlank="1" showInputMessage="1" showErrorMessage="1" sqref="I165:I166 I85" xr:uid="{C8E8273F-461D-408D-AFC7-6A2F23775083}">
      <formula1>$J$3:$J$230</formula1>
    </dataValidation>
    <dataValidation type="list" allowBlank="1" showInputMessage="1" showErrorMessage="1" sqref="O154 O143 O105 O98 O129 O227 O206 O77 O202 O127 O161 O75" xr:uid="{19DE52DE-4E3C-4BAC-ADCF-C6ED63CB248D}">
      <formula1>$P$3:$P$240</formula1>
    </dataValidation>
    <dataValidation type="list" allowBlank="1" showInputMessage="1" showErrorMessage="1" sqref="O221 O211 O179 O156" xr:uid="{472A9D7F-2E34-46EF-83CD-352E6F3F143F}">
      <formula1>$P$3:$P$236</formula1>
    </dataValidation>
    <dataValidation type="list" allowBlank="1" showInputMessage="1" showErrorMessage="1" sqref="O210 O192 O176 O69" xr:uid="{80B4441A-8317-42F9-9CFA-44EF302F6DF2}">
      <formula1>$P$3:$P$235</formula1>
    </dataValidation>
    <dataValidation type="list" allowBlank="1" showInputMessage="1" showErrorMessage="1" sqref="O200 O181 O81:O82 O158 O84" xr:uid="{3B3E43A3-292E-4A3A-A99E-2E87F1A06E65}">
      <formula1>$P$3:$P$238</formula1>
    </dataValidation>
    <dataValidation type="list" allowBlank="1" showInputMessage="1" showErrorMessage="1" sqref="O85" xr:uid="{C6892C8A-A56B-4F38-A282-9D016B60A46F}">
      <formula1>$P$3:$P$244</formula1>
    </dataValidation>
    <dataValidation type="list" allowBlank="1" showInputMessage="1" showErrorMessage="1" sqref="P343:P344 P55 O346 P235" xr:uid="{05D182AA-62A6-41D3-9D8A-04B492CE58E4}">
      <formula1>$P$3:$P$247</formula1>
    </dataValidation>
    <dataValidation type="list" allowBlank="1" showInputMessage="1" showErrorMessage="1" sqref="I107" xr:uid="{86937F5E-F973-45A3-95A3-56B3B5E5591A}">
      <formula1>$J$3:$J$247</formula1>
    </dataValidation>
    <dataValidation type="list" allowBlank="1" showInputMessage="1" showErrorMessage="1" sqref="N95" xr:uid="{1351B80E-1380-4BA2-A4F6-545F4E77BA61}">
      <formula1>$N$3:$N$247</formula1>
    </dataValidation>
    <dataValidation type="list" allowBlank="1" showInputMessage="1" showErrorMessage="1" sqref="O252" xr:uid="{D999FBB9-BB75-4488-B0BB-FC8E3F97D126}">
      <formula1>$P$3:$P$252</formula1>
    </dataValidation>
    <dataValidation type="list" allowBlank="1" showInputMessage="1" showErrorMessage="1" sqref="I265:I285" xr:uid="{3A1C0DCF-7C11-42D0-A960-F5898342BA3A}">
      <formula1>$J$3:$J$252</formula1>
    </dataValidation>
    <dataValidation type="list" allowBlank="1" showInputMessage="1" showErrorMessage="1" sqref="O257" xr:uid="{3A3A322E-BD6C-4DBD-8FEF-71C89414DFBA}">
      <formula1>$P$3:$P$257</formula1>
    </dataValidation>
    <dataValidation type="list" allowBlank="1" showInputMessage="1" showErrorMessage="1" sqref="I130" xr:uid="{3613C81E-C6ED-4B32-9263-13A1893594F0}">
      <formula1>$J$3:$J$255</formula1>
    </dataValidation>
    <dataValidation type="list" allowBlank="1" showInputMessage="1" showErrorMessage="1" sqref="I269" xr:uid="{67DEC45C-DF55-4A1F-88EE-7057B0EB7038}">
      <formula1>$J$3:$J$257</formula1>
    </dataValidation>
    <dataValidation type="list" allowBlank="1" showInputMessage="1" showErrorMessage="1" sqref="O259" xr:uid="{86CD9AC2-150A-4993-B0A5-2A342266D2D0}">
      <formula1>$P$3:$P$259</formula1>
    </dataValidation>
    <dataValidation type="list" allowBlank="1" showInputMessage="1" showErrorMessage="1" sqref="O260" xr:uid="{37391028-7AAC-43F1-92E0-E03D51D7CCA2}">
      <formula1>$P$3:$P$260</formula1>
    </dataValidation>
    <dataValidation type="list" allowBlank="1" showInputMessage="1" showErrorMessage="1" sqref="I62" xr:uid="{02570200-D9AF-4EFA-B3FD-B21921F2262A}">
      <formula1>$J$3:$J$260</formula1>
    </dataValidation>
    <dataValidation type="list" allowBlank="1" showInputMessage="1" showErrorMessage="1" sqref="O272 O197 O262" xr:uid="{8D8E392C-6170-4C62-821D-AA9FD89CC065}">
      <formula1>$P$3:$P$272</formula1>
    </dataValidation>
    <dataValidation type="list" allowBlank="1" showInputMessage="1" showErrorMessage="1" sqref="O273" xr:uid="{6A644932-0589-45E2-9F52-59E38308BC9D}">
      <formula1>$P$3:$P$273</formula1>
    </dataValidation>
    <dataValidation type="list" allowBlank="1" showInputMessage="1" showErrorMessage="1" sqref="O274" xr:uid="{67490A87-4212-44C5-A633-62F1F0E0E7A1}">
      <formula1>$P$3:$P$274</formula1>
    </dataValidation>
    <dataValidation type="list" allowBlank="1" showInputMessage="1" showErrorMessage="1" sqref="I272" xr:uid="{59FD6F4E-7177-42FC-8017-FF3E9051CE22}">
      <formula1>$J$3:$J$273</formula1>
    </dataValidation>
    <dataValidation type="list" allowBlank="1" showInputMessage="1" showErrorMessage="1" sqref="O276" xr:uid="{62735905-2C52-4A31-B894-03842ACDAD62}">
      <formula1>$P$3:$P$276</formula1>
    </dataValidation>
    <dataValidation type="list" allowBlank="1" showInputMessage="1" showErrorMessage="1" sqref="I250 I236 I69" xr:uid="{350C9AA9-A046-48CD-AF2D-32C7D3D68C8E}">
      <formula1>$J$3:$J$272</formula1>
    </dataValidation>
    <dataValidation type="list" allowBlank="1" showInputMessage="1" showErrorMessage="1" sqref="I179" xr:uid="{3B26F4D5-E2C3-44E4-AF19-341DD78ABF32}">
      <formula1>$J$3:$J$274</formula1>
    </dataValidation>
    <dataValidation type="list" allowBlank="1" showInputMessage="1" showErrorMessage="1" sqref="O280 O93 O204 O256 O267" xr:uid="{97A95243-3109-4F23-8D04-F9FAF2B341AC}">
      <formula1>$P$3:$P$280</formula1>
    </dataValidation>
    <dataValidation type="list" allowBlank="1" showInputMessage="1" showErrorMessage="1" sqref="O278 O122 O240 O215 O253:O254 O97 O104 O266" xr:uid="{734FF666-F0F6-4EA6-9143-18EB2F50B464}">
      <formula1>$P$3:$P$278</formula1>
    </dataValidation>
    <dataValidation type="list" allowBlank="1" showInputMessage="1" showErrorMessage="1" sqref="I282 I109 I231:I232" xr:uid="{6ACF11EB-858C-4780-8725-6FFE24EBA979}">
      <formula1>$J$3:$J$283</formula1>
    </dataValidation>
    <dataValidation type="list" allowBlank="1" showInputMessage="1" showErrorMessage="1" sqref="O279" xr:uid="{2997F841-F248-48F9-B672-CDEA087F1711}">
      <formula1>$P$3:$P$279</formula1>
    </dataValidation>
    <dataValidation type="list" allowBlank="1" showInputMessage="1" showErrorMessage="1" sqref="I117" xr:uid="{03801798-00B5-4C41-897C-F73DF269A094}">
      <formula1>$J$3:$J$276</formula1>
    </dataValidation>
    <dataValidation type="list" allowBlank="1" showInputMessage="1" showErrorMessage="1" sqref="O286" xr:uid="{313B5AB1-CE34-429C-A721-1EA5C2001D97}">
      <formula1>$P$3:$P$286</formula1>
    </dataValidation>
    <dataValidation type="list" allowBlank="1" showInputMessage="1" showErrorMessage="1" sqref="O287:O288" xr:uid="{B8303A71-C7A7-42A2-A289-931408394A24}">
      <formula1>$P$3:$P$287</formula1>
    </dataValidation>
    <dataValidation type="list" allowBlank="1" showInputMessage="1" showErrorMessage="1" sqref="I267:I268 I131:I132 I218 I204 I76:I78 I143 I104:I105 I246" xr:uid="{A43547C6-C33C-4CD6-BAAF-10C020E1FB72}">
      <formula1>$J$3:$J$280</formula1>
    </dataValidation>
    <dataValidation type="list" allowBlank="1" showInputMessage="1" showErrorMessage="1" sqref="I183:I184 I225:I226 I126 I90 I118:I119" xr:uid="{F6C5F0B6-62A8-4F53-AF2A-EBF433BAF618}">
      <formula1>$J$3:$J$278</formula1>
    </dataValidation>
    <dataValidation type="list" allowBlank="1" showInputMessage="1" showErrorMessage="1" sqref="I103" xr:uid="{FBC66DDB-7D43-4BD1-9614-9F7242E377CA}">
      <formula1>$J$3:$J$279</formula1>
    </dataValidation>
    <dataValidation type="list" allowBlank="1" showInputMessage="1" showErrorMessage="1" sqref="I167" xr:uid="{F5E58C5F-69CF-4051-8DEB-B7DF3C48DDBC}">
      <formula1>$J$3:$J$284</formula1>
    </dataValidation>
    <dataValidation type="list" allowBlank="1" showInputMessage="1" showErrorMessage="1" sqref="O109" xr:uid="{97D317DE-CBD3-4D0D-AFC5-CC53B4B1866B}">
      <formula1>$P$3:$P$283</formula1>
    </dataValidation>
    <dataValidation type="list" allowBlank="1" showInputMessage="1" showErrorMessage="1" sqref="O139 O126 O118 O265 O277 O222:O223 O102 O251 O238 O263 N264" xr:uid="{5BBCC3FA-1EB7-45EB-B6AC-6C5B82019FFB}">
      <formula1>$P$3:$P$294</formula1>
    </dataValidation>
    <dataValidation type="list" allowBlank="1" showInputMessage="1" showErrorMessage="1" sqref="O271 O62:O64 O88:O90 O81:O84 O68:O75 O100 O136" xr:uid="{48AA7165-74FD-41AA-B843-130E51398F8F}">
      <formula1>$P$3:$P$285</formula1>
    </dataValidation>
    <dataValidation type="list" allowBlank="1" showInputMessage="1" showErrorMessage="1" sqref="I271" xr:uid="{2A9FFEC5-6A62-457B-9F41-1F75355B4648}">
      <formula1>$J$3:$J$287</formula1>
    </dataValidation>
    <dataValidation type="list" allowBlank="1" showInputMessage="1" showErrorMessage="1" sqref="I100" xr:uid="{553212EE-7603-4EBA-BB9B-698F9AA0EF54}">
      <formula1>$J$3:$J$286</formula1>
    </dataValidation>
    <dataValidation type="list" allowBlank="1" showInputMessage="1" showErrorMessage="1" sqref="O236 O275 O63 O152 O191 O249:O250" xr:uid="{B0EB9CC5-DBDD-4A06-AF55-486BD435311C}">
      <formula1>$P$3:$P$291</formula1>
    </dataValidation>
    <dataValidation type="list" allowBlank="1" showInputMessage="1" showErrorMessage="1" sqref="I197 I176:I177 I135 I154 I190 I68" xr:uid="{EC9E2352-1F2B-475C-AD32-5579AAC6EA21}">
      <formula1>$J$3:$J$291</formula1>
    </dataValidation>
    <dataValidation type="list" allowBlank="1" showInputMessage="1" showErrorMessage="1" sqref="I116 I138 I82 I199:I202 I70:I72 I212:I214 I182 I191:I193" xr:uid="{2E7EC4FB-56D4-4749-8144-9036EE6DC237}">
      <formula1>$J$3:$J$294</formula1>
    </dataValidation>
    <dataValidation type="list" allowBlank="1" showInputMessage="1" showErrorMessage="1" sqref="I49" xr:uid="{FA207392-344C-40FB-B555-28964055CE0C}">
      <formula1>$J$3:$J$56</formula1>
    </dataValidation>
    <dataValidation type="list" allowBlank="1" showInputMessage="1" showErrorMessage="1" sqref="I51" xr:uid="{B781EDB6-0149-42C1-9F2C-5C3D3B39FAF8}">
      <formula1>$J$3:$J$115</formula1>
    </dataValidation>
    <dataValidation type="list" allowBlank="1" showInputMessage="1" showErrorMessage="1" sqref="I52" xr:uid="{821CD49D-6916-4C30-86DA-89C076BCDAA7}">
      <formula1>$J$3:$J$160</formula1>
    </dataValidation>
  </dataValidations>
  <pageMargins left="0.70866141732283472" right="0.70866141732283472" top="0.74803149606299213" bottom="0.74803149606299213" header="0.31496062992125984" footer="0.31496062992125984"/>
  <pageSetup paperSize="8" fitToWidth="2"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CA43251D-5892-46AA-94D2-FEDAEB79E799}">
          <x14:formula1>
            <xm:f>Archived!$K$2:$K$6</xm:f>
          </x14:formula1>
          <xm:sqref>K365 K346 L55:L56 K377 K367 K379:K671 K45:K49 K40:K43 K29:K38 K23:K26 L347:L348 K20 K18 K11 K9 K3 K360 L350 K290 J264:J285 L87 L61 L80 K293 L99:L235 L343:L345 K209:L235 K286:K288 K249:L285 K51:K248 K301:K302 K304:K307 K314 K316 K319:K321 K371 K335 K337</xm:sqref>
        </x14:dataValidation>
        <x14:dataValidation type="list" allowBlank="1" showInputMessage="1" showErrorMessage="1" xr:uid="{C37AA017-3450-4718-9DE6-3BBC2D524412}">
          <x14:formula1>
            <xm:f>'Active Permit Account Overview'!$R$1:$R$2</xm:f>
          </x14:formula1>
          <xm:sqref>J29:J38 J22:J26 K348 J364:J365 J20 J18 J9 J11 J377 J367 J360 K350 J290 J40:J288 J292:J293 I264:I285 J301:J302 J304:J307 J314 J316 J319:J321 J371 J335 J337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R296"/>
  <sheetViews>
    <sheetView workbookViewId="0">
      <pane ySplit="1" topLeftCell="A2" activePane="bottomLeft" state="frozen"/>
      <selection pane="bottomLeft" activeCell="K16" sqref="K16"/>
    </sheetView>
  </sheetViews>
  <sheetFormatPr defaultRowHeight="15" x14ac:dyDescent="0.25"/>
  <cols>
    <col min="1" max="1" width="8.42578125" style="13" customWidth="1"/>
    <col min="2" max="2" width="24.85546875" customWidth="1"/>
    <col min="3" max="3" width="20" customWidth="1"/>
    <col min="4" max="4" width="15.7109375" customWidth="1"/>
    <col min="5" max="5" width="6" customWidth="1"/>
    <col min="6" max="6" width="15.7109375" customWidth="1"/>
    <col min="7" max="7" width="11.140625" customWidth="1"/>
    <col min="8" max="8" width="10.7109375" customWidth="1"/>
    <col min="9" max="9" width="13.140625" customWidth="1"/>
    <col min="10" max="10" width="6.7109375" customWidth="1"/>
    <col min="11" max="11" width="15.28515625" customWidth="1"/>
    <col min="12" max="12" width="14.140625" customWidth="1"/>
    <col min="13" max="14" width="15.7109375" customWidth="1"/>
    <col min="15" max="15" width="18.42578125" customWidth="1"/>
    <col min="16" max="16" width="18.28515625" customWidth="1"/>
  </cols>
  <sheetData>
    <row r="1" spans="1:18" ht="29.25" customHeight="1" thickBot="1" x14ac:dyDescent="0.3">
      <c r="A1" s="115">
        <v>2</v>
      </c>
      <c r="B1" s="116" t="s">
        <v>2679</v>
      </c>
      <c r="C1" s="116" t="s">
        <v>6</v>
      </c>
      <c r="D1" s="116" t="s">
        <v>2680</v>
      </c>
      <c r="E1" s="119" t="s">
        <v>2681</v>
      </c>
      <c r="F1" s="116" t="s">
        <v>2682</v>
      </c>
      <c r="G1" s="116" t="s">
        <v>38</v>
      </c>
      <c r="H1" s="116" t="s">
        <v>2683</v>
      </c>
      <c r="I1" s="116" t="s">
        <v>2684</v>
      </c>
      <c r="J1" s="120" t="s">
        <v>2685</v>
      </c>
      <c r="M1" s="238" t="s">
        <v>2686</v>
      </c>
      <c r="N1" s="239"/>
      <c r="O1" s="238" t="s">
        <v>2687</v>
      </c>
      <c r="P1" s="239"/>
      <c r="R1" s="106" t="s">
        <v>103</v>
      </c>
    </row>
    <row r="2" spans="1:18" ht="16.5" thickTop="1" thickBot="1" x14ac:dyDescent="0.3">
      <c r="A2" s="166"/>
      <c r="D2" s="54"/>
      <c r="E2" s="114"/>
      <c r="G2" s="54"/>
      <c r="J2" s="108"/>
      <c r="M2" s="234">
        <f>SUM(O3:O745)</f>
        <v>73929</v>
      </c>
      <c r="N2" s="235"/>
      <c r="O2" s="236">
        <f>SUM(I2:I745)</f>
        <v>132220.92909090905</v>
      </c>
      <c r="P2" s="237"/>
      <c r="R2" s="106" t="s">
        <v>94</v>
      </c>
    </row>
    <row r="3" spans="1:18" x14ac:dyDescent="0.25">
      <c r="A3" s="166">
        <v>989</v>
      </c>
      <c r="B3" t="s">
        <v>593</v>
      </c>
      <c r="C3" t="s">
        <v>594</v>
      </c>
      <c r="D3" s="54">
        <v>171</v>
      </c>
      <c r="E3" s="114" t="b">
        <v>1</v>
      </c>
      <c r="F3" s="113">
        <f t="shared" ref="F3:F117" si="0">IF(J3=TRUE,0,IF(AND(E3=TRUE,M3="YES"),L3,IF(E3=TRUE,K3,0)))</f>
        <v>150</v>
      </c>
      <c r="G3" s="54">
        <v>0</v>
      </c>
      <c r="H3" s="113">
        <f t="shared" ref="H3" si="1">D3*10%/(1+10%)</f>
        <v>15.545454545454545</v>
      </c>
      <c r="I3" s="113">
        <f t="shared" ref="I3:I4" si="2">IF(M3="YES",D3-K3-G3-H3-L3,D3-K3-G3-H3)</f>
        <v>5.454545454545455</v>
      </c>
      <c r="J3" s="108"/>
      <c r="K3" s="106">
        <v>150</v>
      </c>
      <c r="L3" s="106">
        <f t="shared" ref="L3:L141" si="3">IF(D3+N3&gt;=1600,1360,1360)</f>
        <v>1360</v>
      </c>
      <c r="M3" s="184" t="s">
        <v>94</v>
      </c>
      <c r="N3" s="41"/>
      <c r="O3" s="112" t="str">
        <f t="shared" ref="O3:O182" si="4">IF(F3&gt;=500,F3,"")</f>
        <v/>
      </c>
      <c r="P3" s="13"/>
      <c r="R3" s="106"/>
    </row>
    <row r="4" spans="1:18" x14ac:dyDescent="0.25">
      <c r="A4" s="166">
        <v>988</v>
      </c>
      <c r="B4" t="s">
        <v>508</v>
      </c>
      <c r="C4" t="s">
        <v>511</v>
      </c>
      <c r="D4" s="54">
        <v>2417</v>
      </c>
      <c r="E4" s="114" t="b">
        <v>1</v>
      </c>
      <c r="F4" s="113">
        <f t="shared" si="0"/>
        <v>1360</v>
      </c>
      <c r="G4" s="54">
        <v>24.31</v>
      </c>
      <c r="H4" s="113">
        <f t="shared" ref="H4" si="5">D4*10%/(1+10%)</f>
        <v>219.72727272727272</v>
      </c>
      <c r="I4" s="113">
        <f t="shared" si="2"/>
        <v>812.96272727272753</v>
      </c>
      <c r="J4" s="108"/>
      <c r="K4" s="106"/>
      <c r="L4" s="106">
        <f t="shared" si="3"/>
        <v>1360</v>
      </c>
      <c r="M4" s="184" t="s">
        <v>103</v>
      </c>
      <c r="N4" s="165">
        <v>442</v>
      </c>
      <c r="O4" s="112">
        <f t="shared" si="4"/>
        <v>1360</v>
      </c>
      <c r="P4" s="13"/>
      <c r="R4" s="106"/>
    </row>
    <row r="5" spans="1:18" x14ac:dyDescent="0.25">
      <c r="A5" s="166">
        <v>987</v>
      </c>
      <c r="B5" t="s">
        <v>3261</v>
      </c>
      <c r="C5" t="s">
        <v>3262</v>
      </c>
      <c r="D5" s="54">
        <v>447</v>
      </c>
      <c r="E5" s="114" t="b">
        <v>1</v>
      </c>
      <c r="F5" s="113">
        <f t="shared" si="0"/>
        <v>0</v>
      </c>
      <c r="G5" s="54">
        <v>0</v>
      </c>
      <c r="H5" s="113">
        <f t="shared" ref="H5" si="6">D5*10%/(1+10%)</f>
        <v>40.636363636363633</v>
      </c>
      <c r="I5" s="113">
        <f t="shared" ref="I5:I6" si="7">IF(M5="YES",D5-K5-G5-H5-L5,D5-K5-G5-H5)</f>
        <v>406.36363636363637</v>
      </c>
      <c r="J5" s="108" t="b">
        <v>1</v>
      </c>
      <c r="K5" s="106">
        <v>0</v>
      </c>
      <c r="L5" s="106">
        <f t="shared" si="3"/>
        <v>1360</v>
      </c>
      <c r="M5" s="184" t="s">
        <v>94</v>
      </c>
      <c r="N5" s="41"/>
      <c r="O5" s="112" t="str">
        <f t="shared" si="4"/>
        <v/>
      </c>
      <c r="P5" s="13"/>
      <c r="R5" s="106"/>
    </row>
    <row r="6" spans="1:18" x14ac:dyDescent="0.25">
      <c r="A6" s="166">
        <v>986</v>
      </c>
      <c r="B6" t="s">
        <v>693</v>
      </c>
      <c r="C6" t="s">
        <v>695</v>
      </c>
      <c r="D6" s="54">
        <v>1950</v>
      </c>
      <c r="E6" s="114" t="b">
        <v>1</v>
      </c>
      <c r="F6" s="113">
        <f t="shared" si="0"/>
        <v>1360</v>
      </c>
      <c r="G6" s="54">
        <v>25.04</v>
      </c>
      <c r="H6" s="113">
        <f t="shared" ref="H6" si="8">D6*10%/(1+10%)</f>
        <v>177.27272727272725</v>
      </c>
      <c r="I6" s="113">
        <f t="shared" si="7"/>
        <v>387.68727272727278</v>
      </c>
      <c r="J6" s="108"/>
      <c r="K6" s="106"/>
      <c r="L6" s="106">
        <f t="shared" si="3"/>
        <v>1360</v>
      </c>
      <c r="M6" s="184" t="s">
        <v>103</v>
      </c>
      <c r="N6" s="165">
        <v>433</v>
      </c>
      <c r="O6" s="112">
        <f t="shared" si="4"/>
        <v>1360</v>
      </c>
      <c r="P6" s="13"/>
      <c r="R6" s="106"/>
    </row>
    <row r="7" spans="1:18" x14ac:dyDescent="0.25">
      <c r="A7" s="166">
        <v>985</v>
      </c>
      <c r="B7" t="s">
        <v>3260</v>
      </c>
      <c r="C7" t="s">
        <v>2717</v>
      </c>
      <c r="D7" s="54">
        <v>1292</v>
      </c>
      <c r="E7" s="114"/>
      <c r="F7" s="113">
        <f t="shared" si="0"/>
        <v>0</v>
      </c>
      <c r="G7" s="54">
        <v>0</v>
      </c>
      <c r="H7" s="113">
        <f t="shared" ref="H7" si="9">D7*10%/(1+10%)</f>
        <v>117.45454545454547</v>
      </c>
      <c r="I7" s="113">
        <f t="shared" ref="I7" si="10">IF(M7="YES",D7-K7-G7-H7-L7,D7-K7-G7-H7)</f>
        <v>524.5454545454545</v>
      </c>
      <c r="J7" s="108"/>
      <c r="K7" s="106">
        <v>650</v>
      </c>
      <c r="L7" s="106">
        <f t="shared" si="3"/>
        <v>1360</v>
      </c>
      <c r="M7" s="184" t="s">
        <v>94</v>
      </c>
      <c r="N7" s="41"/>
      <c r="O7" s="112" t="str">
        <f t="shared" si="4"/>
        <v/>
      </c>
      <c r="P7" s="13"/>
      <c r="R7" s="106"/>
    </row>
    <row r="8" spans="1:18" x14ac:dyDescent="0.25">
      <c r="A8" s="166">
        <v>983</v>
      </c>
      <c r="B8" t="s">
        <v>2568</v>
      </c>
      <c r="C8" t="s">
        <v>3259</v>
      </c>
      <c r="D8" s="54">
        <v>470</v>
      </c>
      <c r="E8" s="114" t="b">
        <v>1</v>
      </c>
      <c r="F8" s="113">
        <f t="shared" si="0"/>
        <v>0</v>
      </c>
      <c r="G8" s="54">
        <v>24.04</v>
      </c>
      <c r="H8" s="113">
        <f t="shared" ref="H8" si="11">D8*10%/(1+10%)</f>
        <v>42.727272727272727</v>
      </c>
      <c r="I8" s="113">
        <f t="shared" ref="I8:I9" si="12">IF(M8="YES",D8-K8-G8-H8-L8,D8-K8-G8-H8)</f>
        <v>403.23272727272723</v>
      </c>
      <c r="J8" s="108" t="b">
        <v>1</v>
      </c>
      <c r="K8" s="106">
        <v>0</v>
      </c>
      <c r="L8" s="106">
        <f t="shared" si="3"/>
        <v>1360</v>
      </c>
      <c r="M8" s="184" t="s">
        <v>94</v>
      </c>
      <c r="N8" s="41"/>
      <c r="O8" s="112" t="str">
        <f t="shared" si="4"/>
        <v/>
      </c>
      <c r="P8" s="13"/>
      <c r="R8" s="106"/>
    </row>
    <row r="9" spans="1:18" x14ac:dyDescent="0.25">
      <c r="A9" s="166">
        <v>982</v>
      </c>
      <c r="B9" t="s">
        <v>587</v>
      </c>
      <c r="C9" t="s">
        <v>590</v>
      </c>
      <c r="D9" s="54">
        <v>2369</v>
      </c>
      <c r="E9" s="114" t="b">
        <v>1</v>
      </c>
      <c r="F9" s="113">
        <f t="shared" si="0"/>
        <v>1360</v>
      </c>
      <c r="G9" s="54">
        <v>25.04</v>
      </c>
      <c r="H9" s="113">
        <f t="shared" ref="H9" si="13">D9*10%/(1+10%)</f>
        <v>215.36363636363635</v>
      </c>
      <c r="I9" s="113">
        <f t="shared" si="12"/>
        <v>768.59636363636355</v>
      </c>
      <c r="J9" s="108"/>
      <c r="K9" s="106"/>
      <c r="L9" s="106">
        <f t="shared" si="3"/>
        <v>1360</v>
      </c>
      <c r="M9" s="184" t="s">
        <v>103</v>
      </c>
      <c r="N9" s="165">
        <v>435</v>
      </c>
      <c r="O9" s="112">
        <f t="shared" si="4"/>
        <v>1360</v>
      </c>
      <c r="P9" s="13"/>
      <c r="R9" s="106"/>
    </row>
    <row r="10" spans="1:18" x14ac:dyDescent="0.25">
      <c r="A10" s="166">
        <v>979</v>
      </c>
      <c r="B10" t="s">
        <v>2689</v>
      </c>
      <c r="C10" t="s">
        <v>675</v>
      </c>
      <c r="D10" s="54">
        <v>442</v>
      </c>
      <c r="E10" s="114" t="b">
        <v>1</v>
      </c>
      <c r="F10" s="113">
        <f t="shared" si="0"/>
        <v>0</v>
      </c>
      <c r="G10" s="54">
        <v>0</v>
      </c>
      <c r="H10" s="113">
        <f t="shared" ref="H10" si="14">D10*10%/(1+10%)</f>
        <v>40.18181818181818</v>
      </c>
      <c r="I10" s="113">
        <f t="shared" ref="I10:I15" si="15">IF(M10="YES",D10-K10-G10-H10-L10,D10-K10-G10-H10)</f>
        <v>401.81818181818181</v>
      </c>
      <c r="J10" s="108" t="b">
        <v>1</v>
      </c>
      <c r="K10" s="106">
        <v>0</v>
      </c>
      <c r="L10" s="106">
        <f t="shared" si="3"/>
        <v>1360</v>
      </c>
      <c r="M10" s="184" t="s">
        <v>94</v>
      </c>
      <c r="N10" s="41"/>
      <c r="O10" s="112" t="str">
        <f t="shared" si="4"/>
        <v/>
      </c>
      <c r="P10" s="13"/>
      <c r="R10" s="106"/>
    </row>
    <row r="11" spans="1:18" x14ac:dyDescent="0.25">
      <c r="A11" s="166">
        <v>978</v>
      </c>
      <c r="B11" t="s">
        <v>2690</v>
      </c>
      <c r="C11" t="s">
        <v>2691</v>
      </c>
      <c r="D11" s="54">
        <v>525</v>
      </c>
      <c r="E11" s="114"/>
      <c r="F11" s="113">
        <f t="shared" si="0"/>
        <v>0</v>
      </c>
      <c r="G11" s="54">
        <v>0</v>
      </c>
      <c r="H11" s="113">
        <f t="shared" ref="H11" si="16">D11*10%/(1+10%)</f>
        <v>47.727272727272727</v>
      </c>
      <c r="I11" s="113">
        <f t="shared" si="15"/>
        <v>477.27272727272725</v>
      </c>
      <c r="J11" s="108"/>
      <c r="K11" s="106">
        <v>0</v>
      </c>
      <c r="L11" s="106">
        <f t="shared" si="3"/>
        <v>1360</v>
      </c>
      <c r="M11" s="184" t="s">
        <v>94</v>
      </c>
      <c r="N11" s="41"/>
      <c r="O11" s="112" t="str">
        <f t="shared" si="4"/>
        <v/>
      </c>
      <c r="P11" s="13"/>
      <c r="R11" s="106"/>
    </row>
    <row r="12" spans="1:18" x14ac:dyDescent="0.25">
      <c r="A12" s="166">
        <v>977</v>
      </c>
      <c r="B12" t="s">
        <v>581</v>
      </c>
      <c r="C12" t="s">
        <v>2692</v>
      </c>
      <c r="D12" s="54">
        <v>969</v>
      </c>
      <c r="E12" s="114"/>
      <c r="F12" s="113">
        <f t="shared" si="0"/>
        <v>0</v>
      </c>
      <c r="G12" s="54">
        <v>0</v>
      </c>
      <c r="H12" s="113">
        <f t="shared" ref="H12" si="17">D12*10%/(1+10%)</f>
        <v>88.090909090909093</v>
      </c>
      <c r="I12" s="113">
        <f t="shared" si="15"/>
        <v>240.90909090909091</v>
      </c>
      <c r="J12" s="108"/>
      <c r="K12" s="106">
        <v>640</v>
      </c>
      <c r="L12" s="106">
        <f t="shared" si="3"/>
        <v>1360</v>
      </c>
      <c r="M12" s="184" t="s">
        <v>94</v>
      </c>
      <c r="N12" s="41"/>
      <c r="O12" s="112" t="str">
        <f t="shared" si="4"/>
        <v/>
      </c>
      <c r="P12" s="13"/>
      <c r="R12" s="106"/>
    </row>
    <row r="13" spans="1:18" x14ac:dyDescent="0.25">
      <c r="A13" s="166">
        <v>976</v>
      </c>
      <c r="B13" t="s">
        <v>2693</v>
      </c>
      <c r="C13" t="s">
        <v>2694</v>
      </c>
      <c r="D13" s="54">
        <v>495</v>
      </c>
      <c r="E13" s="114" t="b">
        <v>1</v>
      </c>
      <c r="F13" s="113">
        <f t="shared" si="0"/>
        <v>0</v>
      </c>
      <c r="G13" s="54">
        <v>0</v>
      </c>
      <c r="H13" s="113">
        <f t="shared" ref="H13" si="18">D13*10%/(1+10%)</f>
        <v>44.999999999999993</v>
      </c>
      <c r="I13" s="113">
        <f t="shared" si="15"/>
        <v>450</v>
      </c>
      <c r="J13" s="108"/>
      <c r="K13" s="106">
        <v>0</v>
      </c>
      <c r="L13" s="106">
        <f t="shared" si="3"/>
        <v>1360</v>
      </c>
      <c r="M13" s="184" t="s">
        <v>94</v>
      </c>
      <c r="N13" s="41"/>
      <c r="O13" s="112" t="str">
        <f t="shared" si="4"/>
        <v/>
      </c>
      <c r="P13" s="13"/>
      <c r="R13" s="106"/>
    </row>
    <row r="14" spans="1:18" x14ac:dyDescent="0.25">
      <c r="A14" s="166">
        <v>975</v>
      </c>
      <c r="B14" t="s">
        <v>2695</v>
      </c>
      <c r="C14" t="s">
        <v>2696</v>
      </c>
      <c r="D14" s="54">
        <v>468</v>
      </c>
      <c r="E14" s="114"/>
      <c r="F14" s="113">
        <f t="shared" si="0"/>
        <v>0</v>
      </c>
      <c r="G14" s="54">
        <v>0</v>
      </c>
      <c r="H14" s="113">
        <f t="shared" ref="H14" si="19">D14*10%/(1+10%)</f>
        <v>42.545454545454547</v>
      </c>
      <c r="I14" s="113">
        <f t="shared" si="15"/>
        <v>425.45454545454544</v>
      </c>
      <c r="J14" s="108"/>
      <c r="K14" s="106">
        <v>0</v>
      </c>
      <c r="L14" s="106">
        <f t="shared" si="3"/>
        <v>1360</v>
      </c>
      <c r="M14" s="184" t="s">
        <v>94</v>
      </c>
      <c r="N14" s="41"/>
      <c r="O14" s="112" t="str">
        <f t="shared" si="4"/>
        <v/>
      </c>
      <c r="P14" s="13"/>
      <c r="R14" s="106"/>
    </row>
    <row r="15" spans="1:18" x14ac:dyDescent="0.25">
      <c r="A15" s="166">
        <v>974</v>
      </c>
      <c r="B15" t="s">
        <v>469</v>
      </c>
      <c r="C15" t="s">
        <v>471</v>
      </c>
      <c r="D15" s="54">
        <v>2005</v>
      </c>
      <c r="E15" s="114" t="b">
        <v>1</v>
      </c>
      <c r="F15" s="113">
        <f t="shared" si="0"/>
        <v>1360</v>
      </c>
      <c r="G15" s="54">
        <v>24.31</v>
      </c>
      <c r="H15" s="113">
        <f t="shared" ref="H15" si="20">D15*10%/(1+10%)</f>
        <v>182.27272727272725</v>
      </c>
      <c r="I15" s="113">
        <f t="shared" si="15"/>
        <v>438.4172727272728</v>
      </c>
      <c r="J15" s="108"/>
      <c r="K15" s="106"/>
      <c r="L15" s="106">
        <f t="shared" si="3"/>
        <v>1360</v>
      </c>
      <c r="M15" s="184" t="s">
        <v>103</v>
      </c>
      <c r="N15" s="165">
        <v>454</v>
      </c>
      <c r="O15" s="112">
        <f t="shared" si="4"/>
        <v>1360</v>
      </c>
      <c r="P15" s="13"/>
      <c r="R15" s="106"/>
    </row>
    <row r="16" spans="1:18" x14ac:dyDescent="0.25">
      <c r="A16" s="166">
        <v>973</v>
      </c>
      <c r="B16" t="s">
        <v>538</v>
      </c>
      <c r="C16" t="s">
        <v>541</v>
      </c>
      <c r="D16" s="54">
        <v>2347</v>
      </c>
      <c r="E16" s="114" t="b">
        <v>1</v>
      </c>
      <c r="F16" s="113">
        <f t="shared" si="0"/>
        <v>1360</v>
      </c>
      <c r="G16" s="54">
        <v>24.31</v>
      </c>
      <c r="H16" s="113">
        <f t="shared" ref="H16" si="21">D16*10%/(1+10%)</f>
        <v>213.36363636363637</v>
      </c>
      <c r="I16" s="113">
        <f t="shared" ref="I16" si="22">IF(M16="YES",D16-K16-G16-H16-L16,D16-K16-G16-H16)</f>
        <v>749.32636363636357</v>
      </c>
      <c r="J16" s="108" t="b">
        <v>0</v>
      </c>
      <c r="K16" s="106"/>
      <c r="L16" s="106">
        <f t="shared" si="3"/>
        <v>1360</v>
      </c>
      <c r="M16" s="184" t="s">
        <v>103</v>
      </c>
      <c r="N16" s="165">
        <v>447</v>
      </c>
      <c r="O16" s="112">
        <f t="shared" si="4"/>
        <v>1360</v>
      </c>
      <c r="P16" s="13"/>
      <c r="R16" s="106"/>
    </row>
    <row r="17" spans="1:18" x14ac:dyDescent="0.25">
      <c r="A17" s="166">
        <v>972</v>
      </c>
      <c r="B17" t="s">
        <v>544</v>
      </c>
      <c r="C17" t="s">
        <v>546</v>
      </c>
      <c r="D17" s="54">
        <v>1155</v>
      </c>
      <c r="E17" s="114" t="b">
        <v>1</v>
      </c>
      <c r="F17" s="113">
        <f t="shared" si="0"/>
        <v>0</v>
      </c>
      <c r="G17" s="54">
        <v>0</v>
      </c>
      <c r="H17" s="113">
        <f t="shared" ref="H17" si="23">D17*10%/(1+10%)</f>
        <v>104.99999999999999</v>
      </c>
      <c r="I17" s="113">
        <f t="shared" ref="I17:I21" si="24">IF(M17="YES",D17-K17-G17-H17-L17,D17-K17-G17-H17)</f>
        <v>336</v>
      </c>
      <c r="J17" s="108" t="b">
        <v>1</v>
      </c>
      <c r="K17" s="106">
        <v>714</v>
      </c>
      <c r="L17" s="106">
        <f t="shared" si="3"/>
        <v>1360</v>
      </c>
      <c r="M17" s="184" t="s">
        <v>94</v>
      </c>
      <c r="N17" s="41"/>
      <c r="O17" s="112" t="str">
        <f t="shared" si="4"/>
        <v/>
      </c>
      <c r="P17" s="13"/>
      <c r="R17" s="106"/>
    </row>
    <row r="18" spans="1:18" x14ac:dyDescent="0.25">
      <c r="A18" s="166">
        <v>971</v>
      </c>
      <c r="B18" t="s">
        <v>710</v>
      </c>
      <c r="C18" t="s">
        <v>713</v>
      </c>
      <c r="D18" s="54">
        <v>1155</v>
      </c>
      <c r="E18" s="114" t="b">
        <v>1</v>
      </c>
      <c r="F18" s="113">
        <f t="shared" si="0"/>
        <v>0</v>
      </c>
      <c r="G18" s="54">
        <v>0</v>
      </c>
      <c r="H18" s="113">
        <f t="shared" ref="H18" si="25">D18*10%/(1+10%)</f>
        <v>104.99999999999999</v>
      </c>
      <c r="I18" s="113">
        <f t="shared" si="24"/>
        <v>550</v>
      </c>
      <c r="J18" s="108" t="b">
        <v>1</v>
      </c>
      <c r="K18" s="106">
        <v>500</v>
      </c>
      <c r="L18" s="106">
        <f t="shared" si="3"/>
        <v>1360</v>
      </c>
      <c r="M18" s="184" t="s">
        <v>94</v>
      </c>
      <c r="N18" s="41"/>
      <c r="O18" s="112" t="str">
        <f t="shared" si="4"/>
        <v/>
      </c>
      <c r="P18" s="13"/>
      <c r="R18" s="106"/>
    </row>
    <row r="19" spans="1:18" x14ac:dyDescent="0.25">
      <c r="A19" s="166">
        <v>970</v>
      </c>
      <c r="B19" t="s">
        <v>661</v>
      </c>
      <c r="C19" t="s">
        <v>663</v>
      </c>
      <c r="D19" s="54">
        <v>420</v>
      </c>
      <c r="E19" s="114" t="b">
        <v>1</v>
      </c>
      <c r="F19" s="113">
        <f t="shared" si="0"/>
        <v>0</v>
      </c>
      <c r="G19" s="54">
        <v>0</v>
      </c>
      <c r="H19" s="113">
        <f t="shared" ref="H19" si="26">D19*10%/(1+10%)</f>
        <v>38.18181818181818</v>
      </c>
      <c r="I19" s="113">
        <f t="shared" si="24"/>
        <v>381.81818181818181</v>
      </c>
      <c r="J19" s="108" t="b">
        <v>1</v>
      </c>
      <c r="K19" s="106">
        <v>0</v>
      </c>
      <c r="L19" s="106">
        <f t="shared" si="3"/>
        <v>1360</v>
      </c>
      <c r="M19" s="184" t="s">
        <v>94</v>
      </c>
      <c r="N19" s="41"/>
      <c r="O19" s="112" t="str">
        <f t="shared" si="4"/>
        <v/>
      </c>
      <c r="P19" s="13"/>
      <c r="R19" s="106"/>
    </row>
    <row r="20" spans="1:18" x14ac:dyDescent="0.25">
      <c r="A20" s="166">
        <v>969</v>
      </c>
      <c r="B20" t="s">
        <v>532</v>
      </c>
      <c r="C20" t="s">
        <v>535</v>
      </c>
      <c r="D20" s="54">
        <v>1840</v>
      </c>
      <c r="E20" s="114" t="b">
        <v>1</v>
      </c>
      <c r="F20" s="113">
        <f t="shared" si="0"/>
        <v>0</v>
      </c>
      <c r="G20" s="54">
        <v>0</v>
      </c>
      <c r="H20" s="113">
        <f t="shared" ref="H20" si="27">D20*10%/(1+10%)</f>
        <v>167.27272727272725</v>
      </c>
      <c r="I20" s="113">
        <f t="shared" si="24"/>
        <v>332.72727272727275</v>
      </c>
      <c r="J20" s="108" t="b">
        <v>1</v>
      </c>
      <c r="K20" s="106">
        <v>1340</v>
      </c>
      <c r="L20" s="106">
        <f t="shared" si="3"/>
        <v>1360</v>
      </c>
      <c r="M20" s="184" t="s">
        <v>94</v>
      </c>
      <c r="N20" s="41"/>
      <c r="O20" s="112" t="str">
        <f t="shared" si="4"/>
        <v/>
      </c>
      <c r="P20" s="13"/>
      <c r="R20" s="106"/>
    </row>
    <row r="21" spans="1:18" x14ac:dyDescent="0.25">
      <c r="A21" s="166">
        <v>968</v>
      </c>
      <c r="B21" t="s">
        <v>337</v>
      </c>
      <c r="C21" t="s">
        <v>340</v>
      </c>
      <c r="D21" s="54">
        <v>2705</v>
      </c>
      <c r="E21" s="114" t="b">
        <v>1</v>
      </c>
      <c r="F21" s="113">
        <f t="shared" si="0"/>
        <v>1360</v>
      </c>
      <c r="G21" s="54">
        <v>24.31</v>
      </c>
      <c r="H21" s="113">
        <f t="shared" ref="H21" si="28">D21*10%/(1+10%)</f>
        <v>245.90909090909088</v>
      </c>
      <c r="I21" s="113">
        <f t="shared" si="24"/>
        <v>1074.7809090909091</v>
      </c>
      <c r="J21" s="108"/>
      <c r="K21" s="106"/>
      <c r="L21" s="106">
        <f t="shared" si="3"/>
        <v>1360</v>
      </c>
      <c r="M21" s="184" t="s">
        <v>103</v>
      </c>
      <c r="N21" s="165">
        <v>515</v>
      </c>
      <c r="O21" s="112">
        <f t="shared" si="4"/>
        <v>1360</v>
      </c>
      <c r="P21" s="13"/>
      <c r="R21" s="106"/>
    </row>
    <row r="22" spans="1:18" x14ac:dyDescent="0.25">
      <c r="A22" s="166">
        <v>966</v>
      </c>
      <c r="B22" t="s">
        <v>2697</v>
      </c>
      <c r="C22" t="s">
        <v>652</v>
      </c>
      <c r="D22" s="54">
        <v>490</v>
      </c>
      <c r="E22" s="114" t="b">
        <v>1</v>
      </c>
      <c r="F22" s="113">
        <f t="shared" si="0"/>
        <v>0</v>
      </c>
      <c r="G22" s="54">
        <v>0</v>
      </c>
      <c r="H22" s="113">
        <f t="shared" ref="H22" si="29">D22*10%/(1+10%)</f>
        <v>44.54545454545454</v>
      </c>
      <c r="I22" s="113">
        <f t="shared" ref="I22:I31" si="30">IF(M22="YES",D22-K22-G22-H22-L22,D22-K22-G22-H22)</f>
        <v>445.45454545454544</v>
      </c>
      <c r="J22" s="108" t="b">
        <v>1</v>
      </c>
      <c r="K22" s="106">
        <v>0</v>
      </c>
      <c r="L22" s="106">
        <f t="shared" si="3"/>
        <v>1360</v>
      </c>
      <c r="M22" s="184" t="s">
        <v>94</v>
      </c>
      <c r="N22" s="41"/>
      <c r="O22" s="112" t="str">
        <f t="shared" si="4"/>
        <v/>
      </c>
      <c r="P22" s="13"/>
      <c r="R22" s="106"/>
    </row>
    <row r="23" spans="1:18" x14ac:dyDescent="0.25">
      <c r="A23" s="166">
        <v>965</v>
      </c>
      <c r="B23" t="s">
        <v>2698</v>
      </c>
      <c r="C23" t="s">
        <v>646</v>
      </c>
      <c r="D23" s="54">
        <v>436</v>
      </c>
      <c r="E23" s="114" t="b">
        <v>1</v>
      </c>
      <c r="F23" s="113">
        <f t="shared" si="0"/>
        <v>0</v>
      </c>
      <c r="G23" s="54">
        <v>0</v>
      </c>
      <c r="H23" s="113">
        <f t="shared" ref="H23" si="31">D23*10%/(1+10%)</f>
        <v>39.636363636363633</v>
      </c>
      <c r="I23" s="113">
        <f t="shared" si="30"/>
        <v>396.36363636363637</v>
      </c>
      <c r="J23" s="108" t="b">
        <v>1</v>
      </c>
      <c r="K23" s="106">
        <v>0</v>
      </c>
      <c r="L23" s="106">
        <f t="shared" si="3"/>
        <v>1360</v>
      </c>
      <c r="M23" s="184" t="s">
        <v>94</v>
      </c>
      <c r="N23" s="41"/>
      <c r="O23" s="112" t="str">
        <f t="shared" si="4"/>
        <v/>
      </c>
      <c r="P23" s="13"/>
      <c r="R23" s="106"/>
    </row>
    <row r="24" spans="1:18" x14ac:dyDescent="0.25">
      <c r="A24" s="166">
        <v>964</v>
      </c>
      <c r="B24" t="s">
        <v>2699</v>
      </c>
      <c r="C24" t="s">
        <v>2700</v>
      </c>
      <c r="D24" s="54">
        <v>447</v>
      </c>
      <c r="E24" s="114" t="b">
        <v>1</v>
      </c>
      <c r="F24" s="113">
        <f t="shared" si="0"/>
        <v>0</v>
      </c>
      <c r="G24" s="54">
        <v>0</v>
      </c>
      <c r="H24" s="113">
        <f t="shared" ref="H24" si="32">D24*10%/(1+10%)</f>
        <v>40.636363636363633</v>
      </c>
      <c r="I24" s="113">
        <f t="shared" si="30"/>
        <v>406.36363636363637</v>
      </c>
      <c r="J24" s="108" t="b">
        <v>1</v>
      </c>
      <c r="K24" s="106">
        <v>0</v>
      </c>
      <c r="L24" s="106">
        <f t="shared" si="3"/>
        <v>1360</v>
      </c>
      <c r="M24" s="184" t="s">
        <v>94</v>
      </c>
      <c r="N24" s="41"/>
      <c r="O24" s="112" t="str">
        <f t="shared" si="4"/>
        <v/>
      </c>
      <c r="P24" s="13"/>
      <c r="R24" s="106"/>
    </row>
    <row r="25" spans="1:18" x14ac:dyDescent="0.25">
      <c r="A25" s="166">
        <v>963</v>
      </c>
      <c r="B25" t="s">
        <v>411</v>
      </c>
      <c r="C25" t="s">
        <v>413</v>
      </c>
      <c r="D25" s="54">
        <v>2005</v>
      </c>
      <c r="E25" s="114" t="b">
        <v>1</v>
      </c>
      <c r="F25" s="113">
        <f t="shared" si="0"/>
        <v>1360</v>
      </c>
      <c r="G25" s="54">
        <v>24.31</v>
      </c>
      <c r="H25" s="113">
        <f t="shared" ref="H25" si="33">D25*10%/(1+10%)</f>
        <v>182.27272727272725</v>
      </c>
      <c r="I25" s="113">
        <f t="shared" si="30"/>
        <v>438.4172727272728</v>
      </c>
      <c r="J25" s="108"/>
      <c r="K25" s="106"/>
      <c r="L25" s="106">
        <f t="shared" si="3"/>
        <v>1360</v>
      </c>
      <c r="M25" s="184" t="s">
        <v>103</v>
      </c>
      <c r="N25" s="165">
        <v>476</v>
      </c>
      <c r="O25" s="112">
        <f t="shared" si="4"/>
        <v>1360</v>
      </c>
      <c r="P25" s="13"/>
      <c r="R25" s="106"/>
    </row>
    <row r="26" spans="1:18" x14ac:dyDescent="0.25">
      <c r="A26" s="166">
        <v>962</v>
      </c>
      <c r="B26" t="s">
        <v>520</v>
      </c>
      <c r="C26" t="s">
        <v>2701</v>
      </c>
      <c r="D26" s="54">
        <v>2505</v>
      </c>
      <c r="E26" s="114" t="b">
        <v>1</v>
      </c>
      <c r="F26" s="113">
        <f t="shared" si="0"/>
        <v>1360</v>
      </c>
      <c r="G26" s="54">
        <v>24.31</v>
      </c>
      <c r="H26" s="113">
        <f t="shared" ref="H26" si="34">D26*10%/(1+10%)</f>
        <v>227.72727272727272</v>
      </c>
      <c r="I26" s="113">
        <f t="shared" si="30"/>
        <v>892.96272727272753</v>
      </c>
      <c r="J26" s="108"/>
      <c r="K26" s="106"/>
      <c r="L26" s="106">
        <f t="shared" si="3"/>
        <v>1360</v>
      </c>
      <c r="M26" s="184" t="s">
        <v>103</v>
      </c>
      <c r="N26" s="165">
        <v>450</v>
      </c>
      <c r="O26" s="112">
        <f t="shared" si="4"/>
        <v>1360</v>
      </c>
      <c r="P26" s="13"/>
      <c r="R26" s="106"/>
    </row>
    <row r="27" spans="1:18" x14ac:dyDescent="0.25">
      <c r="A27" s="166">
        <v>961</v>
      </c>
      <c r="B27" t="s">
        <v>349</v>
      </c>
      <c r="C27" t="s">
        <v>352</v>
      </c>
      <c r="D27" s="54">
        <v>2755</v>
      </c>
      <c r="E27" s="114" t="b">
        <v>1</v>
      </c>
      <c r="F27" s="113">
        <f t="shared" si="0"/>
        <v>1360</v>
      </c>
      <c r="G27" s="54">
        <v>24.31</v>
      </c>
      <c r="H27" s="113">
        <f t="shared" ref="H27" si="35">D27*10%/(1+10%)</f>
        <v>250.45454545454544</v>
      </c>
      <c r="I27" s="113">
        <f t="shared" si="30"/>
        <v>1120.2354545454546</v>
      </c>
      <c r="J27" s="108"/>
      <c r="K27" s="106"/>
      <c r="L27" s="106">
        <f t="shared" si="3"/>
        <v>1360</v>
      </c>
      <c r="M27" s="184" t="s">
        <v>103</v>
      </c>
      <c r="N27" s="165">
        <v>462</v>
      </c>
      <c r="O27" s="112">
        <f t="shared" si="4"/>
        <v>1360</v>
      </c>
      <c r="P27" s="13"/>
      <c r="R27" s="106"/>
    </row>
    <row r="28" spans="1:18" x14ac:dyDescent="0.25">
      <c r="A28" s="166">
        <v>960</v>
      </c>
      <c r="B28" t="s">
        <v>2702</v>
      </c>
      <c r="C28" t="s">
        <v>2703</v>
      </c>
      <c r="D28" s="54">
        <v>462</v>
      </c>
      <c r="E28" s="114" t="b">
        <v>1</v>
      </c>
      <c r="F28" s="113">
        <f t="shared" si="0"/>
        <v>0</v>
      </c>
      <c r="G28" s="54">
        <v>0</v>
      </c>
      <c r="H28" s="113">
        <f t="shared" ref="H28" si="36">D28*10%/(1+10%)</f>
        <v>42</v>
      </c>
      <c r="I28" s="113">
        <f t="shared" si="30"/>
        <v>420</v>
      </c>
      <c r="J28" s="108"/>
      <c r="K28" s="106">
        <v>0</v>
      </c>
      <c r="L28" s="106">
        <f t="shared" si="3"/>
        <v>1360</v>
      </c>
      <c r="M28" s="184" t="s">
        <v>94</v>
      </c>
      <c r="N28" s="41"/>
      <c r="O28" s="112" t="str">
        <f t="shared" si="4"/>
        <v/>
      </c>
      <c r="P28" s="13"/>
      <c r="R28" s="106"/>
    </row>
    <row r="29" spans="1:18" x14ac:dyDescent="0.25">
      <c r="A29" s="166">
        <v>959</v>
      </c>
      <c r="B29" t="s">
        <v>2704</v>
      </c>
      <c r="C29" t="s">
        <v>2705</v>
      </c>
      <c r="D29" s="54">
        <v>452</v>
      </c>
      <c r="E29" s="114"/>
      <c r="F29" s="113">
        <f t="shared" si="0"/>
        <v>0</v>
      </c>
      <c r="G29" s="54">
        <v>0</v>
      </c>
      <c r="H29" s="113">
        <f t="shared" ref="H29" si="37">D29*10%/(1+10%)</f>
        <v>41.090909090909093</v>
      </c>
      <c r="I29" s="113">
        <f t="shared" si="30"/>
        <v>410.90909090909088</v>
      </c>
      <c r="J29" s="108"/>
      <c r="K29" s="106">
        <v>0</v>
      </c>
      <c r="L29" s="106">
        <f t="shared" si="3"/>
        <v>1360</v>
      </c>
      <c r="M29" s="184" t="s">
        <v>94</v>
      </c>
      <c r="N29" s="41"/>
      <c r="O29" s="112" t="str">
        <f t="shared" si="4"/>
        <v/>
      </c>
      <c r="P29" s="13"/>
      <c r="R29" s="106"/>
    </row>
    <row r="30" spans="1:18" x14ac:dyDescent="0.25">
      <c r="A30" s="166">
        <v>958</v>
      </c>
      <c r="B30" t="s">
        <v>626</v>
      </c>
      <c r="C30" t="s">
        <v>628</v>
      </c>
      <c r="D30" s="54">
        <v>436</v>
      </c>
      <c r="E30" s="114" t="b">
        <v>1</v>
      </c>
      <c r="F30" s="113">
        <f t="shared" si="0"/>
        <v>0</v>
      </c>
      <c r="G30" s="54">
        <v>0</v>
      </c>
      <c r="H30" s="113">
        <f t="shared" ref="H30" si="38">D30*10%/(1+10%)</f>
        <v>39.636363636363633</v>
      </c>
      <c r="I30" s="113">
        <f t="shared" si="30"/>
        <v>396.36363636363637</v>
      </c>
      <c r="J30" s="108" t="b">
        <v>1</v>
      </c>
      <c r="K30" s="106">
        <v>0</v>
      </c>
      <c r="L30" s="106">
        <f t="shared" si="3"/>
        <v>1360</v>
      </c>
      <c r="M30" s="184" t="s">
        <v>94</v>
      </c>
      <c r="N30" s="41"/>
      <c r="O30" s="112" t="str">
        <f t="shared" si="4"/>
        <v/>
      </c>
      <c r="P30" s="13"/>
      <c r="R30" s="106"/>
    </row>
    <row r="31" spans="1:18" x14ac:dyDescent="0.25">
      <c r="A31" s="166">
        <v>957</v>
      </c>
      <c r="B31" t="s">
        <v>600</v>
      </c>
      <c r="C31" t="s">
        <v>603</v>
      </c>
      <c r="D31" s="54">
        <v>5204</v>
      </c>
      <c r="E31" s="114" t="b">
        <v>1</v>
      </c>
      <c r="F31" s="113">
        <f t="shared" si="0"/>
        <v>3200</v>
      </c>
      <c r="G31" s="54">
        <v>25.04</v>
      </c>
      <c r="H31" s="113">
        <f t="shared" ref="H31" si="39">D31*10%/(1+10%)</f>
        <v>473.09090909090901</v>
      </c>
      <c r="I31" s="113">
        <f t="shared" si="30"/>
        <v>1505.869090909091</v>
      </c>
      <c r="J31" s="108"/>
      <c r="K31" s="106"/>
      <c r="L31" s="106">
        <f>IF(D31+N31&gt;=1600,3200,3200)</f>
        <v>3200</v>
      </c>
      <c r="M31" s="184" t="s">
        <v>103</v>
      </c>
      <c r="N31" s="165">
        <v>0</v>
      </c>
      <c r="O31" s="112">
        <f t="shared" si="4"/>
        <v>3200</v>
      </c>
      <c r="P31" s="13"/>
      <c r="R31" s="106"/>
    </row>
    <row r="32" spans="1:18" x14ac:dyDescent="0.25">
      <c r="A32" s="166">
        <v>957</v>
      </c>
      <c r="B32" t="s">
        <v>622</v>
      </c>
      <c r="C32" t="s">
        <v>624</v>
      </c>
      <c r="D32" s="54">
        <v>447</v>
      </c>
      <c r="E32" s="114" t="b">
        <v>1</v>
      </c>
      <c r="F32" s="113">
        <f t="shared" si="0"/>
        <v>0</v>
      </c>
      <c r="G32" s="54">
        <v>0</v>
      </c>
      <c r="H32" s="113">
        <f t="shared" ref="H32" si="40">D32*10%/(1+10%)</f>
        <v>40.636363636363633</v>
      </c>
      <c r="I32" s="113">
        <f t="shared" ref="I32:I44" si="41">IF(M32="YES",D32-K32-G32-H32-L32,D32-K32-G32-H32)</f>
        <v>406.36363636363637</v>
      </c>
      <c r="J32" s="108" t="b">
        <v>1</v>
      </c>
      <c r="K32" s="106">
        <v>0</v>
      </c>
      <c r="L32" s="106">
        <f t="shared" si="3"/>
        <v>1360</v>
      </c>
      <c r="M32" s="184" t="s">
        <v>94</v>
      </c>
      <c r="N32" s="41"/>
      <c r="O32" s="112" t="str">
        <f t="shared" si="4"/>
        <v/>
      </c>
      <c r="P32" s="13"/>
      <c r="R32" s="106"/>
    </row>
    <row r="33" spans="1:18" x14ac:dyDescent="0.25">
      <c r="A33" s="166">
        <v>956</v>
      </c>
      <c r="B33" t="s">
        <v>2706</v>
      </c>
      <c r="C33" t="s">
        <v>2707</v>
      </c>
      <c r="D33" s="54">
        <v>433</v>
      </c>
      <c r="E33" s="114"/>
      <c r="F33" s="113">
        <f t="shared" si="0"/>
        <v>0</v>
      </c>
      <c r="G33" s="54">
        <v>0</v>
      </c>
      <c r="H33" s="113">
        <f t="shared" ref="H33" si="42">D33*10%/(1+10%)</f>
        <v>39.363636363636367</v>
      </c>
      <c r="I33" s="113">
        <f t="shared" si="41"/>
        <v>393.63636363636363</v>
      </c>
      <c r="J33" s="108"/>
      <c r="K33" s="106">
        <v>0</v>
      </c>
      <c r="L33" s="106">
        <f t="shared" si="3"/>
        <v>1360</v>
      </c>
      <c r="M33" s="184" t="s">
        <v>94</v>
      </c>
      <c r="N33" s="41"/>
      <c r="O33" s="112" t="str">
        <f t="shared" si="4"/>
        <v/>
      </c>
      <c r="P33" s="13"/>
      <c r="R33" s="106"/>
    </row>
    <row r="34" spans="1:18" x14ac:dyDescent="0.25">
      <c r="A34" s="166">
        <v>955</v>
      </c>
      <c r="B34" t="s">
        <v>616</v>
      </c>
      <c r="C34" t="s">
        <v>619</v>
      </c>
      <c r="D34" s="54">
        <v>469</v>
      </c>
      <c r="E34" s="114" t="b">
        <v>1</v>
      </c>
      <c r="F34" s="113">
        <f t="shared" si="0"/>
        <v>0</v>
      </c>
      <c r="G34" s="54">
        <v>0</v>
      </c>
      <c r="H34" s="113">
        <f t="shared" ref="H34" si="43">D34*10%/(1+10%)</f>
        <v>42.63636363636364</v>
      </c>
      <c r="I34" s="113">
        <f t="shared" si="41"/>
        <v>426.36363636363637</v>
      </c>
      <c r="J34" s="108" t="b">
        <v>1</v>
      </c>
      <c r="K34" s="106">
        <v>0</v>
      </c>
      <c r="L34" s="106">
        <f t="shared" si="3"/>
        <v>1360</v>
      </c>
      <c r="M34" s="184" t="s">
        <v>94</v>
      </c>
      <c r="N34" s="41"/>
      <c r="O34" s="112" t="str">
        <f t="shared" si="4"/>
        <v/>
      </c>
      <c r="P34" s="13"/>
      <c r="R34" s="106"/>
    </row>
    <row r="35" spans="1:18" x14ac:dyDescent="0.25">
      <c r="A35" s="166">
        <v>954</v>
      </c>
      <c r="B35" t="s">
        <v>2708</v>
      </c>
      <c r="C35" t="s">
        <v>2709</v>
      </c>
      <c r="D35" s="54">
        <v>456</v>
      </c>
      <c r="E35" s="114" t="b">
        <v>1</v>
      </c>
      <c r="F35" s="113">
        <f t="shared" si="0"/>
        <v>0</v>
      </c>
      <c r="G35" s="54">
        <v>0</v>
      </c>
      <c r="H35" s="113">
        <f t="shared" ref="H35" si="44">D35*10%/(1+10%)</f>
        <v>41.454545454545453</v>
      </c>
      <c r="I35" s="113">
        <f t="shared" si="41"/>
        <v>414.54545454545456</v>
      </c>
      <c r="J35" s="108" t="b">
        <v>1</v>
      </c>
      <c r="K35" s="106">
        <v>0</v>
      </c>
      <c r="L35" s="106">
        <f t="shared" si="3"/>
        <v>1360</v>
      </c>
      <c r="M35" s="184" t="s">
        <v>94</v>
      </c>
      <c r="N35" s="41"/>
      <c r="O35" s="112" t="str">
        <f t="shared" si="4"/>
        <v/>
      </c>
      <c r="P35" s="13"/>
      <c r="R35" s="106"/>
    </row>
    <row r="36" spans="1:18" x14ac:dyDescent="0.25">
      <c r="A36" s="166">
        <v>953</v>
      </c>
      <c r="B36" t="s">
        <v>693</v>
      </c>
      <c r="C36" t="s">
        <v>695</v>
      </c>
      <c r="D36" s="54">
        <v>433</v>
      </c>
      <c r="E36" s="114" t="b">
        <v>1</v>
      </c>
      <c r="F36" s="113">
        <f t="shared" si="0"/>
        <v>0</v>
      </c>
      <c r="G36" s="54">
        <v>0</v>
      </c>
      <c r="H36" s="113">
        <f t="shared" ref="H36" si="45">D36*10%/(1+10%)</f>
        <v>39.363636363636367</v>
      </c>
      <c r="I36" s="113">
        <f t="shared" si="41"/>
        <v>393.63636363636363</v>
      </c>
      <c r="J36" s="108" t="b">
        <v>1</v>
      </c>
      <c r="K36" s="106">
        <v>0</v>
      </c>
      <c r="L36" s="106">
        <f t="shared" si="3"/>
        <v>1360</v>
      </c>
      <c r="M36" s="184" t="s">
        <v>94</v>
      </c>
      <c r="N36" s="41"/>
      <c r="O36" s="112" t="str">
        <f t="shared" si="4"/>
        <v/>
      </c>
      <c r="P36" s="13"/>
      <c r="R36" s="106"/>
    </row>
    <row r="37" spans="1:18" x14ac:dyDescent="0.25">
      <c r="A37" s="166">
        <v>952</v>
      </c>
      <c r="B37" t="s">
        <v>710</v>
      </c>
      <c r="C37" t="s">
        <v>713</v>
      </c>
      <c r="D37" s="54">
        <v>171</v>
      </c>
      <c r="E37" s="114" t="b">
        <v>1</v>
      </c>
      <c r="F37" s="113">
        <f t="shared" si="0"/>
        <v>0</v>
      </c>
      <c r="G37" s="54">
        <v>0</v>
      </c>
      <c r="H37" s="113">
        <f t="shared" ref="H37" si="46">D37*10%/(1+10%)</f>
        <v>15.545454545454545</v>
      </c>
      <c r="I37" s="113">
        <f t="shared" si="41"/>
        <v>-14.545454545454545</v>
      </c>
      <c r="J37" s="108" t="b">
        <v>1</v>
      </c>
      <c r="K37" s="106">
        <v>170</v>
      </c>
      <c r="L37" s="106">
        <f t="shared" si="3"/>
        <v>1360</v>
      </c>
      <c r="M37" s="184" t="s">
        <v>94</v>
      </c>
      <c r="N37" s="41"/>
      <c r="O37" s="112" t="str">
        <f t="shared" si="4"/>
        <v/>
      </c>
      <c r="P37" s="13"/>
      <c r="R37" s="106"/>
    </row>
    <row r="38" spans="1:18" x14ac:dyDescent="0.25">
      <c r="A38" s="166">
        <v>951</v>
      </c>
      <c r="B38" t="s">
        <v>2710</v>
      </c>
      <c r="C38" t="s">
        <v>2711</v>
      </c>
      <c r="D38" s="54">
        <v>457</v>
      </c>
      <c r="E38" s="114"/>
      <c r="F38" s="113">
        <f t="shared" si="0"/>
        <v>0</v>
      </c>
      <c r="G38" s="54">
        <v>0</v>
      </c>
      <c r="H38" s="113">
        <f t="shared" ref="H38" si="47">D38*10%/(1+10%)</f>
        <v>41.545454545454547</v>
      </c>
      <c r="I38" s="113">
        <f t="shared" si="41"/>
        <v>415.45454545454544</v>
      </c>
      <c r="J38" s="108"/>
      <c r="K38" s="106">
        <v>0</v>
      </c>
      <c r="L38" s="106">
        <f t="shared" si="3"/>
        <v>1360</v>
      </c>
      <c r="M38" s="184" t="s">
        <v>94</v>
      </c>
      <c r="N38" s="41"/>
      <c r="O38" s="112" t="str">
        <f t="shared" si="4"/>
        <v/>
      </c>
      <c r="P38" s="13"/>
      <c r="R38" s="106"/>
    </row>
    <row r="39" spans="1:18" x14ac:dyDescent="0.25">
      <c r="A39" s="166">
        <v>950</v>
      </c>
      <c r="B39" t="s">
        <v>278</v>
      </c>
      <c r="C39" t="s">
        <v>281</v>
      </c>
      <c r="D39" s="54">
        <v>600.6</v>
      </c>
      <c r="E39" s="114"/>
      <c r="F39" s="113">
        <f t="shared" si="0"/>
        <v>0</v>
      </c>
      <c r="G39" s="54">
        <v>0</v>
      </c>
      <c r="H39" s="113">
        <f t="shared" ref="H39" si="48">D39*10%/(1+10%)</f>
        <v>54.599999999999994</v>
      </c>
      <c r="I39" s="113">
        <f t="shared" si="41"/>
        <v>81.000000000000028</v>
      </c>
      <c r="J39" s="108"/>
      <c r="K39" s="106">
        <v>465</v>
      </c>
      <c r="L39" s="106">
        <f t="shared" si="3"/>
        <v>1360</v>
      </c>
      <c r="M39" s="184" t="s">
        <v>94</v>
      </c>
      <c r="N39" s="41"/>
      <c r="O39" s="112" t="str">
        <f t="shared" si="4"/>
        <v/>
      </c>
      <c r="P39" s="13"/>
      <c r="R39" s="106"/>
    </row>
    <row r="40" spans="1:18" x14ac:dyDescent="0.25">
      <c r="A40" s="166">
        <v>949</v>
      </c>
      <c r="B40" t="s">
        <v>637</v>
      </c>
      <c r="C40" t="s">
        <v>639</v>
      </c>
      <c r="D40" s="54">
        <v>441</v>
      </c>
      <c r="E40" s="114" t="b">
        <v>1</v>
      </c>
      <c r="F40" s="113">
        <f t="shared" si="0"/>
        <v>0</v>
      </c>
      <c r="G40" s="54">
        <v>0</v>
      </c>
      <c r="H40" s="113">
        <f t="shared" ref="H40" si="49">D40*10%/(1+10%)</f>
        <v>40.090909090909086</v>
      </c>
      <c r="I40" s="113">
        <f t="shared" si="41"/>
        <v>400.90909090909093</v>
      </c>
      <c r="J40" s="108" t="b">
        <v>1</v>
      </c>
      <c r="K40" s="106">
        <v>0</v>
      </c>
      <c r="L40" s="106">
        <f t="shared" si="3"/>
        <v>1360</v>
      </c>
      <c r="M40" s="184" t="s">
        <v>94</v>
      </c>
      <c r="N40" s="41"/>
      <c r="O40" s="112" t="str">
        <f t="shared" si="4"/>
        <v/>
      </c>
      <c r="P40" s="13"/>
      <c r="R40" s="106"/>
    </row>
    <row r="41" spans="1:18" x14ac:dyDescent="0.25">
      <c r="A41" s="166">
        <v>948</v>
      </c>
      <c r="B41" t="s">
        <v>398</v>
      </c>
      <c r="C41" t="s">
        <v>2712</v>
      </c>
      <c r="D41" s="54">
        <v>858</v>
      </c>
      <c r="E41" s="114"/>
      <c r="F41" s="113">
        <f t="shared" si="0"/>
        <v>0</v>
      </c>
      <c r="G41" s="54">
        <v>0</v>
      </c>
      <c r="H41" s="113">
        <f t="shared" ref="H41" si="50">D41*10%/(1+10%)</f>
        <v>78</v>
      </c>
      <c r="I41" s="113">
        <f t="shared" si="41"/>
        <v>120</v>
      </c>
      <c r="J41" s="108"/>
      <c r="K41" s="106">
        <v>660</v>
      </c>
      <c r="L41" s="106">
        <f t="shared" si="3"/>
        <v>1360</v>
      </c>
      <c r="M41" s="184" t="s">
        <v>94</v>
      </c>
      <c r="N41" s="41"/>
      <c r="O41" s="112" t="str">
        <f t="shared" si="4"/>
        <v/>
      </c>
      <c r="P41" s="13"/>
      <c r="R41" s="106"/>
    </row>
    <row r="42" spans="1:18" x14ac:dyDescent="0.25">
      <c r="A42" s="166">
        <v>947</v>
      </c>
      <c r="B42" t="s">
        <v>612</v>
      </c>
      <c r="C42" t="s">
        <v>614</v>
      </c>
      <c r="D42" s="54">
        <v>432</v>
      </c>
      <c r="E42" s="114" t="b">
        <v>1</v>
      </c>
      <c r="F42" s="113">
        <f t="shared" si="0"/>
        <v>0</v>
      </c>
      <c r="G42" s="54">
        <v>0</v>
      </c>
      <c r="H42" s="113">
        <f t="shared" ref="H42" si="51">D42*10%/(1+10%)</f>
        <v>39.272727272727273</v>
      </c>
      <c r="I42" s="113">
        <f t="shared" si="41"/>
        <v>392.72727272727275</v>
      </c>
      <c r="J42" s="108" t="b">
        <v>1</v>
      </c>
      <c r="K42" s="106">
        <v>0</v>
      </c>
      <c r="L42" s="106">
        <f t="shared" si="3"/>
        <v>1360</v>
      </c>
      <c r="M42" s="184" t="s">
        <v>94</v>
      </c>
      <c r="N42" s="41"/>
      <c r="O42" s="112" t="str">
        <f t="shared" si="4"/>
        <v/>
      </c>
      <c r="P42" s="13"/>
      <c r="R42" s="106"/>
    </row>
    <row r="43" spans="1:18" x14ac:dyDescent="0.25">
      <c r="A43" s="166">
        <v>946</v>
      </c>
      <c r="B43" t="s">
        <v>2308</v>
      </c>
      <c r="C43" t="s">
        <v>2311</v>
      </c>
      <c r="D43" s="54">
        <v>351.43</v>
      </c>
      <c r="E43" s="114" t="b">
        <v>1</v>
      </c>
      <c r="F43" s="113">
        <f t="shared" si="0"/>
        <v>0</v>
      </c>
      <c r="G43" s="54">
        <v>0</v>
      </c>
      <c r="H43" s="113">
        <f t="shared" ref="H43" si="52">D43*10%/(1+10%)</f>
        <v>31.948181818181816</v>
      </c>
      <c r="I43" s="113">
        <f t="shared" si="41"/>
        <v>29.481818181818191</v>
      </c>
      <c r="J43" s="108" t="b">
        <v>1</v>
      </c>
      <c r="K43" s="106">
        <v>290</v>
      </c>
      <c r="L43" s="106">
        <f t="shared" si="3"/>
        <v>1360</v>
      </c>
      <c r="M43" s="184" t="s">
        <v>94</v>
      </c>
      <c r="N43" s="41"/>
      <c r="O43" s="112" t="str">
        <f t="shared" si="4"/>
        <v/>
      </c>
      <c r="P43" s="13"/>
      <c r="R43" s="106"/>
    </row>
    <row r="44" spans="1:18" x14ac:dyDescent="0.25">
      <c r="A44" s="166">
        <v>945</v>
      </c>
      <c r="B44" t="s">
        <v>502</v>
      </c>
      <c r="C44" t="s">
        <v>505</v>
      </c>
      <c r="D44" s="54">
        <v>2417</v>
      </c>
      <c r="E44" s="114" t="b">
        <v>1</v>
      </c>
      <c r="F44" s="113">
        <f t="shared" si="0"/>
        <v>1360</v>
      </c>
      <c r="G44" s="54">
        <v>29.91</v>
      </c>
      <c r="H44" s="113">
        <f t="shared" ref="H44" si="53">D44*10%/(1+10%)</f>
        <v>219.72727272727272</v>
      </c>
      <c r="I44" s="113">
        <f t="shared" si="41"/>
        <v>807.36272727272762</v>
      </c>
      <c r="J44" s="108"/>
      <c r="K44" s="106"/>
      <c r="L44" s="106">
        <f t="shared" si="3"/>
        <v>1360</v>
      </c>
      <c r="M44" s="184" t="s">
        <v>103</v>
      </c>
      <c r="N44" s="165">
        <v>450</v>
      </c>
      <c r="O44" s="112">
        <f t="shared" si="4"/>
        <v>1360</v>
      </c>
      <c r="P44" s="13"/>
      <c r="R44" s="106"/>
    </row>
    <row r="45" spans="1:18" x14ac:dyDescent="0.25">
      <c r="A45" s="166">
        <v>944</v>
      </c>
      <c r="B45" t="s">
        <v>593</v>
      </c>
      <c r="C45" t="s">
        <v>594</v>
      </c>
      <c r="D45" s="54">
        <v>457</v>
      </c>
      <c r="E45" s="114" t="b">
        <v>1</v>
      </c>
      <c r="F45" s="113">
        <f t="shared" si="0"/>
        <v>0</v>
      </c>
      <c r="G45" s="54">
        <v>0</v>
      </c>
      <c r="H45" s="113">
        <f t="shared" ref="H45" si="54">D45*10%/(1+10%)</f>
        <v>41.545454545454547</v>
      </c>
      <c r="I45" s="113">
        <f t="shared" ref="I45:I49" si="55">IF(M45="YES",D45-K45-G45-H45-L45,D45-K45-G45-H45)</f>
        <v>415.45454545454544</v>
      </c>
      <c r="J45" s="108" t="b">
        <v>1</v>
      </c>
      <c r="K45" s="106">
        <v>0</v>
      </c>
      <c r="L45" s="106">
        <f t="shared" si="3"/>
        <v>1360</v>
      </c>
      <c r="M45" s="184" t="s">
        <v>94</v>
      </c>
      <c r="N45" s="41"/>
      <c r="O45" s="112" t="str">
        <f t="shared" si="4"/>
        <v/>
      </c>
      <c r="P45" s="13"/>
      <c r="R45" s="106"/>
    </row>
    <row r="46" spans="1:18" x14ac:dyDescent="0.25">
      <c r="A46" s="166">
        <v>943</v>
      </c>
      <c r="B46" t="s">
        <v>2713</v>
      </c>
      <c r="C46" t="s">
        <v>2714</v>
      </c>
      <c r="D46" s="54">
        <v>544.5</v>
      </c>
      <c r="E46" s="114" t="b">
        <v>1</v>
      </c>
      <c r="F46" s="113">
        <f t="shared" si="0"/>
        <v>0</v>
      </c>
      <c r="G46" s="54">
        <v>0</v>
      </c>
      <c r="H46" s="113">
        <f t="shared" ref="H46" si="56">D46*10%/(1+10%)</f>
        <v>49.5</v>
      </c>
      <c r="I46" s="113">
        <f t="shared" si="55"/>
        <v>495</v>
      </c>
      <c r="J46" s="108"/>
      <c r="K46" s="106">
        <v>0</v>
      </c>
      <c r="L46" s="106">
        <f t="shared" si="3"/>
        <v>1360</v>
      </c>
      <c r="M46" s="184" t="s">
        <v>94</v>
      </c>
      <c r="N46" s="41"/>
      <c r="O46" s="112" t="str">
        <f t="shared" si="4"/>
        <v/>
      </c>
      <c r="P46" s="13"/>
      <c r="R46" s="106"/>
    </row>
    <row r="47" spans="1:18" x14ac:dyDescent="0.25">
      <c r="A47" s="166">
        <v>942</v>
      </c>
      <c r="B47" t="s">
        <v>587</v>
      </c>
      <c r="C47" t="s">
        <v>590</v>
      </c>
      <c r="D47" s="54">
        <v>439</v>
      </c>
      <c r="E47" s="114" t="b">
        <v>1</v>
      </c>
      <c r="F47" s="113">
        <f t="shared" si="0"/>
        <v>0</v>
      </c>
      <c r="G47" s="54">
        <v>0</v>
      </c>
      <c r="H47" s="113">
        <f t="shared" ref="H47" si="57">D47*10%/(1+10%)</f>
        <v>39.909090909090914</v>
      </c>
      <c r="I47" s="113">
        <f t="shared" si="55"/>
        <v>399.09090909090907</v>
      </c>
      <c r="J47" s="108" t="b">
        <v>1</v>
      </c>
      <c r="K47" s="106">
        <v>0</v>
      </c>
      <c r="L47" s="106">
        <f t="shared" si="3"/>
        <v>1360</v>
      </c>
      <c r="M47" s="184" t="s">
        <v>94</v>
      </c>
      <c r="N47" s="41"/>
      <c r="O47" s="112" t="str">
        <f t="shared" si="4"/>
        <v/>
      </c>
      <c r="P47" s="13"/>
      <c r="R47" s="106"/>
    </row>
    <row r="48" spans="1:18" x14ac:dyDescent="0.25">
      <c r="A48" s="166">
        <v>941</v>
      </c>
      <c r="B48" t="s">
        <v>606</v>
      </c>
      <c r="C48" t="s">
        <v>609</v>
      </c>
      <c r="D48" s="54">
        <v>456</v>
      </c>
      <c r="E48" s="114" t="b">
        <v>1</v>
      </c>
      <c r="F48" s="113">
        <f t="shared" si="0"/>
        <v>0</v>
      </c>
      <c r="G48" s="54">
        <v>0</v>
      </c>
      <c r="H48" s="113">
        <f t="shared" ref="H48" si="58">D48*10%/(1+10%)</f>
        <v>41.454545454545453</v>
      </c>
      <c r="I48" s="113">
        <f t="shared" si="55"/>
        <v>414.54545454545456</v>
      </c>
      <c r="J48" s="108" t="b">
        <v>1</v>
      </c>
      <c r="K48" s="106">
        <v>0</v>
      </c>
      <c r="L48" s="106">
        <f t="shared" si="3"/>
        <v>1360</v>
      </c>
      <c r="M48" s="184" t="s">
        <v>94</v>
      </c>
      <c r="N48" s="41"/>
      <c r="O48" s="112" t="str">
        <f t="shared" si="4"/>
        <v/>
      </c>
      <c r="P48" s="13"/>
      <c r="R48" s="106"/>
    </row>
    <row r="49" spans="1:18" x14ac:dyDescent="0.25">
      <c r="A49" s="166">
        <v>940</v>
      </c>
      <c r="B49" t="s">
        <v>332</v>
      </c>
      <c r="C49" t="s">
        <v>2715</v>
      </c>
      <c r="D49" s="54">
        <v>2255</v>
      </c>
      <c r="E49" s="114" t="b">
        <v>1</v>
      </c>
      <c r="F49" s="113">
        <f t="shared" si="0"/>
        <v>1360</v>
      </c>
      <c r="G49" s="54">
        <v>24.31</v>
      </c>
      <c r="H49" s="113">
        <f t="shared" ref="H49" si="59">D49*10%/(1+10%)</f>
        <v>204.99999999999997</v>
      </c>
      <c r="I49" s="113">
        <f t="shared" si="55"/>
        <v>665.69</v>
      </c>
      <c r="J49" s="108"/>
      <c r="K49" s="106"/>
      <c r="L49" s="106">
        <f t="shared" si="3"/>
        <v>1360</v>
      </c>
      <c r="M49" s="184" t="s">
        <v>103</v>
      </c>
      <c r="N49" s="165">
        <v>501</v>
      </c>
      <c r="O49" s="112">
        <f t="shared" si="4"/>
        <v>1360</v>
      </c>
      <c r="P49" s="13"/>
      <c r="R49" s="106"/>
    </row>
    <row r="50" spans="1:18" x14ac:dyDescent="0.25">
      <c r="A50" s="166">
        <v>939</v>
      </c>
      <c r="B50" t="s">
        <v>2716</v>
      </c>
      <c r="C50" t="s">
        <v>2717</v>
      </c>
      <c r="D50" s="54">
        <v>442</v>
      </c>
      <c r="E50" s="114" t="b">
        <v>1</v>
      </c>
      <c r="F50" s="113">
        <f t="shared" si="0"/>
        <v>0</v>
      </c>
      <c r="G50" s="54">
        <v>0</v>
      </c>
      <c r="H50" s="113">
        <f t="shared" ref="H50" si="60">D50*10%/(1+10%)</f>
        <v>40.18181818181818</v>
      </c>
      <c r="I50" s="113">
        <f t="shared" ref="I50" si="61">IF(M50="YES",D50-K50-G50-H50-L50,D50-K50-G50-H50)</f>
        <v>401.81818181818181</v>
      </c>
      <c r="J50" s="108" t="b">
        <v>1</v>
      </c>
      <c r="K50" s="106">
        <v>0</v>
      </c>
      <c r="L50" s="106">
        <f t="shared" si="3"/>
        <v>1360</v>
      </c>
      <c r="M50" s="184" t="s">
        <v>94</v>
      </c>
      <c r="N50" s="41"/>
      <c r="O50" s="112" t="str">
        <f t="shared" si="4"/>
        <v/>
      </c>
      <c r="P50" s="13"/>
      <c r="R50" s="106"/>
    </row>
    <row r="51" spans="1:18" x14ac:dyDescent="0.25">
      <c r="A51" s="166">
        <v>937</v>
      </c>
      <c r="B51" t="s">
        <v>2718</v>
      </c>
      <c r="C51" t="s">
        <v>2719</v>
      </c>
      <c r="D51" s="54">
        <v>452</v>
      </c>
      <c r="E51" s="114" t="b">
        <v>0</v>
      </c>
      <c r="F51" s="113">
        <f>IF(J51=TRUE,0,IF(AND(E51=TRUE,M51="YES"),L51,IF(E51=TRUE,K51,0)))</f>
        <v>0</v>
      </c>
      <c r="G51" s="54">
        <v>0</v>
      </c>
      <c r="H51" s="113">
        <f t="shared" ref="H51" si="62">D51*10%/(1+10%)</f>
        <v>41.090909090909093</v>
      </c>
      <c r="I51" s="113">
        <f>IF(M51="YES",D51-K51-G51-H51-L51,D51-K51-G51-H51)</f>
        <v>410.90909090909088</v>
      </c>
      <c r="J51" s="108"/>
      <c r="K51" s="106">
        <v>0</v>
      </c>
      <c r="L51" s="106">
        <f>IF(D51+N51&gt;=1600,1360,1360)</f>
        <v>1360</v>
      </c>
      <c r="M51" s="184" t="s">
        <v>94</v>
      </c>
      <c r="N51" s="41"/>
      <c r="O51" s="112" t="str">
        <f>IF(F51&gt;=500,F51,"")</f>
        <v/>
      </c>
      <c r="P51" s="13"/>
      <c r="R51" s="106"/>
    </row>
    <row r="52" spans="1:18" x14ac:dyDescent="0.25">
      <c r="A52" s="166">
        <v>937</v>
      </c>
      <c r="B52" t="s">
        <v>520</v>
      </c>
      <c r="C52" t="s">
        <v>2701</v>
      </c>
      <c r="D52" s="54">
        <v>646</v>
      </c>
      <c r="E52" s="114" t="b">
        <v>1</v>
      </c>
      <c r="F52" s="113">
        <f t="shared" si="0"/>
        <v>0</v>
      </c>
      <c r="G52" s="54">
        <v>0</v>
      </c>
      <c r="H52" s="113">
        <f t="shared" ref="H52" si="63">D52*10%/(1+10%)</f>
        <v>58.727272727272734</v>
      </c>
      <c r="I52" s="113">
        <f t="shared" ref="I52:I54" si="64">IF(M52="YES",D52-K52-G52-H52-L52,D52-K52-G52-H52)</f>
        <v>107.27272727272727</v>
      </c>
      <c r="J52" s="108" t="b">
        <v>1</v>
      </c>
      <c r="K52" s="106">
        <v>480</v>
      </c>
      <c r="L52" s="106">
        <f t="shared" si="3"/>
        <v>1360</v>
      </c>
      <c r="M52" s="184" t="s">
        <v>94</v>
      </c>
      <c r="N52" s="41"/>
      <c r="O52" s="112" t="str">
        <f t="shared" si="4"/>
        <v/>
      </c>
      <c r="P52" s="13"/>
      <c r="R52" s="106"/>
    </row>
    <row r="53" spans="1:18" x14ac:dyDescent="0.25">
      <c r="A53" s="166">
        <v>936</v>
      </c>
      <c r="B53" t="s">
        <v>514</v>
      </c>
      <c r="C53" t="s">
        <v>517</v>
      </c>
      <c r="D53" s="54">
        <v>1155</v>
      </c>
      <c r="E53" s="114" t="b">
        <v>1</v>
      </c>
      <c r="F53" s="113">
        <f t="shared" si="0"/>
        <v>694</v>
      </c>
      <c r="G53" s="54">
        <v>0</v>
      </c>
      <c r="H53" s="113">
        <f t="shared" ref="H53" si="65">D53*10%/(1+10%)</f>
        <v>104.99999999999999</v>
      </c>
      <c r="I53" s="113">
        <f t="shared" si="64"/>
        <v>356</v>
      </c>
      <c r="J53" s="108" t="b">
        <v>0</v>
      </c>
      <c r="K53" s="106">
        <v>694</v>
      </c>
      <c r="L53" s="106">
        <f t="shared" si="3"/>
        <v>1360</v>
      </c>
      <c r="M53" s="184" t="s">
        <v>94</v>
      </c>
      <c r="N53" s="41"/>
      <c r="O53" s="112">
        <f t="shared" si="4"/>
        <v>694</v>
      </c>
      <c r="P53" s="13"/>
      <c r="R53" s="106"/>
    </row>
    <row r="54" spans="1:18" x14ac:dyDescent="0.25">
      <c r="A54" s="166">
        <v>935</v>
      </c>
      <c r="B54" t="s">
        <v>596</v>
      </c>
      <c r="C54" t="s">
        <v>598</v>
      </c>
      <c r="D54" s="54">
        <v>437</v>
      </c>
      <c r="E54" s="114" t="b">
        <v>1</v>
      </c>
      <c r="F54" s="113">
        <f t="shared" si="0"/>
        <v>0</v>
      </c>
      <c r="G54" s="54">
        <v>0</v>
      </c>
      <c r="H54" s="113">
        <f t="shared" ref="H54" si="66">D54*10%/(1+10%)</f>
        <v>39.727272727272727</v>
      </c>
      <c r="I54" s="113">
        <f t="shared" si="64"/>
        <v>397.27272727272725</v>
      </c>
      <c r="J54" s="108" t="b">
        <v>1</v>
      </c>
      <c r="K54" s="106">
        <v>0</v>
      </c>
      <c r="L54" s="106">
        <f t="shared" si="3"/>
        <v>1360</v>
      </c>
      <c r="M54" s="184" t="s">
        <v>94</v>
      </c>
      <c r="N54" s="41"/>
      <c r="O54" s="112" t="str">
        <f t="shared" si="4"/>
        <v/>
      </c>
      <c r="P54" s="13"/>
      <c r="R54" s="106"/>
    </row>
    <row r="55" spans="1:18" x14ac:dyDescent="0.25">
      <c r="A55" s="166">
        <v>930</v>
      </c>
      <c r="B55" t="s">
        <v>581</v>
      </c>
      <c r="C55" t="s">
        <v>2692</v>
      </c>
      <c r="D55" s="54">
        <v>441</v>
      </c>
      <c r="E55" s="114" t="b">
        <v>1</v>
      </c>
      <c r="F55" s="113">
        <f t="shared" si="0"/>
        <v>0</v>
      </c>
      <c r="G55" s="54">
        <v>0</v>
      </c>
      <c r="H55" s="113">
        <f t="shared" ref="H55" si="67">D55*10%/(1+10%)</f>
        <v>40.090909090909086</v>
      </c>
      <c r="I55" s="113">
        <f t="shared" ref="I55" si="68">IF(M55="YES",D55-K55-G55-H55-L55,D55-K55-G55-H55)</f>
        <v>400.90909090909093</v>
      </c>
      <c r="J55" s="108" t="b">
        <v>1</v>
      </c>
      <c r="K55" s="106">
        <v>0</v>
      </c>
      <c r="L55" s="106">
        <f t="shared" si="3"/>
        <v>1360</v>
      </c>
      <c r="M55" s="184" t="s">
        <v>94</v>
      </c>
      <c r="N55" s="41"/>
      <c r="O55" s="112" t="str">
        <f t="shared" si="4"/>
        <v/>
      </c>
      <c r="P55" s="13"/>
      <c r="R55" s="106"/>
    </row>
    <row r="56" spans="1:18" x14ac:dyDescent="0.25">
      <c r="A56" s="166">
        <v>928</v>
      </c>
      <c r="B56" t="s">
        <v>514</v>
      </c>
      <c r="C56" t="s">
        <v>517</v>
      </c>
      <c r="D56" s="54">
        <v>171</v>
      </c>
      <c r="E56" s="114" t="b">
        <v>1</v>
      </c>
      <c r="F56" s="113">
        <f t="shared" si="0"/>
        <v>0</v>
      </c>
      <c r="G56" s="54">
        <v>0</v>
      </c>
      <c r="H56" s="113">
        <f t="shared" ref="H56" si="69">D56*10%/(1+10%)</f>
        <v>15.545454545454545</v>
      </c>
      <c r="I56" s="113">
        <f t="shared" ref="I56:I58" si="70">IF(M56="YES",D56-K56-G56-H56-L56,D56-K56-G56-H56)</f>
        <v>65.454545454545453</v>
      </c>
      <c r="J56" s="108" t="b">
        <v>1</v>
      </c>
      <c r="K56" s="106">
        <v>90</v>
      </c>
      <c r="L56" s="106">
        <f t="shared" si="3"/>
        <v>1360</v>
      </c>
      <c r="M56" s="184" t="s">
        <v>94</v>
      </c>
      <c r="N56" s="41"/>
      <c r="O56" s="112" t="str">
        <f t="shared" si="4"/>
        <v/>
      </c>
      <c r="P56" s="13"/>
      <c r="R56" s="106"/>
    </row>
    <row r="57" spans="1:18" x14ac:dyDescent="0.25">
      <c r="A57" s="166">
        <v>926</v>
      </c>
      <c r="B57" t="s">
        <v>544</v>
      </c>
      <c r="C57" t="s">
        <v>546</v>
      </c>
      <c r="D57" s="54">
        <v>441</v>
      </c>
      <c r="E57" s="114" t="b">
        <v>1</v>
      </c>
      <c r="F57" s="113">
        <f t="shared" si="0"/>
        <v>0</v>
      </c>
      <c r="G57" s="54">
        <v>0</v>
      </c>
      <c r="H57" s="113">
        <f t="shared" ref="H57" si="71">D57*10%/(1+10%)</f>
        <v>40.090909090909086</v>
      </c>
      <c r="I57" s="113">
        <f t="shared" si="70"/>
        <v>400.90909090909093</v>
      </c>
      <c r="J57" s="108" t="b">
        <v>1</v>
      </c>
      <c r="K57" s="106">
        <v>0</v>
      </c>
      <c r="L57" s="106">
        <f t="shared" si="3"/>
        <v>1360</v>
      </c>
      <c r="M57" s="184" t="s">
        <v>94</v>
      </c>
      <c r="N57" s="41"/>
      <c r="O57" s="112" t="str">
        <f t="shared" si="4"/>
        <v/>
      </c>
      <c r="P57" s="13"/>
      <c r="R57" s="106"/>
    </row>
    <row r="58" spans="1:18" x14ac:dyDescent="0.25">
      <c r="A58" s="166">
        <v>925</v>
      </c>
      <c r="B58" t="s">
        <v>478</v>
      </c>
      <c r="C58" t="s">
        <v>481</v>
      </c>
      <c r="D58" s="54">
        <v>2500</v>
      </c>
      <c r="E58" s="114" t="b">
        <v>1</v>
      </c>
      <c r="F58" s="113">
        <f t="shared" si="0"/>
        <v>1360</v>
      </c>
      <c r="G58" s="54">
        <v>24.31</v>
      </c>
      <c r="H58" s="113">
        <f t="shared" ref="H58" si="72">D58*10%/(1+10%)</f>
        <v>227.27272727272725</v>
      </c>
      <c r="I58" s="113">
        <f t="shared" si="70"/>
        <v>888.41727272727258</v>
      </c>
      <c r="J58" s="108"/>
      <c r="K58" s="106"/>
      <c r="L58" s="106">
        <f t="shared" si="3"/>
        <v>1360</v>
      </c>
      <c r="M58" s="184" t="s">
        <v>103</v>
      </c>
      <c r="N58" s="165">
        <v>448</v>
      </c>
      <c r="O58" s="112">
        <f t="shared" si="4"/>
        <v>1360</v>
      </c>
      <c r="P58" s="13"/>
      <c r="R58" s="106"/>
    </row>
    <row r="59" spans="1:18" x14ac:dyDescent="0.25">
      <c r="A59" s="166">
        <v>924</v>
      </c>
      <c r="B59" t="s">
        <v>561</v>
      </c>
      <c r="C59" t="s">
        <v>563</v>
      </c>
      <c r="D59" s="54">
        <v>449</v>
      </c>
      <c r="E59" s="114" t="b">
        <v>1</v>
      </c>
      <c r="F59" s="113">
        <f t="shared" si="0"/>
        <v>0</v>
      </c>
      <c r="G59" s="54">
        <v>0</v>
      </c>
      <c r="H59" s="113">
        <f t="shared" ref="H59" si="73">D59*10%/(1+10%)</f>
        <v>40.81818181818182</v>
      </c>
      <c r="I59" s="113">
        <f t="shared" ref="I59:I60" si="74">IF(M59="YES",D59-K59-G59-H59-L59,D59-K59-G59-H59)</f>
        <v>408.18181818181819</v>
      </c>
      <c r="J59" s="108" t="b">
        <v>1</v>
      </c>
      <c r="K59" s="106">
        <v>0</v>
      </c>
      <c r="L59" s="106">
        <f t="shared" si="3"/>
        <v>1360</v>
      </c>
      <c r="M59" s="184" t="s">
        <v>94</v>
      </c>
      <c r="N59" s="41"/>
      <c r="O59" s="112" t="str">
        <f t="shared" si="4"/>
        <v/>
      </c>
      <c r="P59" s="13"/>
      <c r="R59" s="106"/>
    </row>
    <row r="60" spans="1:18" x14ac:dyDescent="0.25">
      <c r="A60" s="166">
        <v>923</v>
      </c>
      <c r="B60" t="s">
        <v>455</v>
      </c>
      <c r="C60" t="s">
        <v>458</v>
      </c>
      <c r="D60" s="54">
        <v>1914</v>
      </c>
      <c r="E60" s="114" t="b">
        <v>1</v>
      </c>
      <c r="F60" s="113">
        <f t="shared" si="0"/>
        <v>1360</v>
      </c>
      <c r="G60" s="54">
        <v>24.31</v>
      </c>
      <c r="H60" s="113">
        <f t="shared" ref="H60" si="75">D60*10%/(1+10%)</f>
        <v>174</v>
      </c>
      <c r="I60" s="113">
        <f t="shared" si="74"/>
        <v>355.69000000000005</v>
      </c>
      <c r="J60" s="108"/>
      <c r="K60" s="106"/>
      <c r="L60" s="106">
        <f t="shared" si="3"/>
        <v>1360</v>
      </c>
      <c r="M60" s="184" t="s">
        <v>103</v>
      </c>
      <c r="N60" s="165">
        <v>441</v>
      </c>
      <c r="O60" s="112">
        <f t="shared" si="4"/>
        <v>1360</v>
      </c>
      <c r="P60" s="13"/>
      <c r="R60" s="106"/>
    </row>
    <row r="61" spans="1:18" x14ac:dyDescent="0.25">
      <c r="A61" s="166">
        <v>922</v>
      </c>
      <c r="B61" t="s">
        <v>549</v>
      </c>
      <c r="C61" t="s">
        <v>551</v>
      </c>
      <c r="D61" s="54">
        <v>443</v>
      </c>
      <c r="E61" s="114" t="b">
        <v>1</v>
      </c>
      <c r="F61" s="113">
        <f t="shared" si="0"/>
        <v>0</v>
      </c>
      <c r="G61" s="54">
        <v>0</v>
      </c>
      <c r="H61" s="113">
        <f t="shared" ref="H61" si="76">D61*10%/(1+10%)</f>
        <v>40.272727272727273</v>
      </c>
      <c r="I61" s="113">
        <f t="shared" ref="I61:I62" si="77">IF(M61="YES",D61-K61-G61-H61-L61,D61-K61-G61-H61)</f>
        <v>402.72727272727275</v>
      </c>
      <c r="J61" s="108" t="b">
        <v>1</v>
      </c>
      <c r="K61" s="106">
        <v>0</v>
      </c>
      <c r="L61" s="106">
        <f t="shared" si="3"/>
        <v>1360</v>
      </c>
      <c r="M61" s="184" t="s">
        <v>94</v>
      </c>
      <c r="N61" s="41"/>
      <c r="O61" s="112" t="str">
        <f t="shared" si="4"/>
        <v/>
      </c>
      <c r="P61" s="13"/>
      <c r="R61" s="106"/>
    </row>
    <row r="62" spans="1:18" x14ac:dyDescent="0.25">
      <c r="A62" s="166">
        <v>921</v>
      </c>
      <c r="B62" t="s">
        <v>2065</v>
      </c>
      <c r="C62" t="s">
        <v>2720</v>
      </c>
      <c r="D62" s="54">
        <v>2347</v>
      </c>
      <c r="E62" s="114" t="b">
        <v>1</v>
      </c>
      <c r="F62" s="113">
        <f t="shared" si="0"/>
        <v>1360</v>
      </c>
      <c r="G62" s="54">
        <v>0</v>
      </c>
      <c r="H62" s="113">
        <f t="shared" ref="H62" si="78">D62*10%/(1+10%)</f>
        <v>213.36363636363637</v>
      </c>
      <c r="I62" s="113">
        <f t="shared" si="77"/>
        <v>773.63636363636351</v>
      </c>
      <c r="J62" s="108"/>
      <c r="K62" s="106"/>
      <c r="L62" s="106">
        <f t="shared" si="3"/>
        <v>1360</v>
      </c>
      <c r="M62" s="184" t="s">
        <v>103</v>
      </c>
      <c r="N62" s="165">
        <v>436</v>
      </c>
      <c r="O62" s="112">
        <f t="shared" si="4"/>
        <v>1360</v>
      </c>
      <c r="P62" s="13"/>
      <c r="R62" s="106"/>
    </row>
    <row r="63" spans="1:18" x14ac:dyDescent="0.25">
      <c r="A63" s="166">
        <v>920</v>
      </c>
      <c r="B63" t="s">
        <v>704</v>
      </c>
      <c r="C63" t="s">
        <v>707</v>
      </c>
      <c r="D63" s="54">
        <v>2255</v>
      </c>
      <c r="E63" s="114" t="b">
        <v>1</v>
      </c>
      <c r="F63" s="113">
        <f t="shared" si="0"/>
        <v>1360</v>
      </c>
      <c r="G63" s="54">
        <v>24.31</v>
      </c>
      <c r="H63" s="113">
        <f t="shared" ref="H63" si="79">D63*10%/(1+10%)</f>
        <v>204.99999999999997</v>
      </c>
      <c r="I63" s="113">
        <f t="shared" ref="I63" si="80">IF(M63="YES",D63-K63-G63-H63-L63,D63-K63-G63-H63)</f>
        <v>665.69</v>
      </c>
      <c r="J63" s="108"/>
      <c r="K63" s="106"/>
      <c r="L63" s="106">
        <f t="shared" si="3"/>
        <v>1360</v>
      </c>
      <c r="M63" s="184" t="s">
        <v>103</v>
      </c>
      <c r="N63" s="165">
        <v>464</v>
      </c>
      <c r="O63" s="112">
        <f t="shared" si="4"/>
        <v>1360</v>
      </c>
      <c r="P63" s="13"/>
      <c r="R63" s="106"/>
    </row>
    <row r="64" spans="1:18" x14ac:dyDescent="0.25">
      <c r="A64" s="166">
        <v>919</v>
      </c>
      <c r="B64" t="s">
        <v>565</v>
      </c>
      <c r="C64" t="s">
        <v>567</v>
      </c>
      <c r="D64" s="54">
        <v>463</v>
      </c>
      <c r="E64" s="114" t="b">
        <v>1</v>
      </c>
      <c r="F64" s="113">
        <f t="shared" si="0"/>
        <v>0</v>
      </c>
      <c r="G64" s="54">
        <v>0</v>
      </c>
      <c r="H64" s="113">
        <f t="shared" ref="H64" si="81">D64*10%/(1+10%)</f>
        <v>42.090909090909093</v>
      </c>
      <c r="I64" s="113">
        <f t="shared" ref="I64:I68" si="82">IF(M64="YES",D64-K64-G64-H64-L64,D64-K64-G64-H64)</f>
        <v>420.90909090909088</v>
      </c>
      <c r="J64" s="108"/>
      <c r="K64" s="106">
        <v>0</v>
      </c>
      <c r="L64" s="106">
        <f t="shared" si="3"/>
        <v>1360</v>
      </c>
      <c r="M64" s="184" t="s">
        <v>94</v>
      </c>
      <c r="N64" s="41"/>
      <c r="O64" s="112" t="str">
        <f t="shared" si="4"/>
        <v/>
      </c>
      <c r="P64" s="13"/>
      <c r="R64" s="106"/>
    </row>
    <row r="65" spans="1:18" x14ac:dyDescent="0.25">
      <c r="A65" s="166">
        <v>918</v>
      </c>
      <c r="B65" t="s">
        <v>532</v>
      </c>
      <c r="C65" t="s">
        <v>535</v>
      </c>
      <c r="D65" s="54">
        <v>460</v>
      </c>
      <c r="E65" s="114" t="b">
        <v>1</v>
      </c>
      <c r="F65" s="113">
        <f t="shared" si="0"/>
        <v>0</v>
      </c>
      <c r="G65" s="54">
        <v>0</v>
      </c>
      <c r="H65" s="113">
        <f t="shared" ref="H65" si="83">D65*10%/(1+10%)</f>
        <v>41.818181818181813</v>
      </c>
      <c r="I65" s="113">
        <f t="shared" si="82"/>
        <v>418.18181818181819</v>
      </c>
      <c r="J65" s="108" t="b">
        <v>1</v>
      </c>
      <c r="K65" s="106">
        <v>0</v>
      </c>
      <c r="L65" s="106">
        <f t="shared" si="3"/>
        <v>1360</v>
      </c>
      <c r="M65" s="184" t="s">
        <v>94</v>
      </c>
      <c r="N65" s="41"/>
      <c r="O65" s="112" t="str">
        <f t="shared" si="4"/>
        <v/>
      </c>
      <c r="P65" s="13"/>
      <c r="R65" s="106"/>
    </row>
    <row r="66" spans="1:18" x14ac:dyDescent="0.25">
      <c r="A66" s="166">
        <v>917</v>
      </c>
      <c r="B66" t="s">
        <v>469</v>
      </c>
      <c r="C66" t="s">
        <v>471</v>
      </c>
      <c r="D66" s="54">
        <v>939.4</v>
      </c>
      <c r="E66" s="114" t="b">
        <v>1</v>
      </c>
      <c r="F66" s="113">
        <f t="shared" si="0"/>
        <v>850</v>
      </c>
      <c r="G66" s="54">
        <v>0</v>
      </c>
      <c r="H66" s="113">
        <f t="shared" ref="H66" si="84">D66*10%/(1+10%)</f>
        <v>85.399999999999991</v>
      </c>
      <c r="I66" s="113">
        <f t="shared" si="82"/>
        <v>3.9999999999999858</v>
      </c>
      <c r="J66" s="108"/>
      <c r="K66" s="106">
        <v>850</v>
      </c>
      <c r="L66" s="106">
        <f t="shared" si="3"/>
        <v>1360</v>
      </c>
      <c r="M66" s="184" t="s">
        <v>94</v>
      </c>
      <c r="N66" s="41"/>
      <c r="O66" s="112">
        <f t="shared" si="4"/>
        <v>850</v>
      </c>
      <c r="P66" s="13"/>
      <c r="R66" s="106"/>
    </row>
    <row r="67" spans="1:18" x14ac:dyDescent="0.25">
      <c r="A67" s="166">
        <v>915</v>
      </c>
      <c r="B67" t="s">
        <v>710</v>
      </c>
      <c r="C67" t="s">
        <v>713</v>
      </c>
      <c r="D67" s="54">
        <v>440</v>
      </c>
      <c r="E67" s="114" t="b">
        <v>1</v>
      </c>
      <c r="F67" s="113">
        <f t="shared" si="0"/>
        <v>0</v>
      </c>
      <c r="G67" s="54">
        <v>0</v>
      </c>
      <c r="H67" s="113">
        <f t="shared" ref="H67" si="85">D67*10%/(1+10%)</f>
        <v>40</v>
      </c>
      <c r="I67" s="113">
        <f t="shared" si="82"/>
        <v>400</v>
      </c>
      <c r="J67" s="108" t="b">
        <v>1</v>
      </c>
      <c r="K67" s="106">
        <v>0</v>
      </c>
      <c r="L67" s="106">
        <f t="shared" si="3"/>
        <v>1360</v>
      </c>
      <c r="M67" s="184" t="s">
        <v>94</v>
      </c>
      <c r="N67" s="41"/>
      <c r="O67" s="112" t="str">
        <f t="shared" si="4"/>
        <v/>
      </c>
      <c r="P67" s="13"/>
      <c r="R67" s="106"/>
    </row>
    <row r="68" spans="1:18" x14ac:dyDescent="0.25">
      <c r="A68" s="166">
        <v>914</v>
      </c>
      <c r="B68" t="s">
        <v>538</v>
      </c>
      <c r="C68" t="s">
        <v>541</v>
      </c>
      <c r="D68" s="54">
        <v>447</v>
      </c>
      <c r="E68" s="114" t="b">
        <v>1</v>
      </c>
      <c r="F68" s="113">
        <f t="shared" si="0"/>
        <v>0</v>
      </c>
      <c r="G68" s="54">
        <v>0</v>
      </c>
      <c r="H68" s="113">
        <f t="shared" ref="H68" si="86">D68*10%/(1+10%)</f>
        <v>40.636363636363633</v>
      </c>
      <c r="I68" s="113">
        <f t="shared" si="82"/>
        <v>406.36363636363637</v>
      </c>
      <c r="J68" s="108" t="b">
        <v>1</v>
      </c>
      <c r="K68" s="106">
        <v>0</v>
      </c>
      <c r="L68" s="106">
        <f t="shared" si="3"/>
        <v>1360</v>
      </c>
      <c r="M68" s="184" t="s">
        <v>94</v>
      </c>
      <c r="N68" s="41"/>
      <c r="O68" s="112" t="str">
        <f t="shared" si="4"/>
        <v/>
      </c>
      <c r="P68" s="13"/>
      <c r="R68" s="106"/>
    </row>
    <row r="69" spans="1:18" x14ac:dyDescent="0.25">
      <c r="A69" s="166">
        <v>912</v>
      </c>
      <c r="B69" t="s">
        <v>284</v>
      </c>
      <c r="C69" t="s">
        <v>287</v>
      </c>
      <c r="D69" s="54">
        <v>2145</v>
      </c>
      <c r="E69" s="114" t="b">
        <v>1</v>
      </c>
      <c r="F69" s="113">
        <f t="shared" si="0"/>
        <v>1360</v>
      </c>
      <c r="G69" s="54">
        <v>24.31</v>
      </c>
      <c r="H69" s="113">
        <f t="shared" ref="H69" si="87">D69*10%/(1+10%)</f>
        <v>194.99999999999997</v>
      </c>
      <c r="I69" s="113">
        <f t="shared" ref="I69" si="88">IF(M69="YES",D69-K69-G69-H69-L69,D69-K69-G69-H69)</f>
        <v>565.69000000000005</v>
      </c>
      <c r="J69" s="108" t="b">
        <v>0</v>
      </c>
      <c r="K69" s="106"/>
      <c r="L69" s="106">
        <f t="shared" si="3"/>
        <v>1360</v>
      </c>
      <c r="M69" s="184" t="s">
        <v>103</v>
      </c>
      <c r="N69" s="165">
        <v>495</v>
      </c>
      <c r="O69" s="112">
        <f t="shared" si="4"/>
        <v>1360</v>
      </c>
      <c r="P69" s="13"/>
      <c r="R69" s="106"/>
    </row>
    <row r="70" spans="1:18" x14ac:dyDescent="0.25">
      <c r="A70" s="166">
        <v>911</v>
      </c>
      <c r="B70" t="s">
        <v>520</v>
      </c>
      <c r="C70" t="s">
        <v>2701</v>
      </c>
      <c r="D70" s="54">
        <v>450</v>
      </c>
      <c r="E70" s="114" t="b">
        <v>1</v>
      </c>
      <c r="F70" s="113">
        <f t="shared" si="0"/>
        <v>0</v>
      </c>
      <c r="G70" s="54">
        <v>0</v>
      </c>
      <c r="H70" s="113">
        <f t="shared" ref="H70" si="89">D70*10%/(1+10%)</f>
        <v>40.909090909090907</v>
      </c>
      <c r="I70" s="113">
        <f t="shared" ref="I70:I75" si="90">IF(M70="YES",D70-K70-G70-H70-L70,D70-K70-G70-H70)</f>
        <v>409.09090909090912</v>
      </c>
      <c r="J70" s="108" t="b">
        <v>1</v>
      </c>
      <c r="K70" s="106">
        <v>0</v>
      </c>
      <c r="L70" s="106">
        <f t="shared" si="3"/>
        <v>1360</v>
      </c>
      <c r="M70" s="184" t="s">
        <v>94</v>
      </c>
      <c r="N70" s="41"/>
      <c r="O70" s="112" t="str">
        <f t="shared" si="4"/>
        <v/>
      </c>
      <c r="P70" s="13"/>
      <c r="R70" s="106"/>
    </row>
    <row r="71" spans="1:18" x14ac:dyDescent="0.25">
      <c r="A71" s="166">
        <v>910</v>
      </c>
      <c r="B71" t="s">
        <v>514</v>
      </c>
      <c r="C71" t="s">
        <v>517</v>
      </c>
      <c r="D71" s="54">
        <v>452</v>
      </c>
      <c r="E71" s="114" t="b">
        <v>1</v>
      </c>
      <c r="F71" s="113">
        <f t="shared" si="0"/>
        <v>0</v>
      </c>
      <c r="G71" s="54">
        <v>0</v>
      </c>
      <c r="H71" s="113">
        <f t="shared" ref="H71" si="91">D71*10%/(1+10%)</f>
        <v>41.090909090909093</v>
      </c>
      <c r="I71" s="113">
        <f t="shared" si="90"/>
        <v>410.90909090909088</v>
      </c>
      <c r="J71" s="108" t="b">
        <v>1</v>
      </c>
      <c r="K71" s="106">
        <v>0</v>
      </c>
      <c r="L71" s="106">
        <f t="shared" si="3"/>
        <v>1360</v>
      </c>
      <c r="M71" s="184" t="s">
        <v>94</v>
      </c>
      <c r="N71" s="41"/>
      <c r="O71" s="112" t="str">
        <f t="shared" si="4"/>
        <v/>
      </c>
      <c r="P71" s="13"/>
      <c r="R71" s="106"/>
    </row>
    <row r="72" spans="1:18" x14ac:dyDescent="0.25">
      <c r="A72" s="166">
        <v>909</v>
      </c>
      <c r="B72" t="s">
        <v>2031</v>
      </c>
      <c r="C72" t="s">
        <v>2033</v>
      </c>
      <c r="D72" s="54">
        <v>895</v>
      </c>
      <c r="E72" s="114" t="b">
        <v>1</v>
      </c>
      <c r="F72" s="113">
        <f t="shared" si="0"/>
        <v>0</v>
      </c>
      <c r="G72" s="54">
        <v>0</v>
      </c>
      <c r="H72" s="113">
        <f t="shared" ref="H72" si="92">D72*10%/(1+10%)</f>
        <v>81.36363636363636</v>
      </c>
      <c r="I72" s="113">
        <f t="shared" si="90"/>
        <v>63.63636363636364</v>
      </c>
      <c r="J72" s="108" t="b">
        <v>1</v>
      </c>
      <c r="K72" s="106">
        <v>750</v>
      </c>
      <c r="L72" s="106">
        <f t="shared" si="3"/>
        <v>1360</v>
      </c>
      <c r="M72" s="184" t="s">
        <v>94</v>
      </c>
      <c r="N72" s="41"/>
      <c r="O72" s="112" t="str">
        <f t="shared" si="4"/>
        <v/>
      </c>
      <c r="P72" s="13"/>
      <c r="R72" s="106"/>
    </row>
    <row r="73" spans="1:18" x14ac:dyDescent="0.25">
      <c r="A73" s="166">
        <v>908</v>
      </c>
      <c r="B73" t="s">
        <v>502</v>
      </c>
      <c r="C73" t="s">
        <v>505</v>
      </c>
      <c r="D73" s="54">
        <v>450</v>
      </c>
      <c r="E73" s="114" t="b">
        <v>1</v>
      </c>
      <c r="F73" s="113">
        <f t="shared" si="0"/>
        <v>0</v>
      </c>
      <c r="G73" s="54">
        <v>0</v>
      </c>
      <c r="H73" s="113">
        <f t="shared" ref="H73" si="93">D73*10%/(1+10%)</f>
        <v>40.909090909090907</v>
      </c>
      <c r="I73" s="113">
        <f t="shared" si="90"/>
        <v>409.09090909090912</v>
      </c>
      <c r="J73" s="108" t="b">
        <v>1</v>
      </c>
      <c r="K73" s="106">
        <v>0</v>
      </c>
      <c r="L73" s="106">
        <f t="shared" si="3"/>
        <v>1360</v>
      </c>
      <c r="M73" s="184" t="s">
        <v>94</v>
      </c>
      <c r="N73" s="41"/>
      <c r="O73" s="112" t="str">
        <f t="shared" si="4"/>
        <v/>
      </c>
      <c r="P73" s="13"/>
      <c r="R73" s="106"/>
    </row>
    <row r="74" spans="1:18" x14ac:dyDescent="0.25">
      <c r="A74" s="166">
        <v>907</v>
      </c>
      <c r="B74" t="s">
        <v>455</v>
      </c>
      <c r="C74" t="s">
        <v>2721</v>
      </c>
      <c r="D74" s="54">
        <v>646</v>
      </c>
      <c r="E74" s="114" t="b">
        <v>1</v>
      </c>
      <c r="F74" s="113">
        <f t="shared" si="0"/>
        <v>0</v>
      </c>
      <c r="G74" s="54">
        <v>0</v>
      </c>
      <c r="H74" s="113">
        <f t="shared" ref="H74" si="94">D74*10%/(1+10%)</f>
        <v>58.727272727272734</v>
      </c>
      <c r="I74" s="113">
        <f t="shared" si="90"/>
        <v>267.07272727272726</v>
      </c>
      <c r="J74" s="108" t="b">
        <v>1</v>
      </c>
      <c r="K74" s="106">
        <v>320.2</v>
      </c>
      <c r="L74" s="106">
        <f t="shared" si="3"/>
        <v>1360</v>
      </c>
      <c r="M74" s="184" t="s">
        <v>94</v>
      </c>
      <c r="N74" s="41"/>
      <c r="O74" s="112" t="str">
        <f t="shared" si="4"/>
        <v/>
      </c>
      <c r="P74" s="13"/>
      <c r="R74" s="106"/>
    </row>
    <row r="75" spans="1:18" x14ac:dyDescent="0.25">
      <c r="A75" s="166">
        <v>906</v>
      </c>
      <c r="B75" t="s">
        <v>461</v>
      </c>
      <c r="C75" t="s">
        <v>2722</v>
      </c>
      <c r="D75" s="54">
        <v>3557</v>
      </c>
      <c r="E75" s="114" t="b">
        <v>1</v>
      </c>
      <c r="F75" s="113">
        <f t="shared" si="0"/>
        <v>0</v>
      </c>
      <c r="G75" s="54">
        <v>24.31</v>
      </c>
      <c r="H75" s="113">
        <f t="shared" ref="H75" si="95">D75*10%/(1+10%)</f>
        <v>323.36363636363637</v>
      </c>
      <c r="I75" s="113">
        <f t="shared" si="90"/>
        <v>1849.3263636363636</v>
      </c>
      <c r="J75" s="108" t="b">
        <v>1</v>
      </c>
      <c r="K75" s="106"/>
      <c r="L75" s="106">
        <f t="shared" si="3"/>
        <v>1360</v>
      </c>
      <c r="M75" s="184" t="s">
        <v>103</v>
      </c>
      <c r="N75" s="165">
        <v>453</v>
      </c>
      <c r="O75" s="112" t="str">
        <f t="shared" si="4"/>
        <v/>
      </c>
      <c r="P75" s="13"/>
      <c r="R75" s="106"/>
    </row>
    <row r="76" spans="1:18" x14ac:dyDescent="0.25">
      <c r="A76" s="166">
        <v>905</v>
      </c>
      <c r="B76" t="s">
        <v>2723</v>
      </c>
      <c r="C76" t="s">
        <v>511</v>
      </c>
      <c r="D76" s="54">
        <v>442</v>
      </c>
      <c r="E76" s="114" t="b">
        <v>1</v>
      </c>
      <c r="F76" s="113">
        <f t="shared" si="0"/>
        <v>0</v>
      </c>
      <c r="G76" s="54">
        <v>0</v>
      </c>
      <c r="H76" s="113">
        <f t="shared" ref="H76" si="96">D76*10%/(1+10%)</f>
        <v>40.18181818181818</v>
      </c>
      <c r="I76" s="113">
        <f t="shared" ref="I76:I77" si="97">IF(M76="YES",D76-K76-G76-H76-L76,D76-K76-G76-H76)</f>
        <v>401.81818181818181</v>
      </c>
      <c r="J76" s="108" t="b">
        <v>1</v>
      </c>
      <c r="K76" s="106">
        <v>0</v>
      </c>
      <c r="L76" s="106">
        <f t="shared" si="3"/>
        <v>1360</v>
      </c>
      <c r="M76" s="184" t="s">
        <v>94</v>
      </c>
      <c r="N76" s="41"/>
      <c r="O76" s="112" t="str">
        <f t="shared" si="4"/>
        <v/>
      </c>
      <c r="P76" s="13"/>
      <c r="R76" s="106"/>
    </row>
    <row r="77" spans="1:18" x14ac:dyDescent="0.25">
      <c r="A77" s="166">
        <v>904</v>
      </c>
      <c r="B77" t="s">
        <v>256</v>
      </c>
      <c r="C77" t="s">
        <v>259</v>
      </c>
      <c r="D77" s="54">
        <v>2155</v>
      </c>
      <c r="E77" s="114" t="b">
        <v>1</v>
      </c>
      <c r="F77" s="113">
        <f t="shared" si="0"/>
        <v>1360</v>
      </c>
      <c r="G77" s="54">
        <v>24.31</v>
      </c>
      <c r="H77" s="113">
        <f t="shared" ref="H77" si="98">D77*10%/(1+10%)</f>
        <v>195.90909090909091</v>
      </c>
      <c r="I77" s="113">
        <f t="shared" si="97"/>
        <v>574.78090909090906</v>
      </c>
      <c r="J77" s="108"/>
      <c r="K77" s="106"/>
      <c r="L77" s="106">
        <f t="shared" si="3"/>
        <v>1360</v>
      </c>
      <c r="M77" s="184" t="s">
        <v>103</v>
      </c>
      <c r="N77" s="165">
        <v>461</v>
      </c>
      <c r="O77" s="112">
        <f t="shared" si="4"/>
        <v>1360</v>
      </c>
      <c r="P77" s="13"/>
      <c r="R77" s="106"/>
    </row>
    <row r="78" spans="1:18" x14ac:dyDescent="0.25">
      <c r="A78" s="166">
        <v>903</v>
      </c>
      <c r="B78" t="s">
        <v>2724</v>
      </c>
      <c r="C78" t="s">
        <v>2725</v>
      </c>
      <c r="D78" s="54">
        <v>3600</v>
      </c>
      <c r="E78" s="114" t="b">
        <v>1</v>
      </c>
      <c r="F78" s="113">
        <f t="shared" si="0"/>
        <v>1360</v>
      </c>
      <c r="G78" s="54">
        <v>70.209999999999994</v>
      </c>
      <c r="H78" s="113">
        <f t="shared" ref="H78" si="99">D78*10%/(1+10%)</f>
        <v>327.27272727272725</v>
      </c>
      <c r="I78" s="113">
        <f t="shared" ref="I78" si="100">IF(M78="YES",D78-K78-G78-H78-L78,D78-K78-G78-H78)</f>
        <v>1842.5172727272729</v>
      </c>
      <c r="J78" s="108" t="b">
        <v>0</v>
      </c>
      <c r="K78" s="106"/>
      <c r="L78" s="106">
        <f t="shared" si="3"/>
        <v>1360</v>
      </c>
      <c r="M78" s="184" t="s">
        <v>103</v>
      </c>
      <c r="N78" s="165">
        <v>689</v>
      </c>
      <c r="O78" s="112">
        <f t="shared" si="4"/>
        <v>1360</v>
      </c>
      <c r="P78" s="13"/>
      <c r="R78" s="106"/>
    </row>
    <row r="79" spans="1:18" x14ac:dyDescent="0.25">
      <c r="A79" s="166">
        <v>902</v>
      </c>
      <c r="B79" t="s">
        <v>655</v>
      </c>
      <c r="C79" t="s">
        <v>657</v>
      </c>
      <c r="D79" s="54">
        <v>452</v>
      </c>
      <c r="E79" s="114" t="b">
        <v>1</v>
      </c>
      <c r="F79" s="113">
        <f t="shared" si="0"/>
        <v>0</v>
      </c>
      <c r="G79" s="54">
        <v>0</v>
      </c>
      <c r="H79" s="113">
        <f t="shared" ref="H79" si="101">D79*10%/(1+10%)</f>
        <v>41.090909090909093</v>
      </c>
      <c r="I79" s="113">
        <f t="shared" ref="I79:I82" si="102">IF(M79="YES",D79-K79-G79-H79-L79,D79-K79-G79-H79)</f>
        <v>410.90909090909088</v>
      </c>
      <c r="J79" s="108" t="b">
        <v>1</v>
      </c>
      <c r="K79" s="106">
        <v>0</v>
      </c>
      <c r="L79" s="106">
        <f t="shared" si="3"/>
        <v>1360</v>
      </c>
      <c r="M79" s="184" t="s">
        <v>94</v>
      </c>
      <c r="N79" s="41"/>
      <c r="O79" s="112" t="str">
        <f t="shared" si="4"/>
        <v/>
      </c>
      <c r="P79" s="13"/>
      <c r="R79" s="106"/>
    </row>
    <row r="80" spans="1:18" x14ac:dyDescent="0.25">
      <c r="A80" s="166">
        <v>901</v>
      </c>
      <c r="B80" t="s">
        <v>525</v>
      </c>
      <c r="C80" t="s">
        <v>2726</v>
      </c>
      <c r="D80" s="54">
        <v>461</v>
      </c>
      <c r="E80" s="114" t="b">
        <v>1</v>
      </c>
      <c r="F80" s="113">
        <f t="shared" si="0"/>
        <v>0</v>
      </c>
      <c r="G80" s="54">
        <v>0</v>
      </c>
      <c r="H80" s="113">
        <f t="shared" ref="H80" si="103">D80*10%/(1+10%)</f>
        <v>41.909090909090907</v>
      </c>
      <c r="I80" s="113">
        <f t="shared" si="102"/>
        <v>419.09090909090912</v>
      </c>
      <c r="J80" s="108" t="b">
        <v>1</v>
      </c>
      <c r="K80" s="106">
        <v>0</v>
      </c>
      <c r="L80" s="106">
        <f t="shared" si="3"/>
        <v>1360</v>
      </c>
      <c r="M80" s="184" t="s">
        <v>94</v>
      </c>
      <c r="N80" s="41"/>
      <c r="O80" s="112" t="str">
        <f t="shared" si="4"/>
        <v/>
      </c>
      <c r="P80" s="13"/>
      <c r="R80" s="106"/>
    </row>
    <row r="81" spans="1:18" x14ac:dyDescent="0.25">
      <c r="A81" s="166">
        <v>900</v>
      </c>
      <c r="B81" t="s">
        <v>574</v>
      </c>
      <c r="C81" t="s">
        <v>577</v>
      </c>
      <c r="D81" s="54">
        <v>464</v>
      </c>
      <c r="E81" s="114" t="b">
        <v>1</v>
      </c>
      <c r="F81" s="113">
        <f t="shared" si="0"/>
        <v>0</v>
      </c>
      <c r="G81" s="54">
        <v>0</v>
      </c>
      <c r="H81" s="113">
        <f t="shared" ref="H81" si="104">D81*10%/(1+10%)</f>
        <v>42.181818181818187</v>
      </c>
      <c r="I81" s="113">
        <f t="shared" si="102"/>
        <v>421.81818181818181</v>
      </c>
      <c r="J81" s="108" t="b">
        <v>1</v>
      </c>
      <c r="K81" s="106">
        <v>0</v>
      </c>
      <c r="L81" s="106">
        <f t="shared" si="3"/>
        <v>1360</v>
      </c>
      <c r="M81" s="184" t="s">
        <v>94</v>
      </c>
      <c r="N81" s="41"/>
      <c r="O81" s="112" t="str">
        <f t="shared" si="4"/>
        <v/>
      </c>
      <c r="P81" s="13"/>
      <c r="R81" s="106"/>
    </row>
    <row r="82" spans="1:18" x14ac:dyDescent="0.25">
      <c r="A82" s="166">
        <v>899</v>
      </c>
      <c r="B82" t="s">
        <v>398</v>
      </c>
      <c r="C82" t="s">
        <v>401</v>
      </c>
      <c r="D82" s="54">
        <v>3100</v>
      </c>
      <c r="E82" s="114" t="b">
        <v>1</v>
      </c>
      <c r="F82" s="113">
        <f t="shared" si="0"/>
        <v>1360</v>
      </c>
      <c r="G82" s="54">
        <v>24.31</v>
      </c>
      <c r="H82" s="113">
        <f t="shared" ref="H82" si="105">D82*10%/(1+10%)</f>
        <v>281.81818181818181</v>
      </c>
      <c r="I82" s="113">
        <f t="shared" si="102"/>
        <v>1433.8718181818181</v>
      </c>
      <c r="J82" s="108" t="b">
        <v>0</v>
      </c>
      <c r="K82" s="106"/>
      <c r="L82" s="106">
        <f t="shared" si="3"/>
        <v>1360</v>
      </c>
      <c r="M82" s="184" t="s">
        <v>103</v>
      </c>
      <c r="N82" s="165">
        <v>425</v>
      </c>
      <c r="O82" s="112">
        <f t="shared" si="4"/>
        <v>1360</v>
      </c>
      <c r="P82" s="13"/>
      <c r="R82" s="106"/>
    </row>
    <row r="83" spans="1:18" x14ac:dyDescent="0.25">
      <c r="A83" s="166">
        <v>898</v>
      </c>
      <c r="B83" t="s">
        <v>223</v>
      </c>
      <c r="C83" t="s">
        <v>2727</v>
      </c>
      <c r="D83" s="54">
        <v>990</v>
      </c>
      <c r="E83" s="114" t="b">
        <v>1</v>
      </c>
      <c r="F83" s="113">
        <f t="shared" si="0"/>
        <v>0</v>
      </c>
      <c r="G83" s="54">
        <v>0</v>
      </c>
      <c r="H83" s="113">
        <f t="shared" ref="H83" si="106">D83*10%/(1+10%)</f>
        <v>89.999999999999986</v>
      </c>
      <c r="I83" s="113">
        <f t="shared" ref="I83" si="107">IF(M83="YES",D83-K83-G83-H83-L83,D83-K83-G83-H83)</f>
        <v>1.4210854715202004E-14</v>
      </c>
      <c r="J83" s="108" t="b">
        <v>1</v>
      </c>
      <c r="K83" s="106">
        <v>900</v>
      </c>
      <c r="L83" s="106">
        <f t="shared" si="3"/>
        <v>1360</v>
      </c>
      <c r="M83" s="184" t="s">
        <v>94</v>
      </c>
      <c r="N83" s="41"/>
      <c r="O83" s="112" t="str">
        <f t="shared" si="4"/>
        <v/>
      </c>
      <c r="P83" s="13"/>
      <c r="R83" s="106"/>
    </row>
    <row r="84" spans="1:18" x14ac:dyDescent="0.25">
      <c r="A84" s="166">
        <v>894</v>
      </c>
      <c r="B84" t="s">
        <v>2728</v>
      </c>
      <c r="C84" t="s">
        <v>2729</v>
      </c>
      <c r="D84" s="54">
        <v>312</v>
      </c>
      <c r="E84" s="114" t="b">
        <v>1</v>
      </c>
      <c r="F84" s="113">
        <f>IF(J84=TRUE,0,IF(AND(E84=TRUE,M84="YES"),L84,IF(E84=TRUE,K84,0)))</f>
        <v>0</v>
      </c>
      <c r="G84" s="54">
        <v>0</v>
      </c>
      <c r="H84" s="113">
        <f>D84*10%/(1+10%)</f>
        <v>28.363636363636363</v>
      </c>
      <c r="I84" s="113">
        <f>IF(M84="YES",D84-K84-G84-H84-L84,D84-K84-G84-H84)</f>
        <v>63.63636363636364</v>
      </c>
      <c r="J84" s="108" t="b">
        <v>1</v>
      </c>
      <c r="K84" s="106">
        <v>220</v>
      </c>
      <c r="L84" s="106">
        <f>IF(D84+N84&gt;=1600,1360,1360)</f>
        <v>1360</v>
      </c>
      <c r="M84" s="184" t="s">
        <v>94</v>
      </c>
      <c r="N84" s="41"/>
      <c r="O84" s="112" t="str">
        <f>IF(F84&gt;=500,F84,"")</f>
        <v/>
      </c>
      <c r="P84" s="13"/>
      <c r="R84" s="106"/>
    </row>
    <row r="85" spans="1:18" x14ac:dyDescent="0.25">
      <c r="A85" s="166">
        <v>896</v>
      </c>
      <c r="B85" t="s">
        <v>704</v>
      </c>
      <c r="C85" t="s">
        <v>707</v>
      </c>
      <c r="D85" s="54">
        <v>464</v>
      </c>
      <c r="E85" s="114" t="b">
        <v>1</v>
      </c>
      <c r="F85" s="113">
        <f t="shared" si="0"/>
        <v>0</v>
      </c>
      <c r="G85" s="54">
        <v>0</v>
      </c>
      <c r="H85" s="113">
        <f t="shared" ref="H85" si="108">D85*10%/(1+10%)</f>
        <v>42.181818181818187</v>
      </c>
      <c r="I85" s="113">
        <f t="shared" ref="I85" si="109">IF(M85="YES",D85-K85-G85-H85-L85,D85-K85-G85-H85)</f>
        <v>397.50818181818181</v>
      </c>
      <c r="J85" s="108" t="b">
        <v>1</v>
      </c>
      <c r="K85" s="106">
        <v>24.31</v>
      </c>
      <c r="L85" s="106">
        <f t="shared" si="3"/>
        <v>1360</v>
      </c>
      <c r="M85" s="184" t="s">
        <v>94</v>
      </c>
      <c r="N85" s="41"/>
      <c r="O85" s="112" t="str">
        <f t="shared" si="4"/>
        <v/>
      </c>
      <c r="P85" s="13"/>
      <c r="R85" s="106"/>
    </row>
    <row r="86" spans="1:18" x14ac:dyDescent="0.25">
      <c r="A86" s="166">
        <v>891</v>
      </c>
      <c r="B86" t="s">
        <v>469</v>
      </c>
      <c r="C86" t="s">
        <v>471</v>
      </c>
      <c r="D86" s="54">
        <v>1155</v>
      </c>
      <c r="E86" s="114" t="b">
        <v>1</v>
      </c>
      <c r="F86" s="113">
        <f t="shared" si="0"/>
        <v>0</v>
      </c>
      <c r="G86" s="54">
        <v>0</v>
      </c>
      <c r="H86" s="113">
        <f t="shared" ref="H86" si="110">D86*10%/(1+10%)</f>
        <v>104.99999999999999</v>
      </c>
      <c r="I86" s="113">
        <f t="shared" ref="I86:I89" si="111">IF(M86="YES",D86-K86-G86-H86-L86,D86-K86-G86-H86)</f>
        <v>356</v>
      </c>
      <c r="J86" s="108" t="b">
        <v>1</v>
      </c>
      <c r="K86" s="106">
        <v>694</v>
      </c>
      <c r="L86" s="106">
        <f t="shared" si="3"/>
        <v>1360</v>
      </c>
      <c r="M86" s="184" t="s">
        <v>94</v>
      </c>
      <c r="N86" s="41"/>
      <c r="O86" s="112" t="str">
        <f t="shared" si="4"/>
        <v/>
      </c>
      <c r="P86" s="13"/>
      <c r="R86" s="106"/>
    </row>
    <row r="87" spans="1:18" x14ac:dyDescent="0.25">
      <c r="A87" s="166">
        <v>890</v>
      </c>
      <c r="B87" t="s">
        <v>2031</v>
      </c>
      <c r="C87" t="s">
        <v>2033</v>
      </c>
      <c r="D87" s="54">
        <v>1376</v>
      </c>
      <c r="E87" s="114" t="b">
        <v>1</v>
      </c>
      <c r="F87" s="113">
        <f t="shared" si="0"/>
        <v>0</v>
      </c>
      <c r="G87" s="54">
        <v>0</v>
      </c>
      <c r="H87" s="113">
        <f t="shared" ref="H87" si="112">D87*10%/(1+10%)</f>
        <v>125.09090909090908</v>
      </c>
      <c r="I87" s="113">
        <f t="shared" si="111"/>
        <v>-70.090909090909079</v>
      </c>
      <c r="J87" s="108" t="b">
        <v>1</v>
      </c>
      <c r="K87" s="106">
        <v>1321</v>
      </c>
      <c r="L87" s="106">
        <f t="shared" si="3"/>
        <v>1360</v>
      </c>
      <c r="M87" s="184" t="s">
        <v>94</v>
      </c>
      <c r="N87" s="41"/>
      <c r="O87" s="112" t="str">
        <f t="shared" si="4"/>
        <v/>
      </c>
      <c r="P87" s="13"/>
      <c r="R87" s="106"/>
    </row>
    <row r="88" spans="1:18" x14ac:dyDescent="0.25">
      <c r="A88" s="166">
        <v>889</v>
      </c>
      <c r="B88" t="s">
        <v>443</v>
      </c>
      <c r="C88" t="s">
        <v>445</v>
      </c>
      <c r="D88" s="54">
        <v>1155</v>
      </c>
      <c r="E88" s="114"/>
      <c r="F88" s="113">
        <f t="shared" si="0"/>
        <v>0</v>
      </c>
      <c r="G88" s="54">
        <v>0</v>
      </c>
      <c r="H88" s="113">
        <f t="shared" ref="H88" si="113">D88*10%/(1+10%)</f>
        <v>104.99999999999999</v>
      </c>
      <c r="I88" s="113">
        <f t="shared" si="111"/>
        <v>356</v>
      </c>
      <c r="J88" s="108"/>
      <c r="K88" s="106">
        <v>694</v>
      </c>
      <c r="L88" s="106">
        <f t="shared" si="3"/>
        <v>1360</v>
      </c>
      <c r="M88" s="184" t="s">
        <v>94</v>
      </c>
      <c r="N88" s="41"/>
      <c r="O88" s="112" t="str">
        <f t="shared" si="4"/>
        <v/>
      </c>
      <c r="P88" s="13"/>
      <c r="R88" s="106"/>
    </row>
    <row r="89" spans="1:18" x14ac:dyDescent="0.25">
      <c r="A89" s="166">
        <v>888</v>
      </c>
      <c r="B89" t="s">
        <v>484</v>
      </c>
      <c r="C89" t="s">
        <v>487</v>
      </c>
      <c r="D89" s="54">
        <v>2369</v>
      </c>
      <c r="E89" s="114" t="b">
        <v>1</v>
      </c>
      <c r="F89" s="113">
        <f t="shared" si="0"/>
        <v>1360</v>
      </c>
      <c r="G89" s="54">
        <v>24.31</v>
      </c>
      <c r="H89" s="113">
        <f t="shared" ref="H89" si="114">D89*10%/(1+10%)</f>
        <v>215.36363636363635</v>
      </c>
      <c r="I89" s="113">
        <f t="shared" si="111"/>
        <v>769.32636363636357</v>
      </c>
      <c r="J89" s="108"/>
      <c r="K89" s="106"/>
      <c r="L89" s="106">
        <f t="shared" si="3"/>
        <v>1360</v>
      </c>
      <c r="M89" s="184" t="s">
        <v>103</v>
      </c>
      <c r="N89" s="165">
        <v>448</v>
      </c>
      <c r="O89" s="112">
        <f t="shared" si="4"/>
        <v>1360</v>
      </c>
      <c r="P89" s="13"/>
      <c r="R89" s="106"/>
    </row>
    <row r="90" spans="1:18" x14ac:dyDescent="0.25">
      <c r="A90" s="166">
        <v>887</v>
      </c>
      <c r="B90" t="s">
        <v>2730</v>
      </c>
      <c r="C90" t="s">
        <v>2731</v>
      </c>
      <c r="D90" s="54">
        <v>3319</v>
      </c>
      <c r="E90" s="114" t="b">
        <v>1</v>
      </c>
      <c r="F90" s="113">
        <f t="shared" si="0"/>
        <v>1360</v>
      </c>
      <c r="G90" s="54">
        <v>24.31</v>
      </c>
      <c r="H90" s="113">
        <f t="shared" ref="H90" si="115">D90*10%/(1+10%)</f>
        <v>301.72727272727275</v>
      </c>
      <c r="I90" s="113">
        <f t="shared" ref="I90" si="116">IF(M90="YES",D90-K90-G90-H90-L90,D90-K90-G90-H90)</f>
        <v>1632.9627272727275</v>
      </c>
      <c r="J90" s="108"/>
      <c r="K90" s="106"/>
      <c r="L90" s="106">
        <f t="shared" si="3"/>
        <v>1360</v>
      </c>
      <c r="M90" s="184" t="s">
        <v>103</v>
      </c>
      <c r="N90" s="165">
        <v>0</v>
      </c>
      <c r="O90" s="112">
        <f t="shared" si="4"/>
        <v>1360</v>
      </c>
      <c r="P90" s="13"/>
      <c r="R90" s="106"/>
    </row>
    <row r="91" spans="1:18" x14ac:dyDescent="0.25">
      <c r="A91" s="166">
        <v>886</v>
      </c>
      <c r="B91" t="s">
        <v>381</v>
      </c>
      <c r="C91" t="s">
        <v>2732</v>
      </c>
      <c r="D91" s="54">
        <v>2605</v>
      </c>
      <c r="E91" s="114" t="b">
        <v>1</v>
      </c>
      <c r="F91" s="113">
        <f t="shared" si="0"/>
        <v>441</v>
      </c>
      <c r="G91" s="54">
        <v>24.31</v>
      </c>
      <c r="H91" s="113">
        <f t="shared" ref="H91" si="117">D91*10%/(1+10%)</f>
        <v>236.81818181818181</v>
      </c>
      <c r="I91" s="113">
        <f t="shared" ref="I91" si="118">IF(M91="YES",D91-K91-G91-H91-L91,D91-K91-G91-H91)</f>
        <v>1902.8718181818183</v>
      </c>
      <c r="J91" s="108"/>
      <c r="K91" s="106">
        <v>441</v>
      </c>
      <c r="L91" s="106">
        <f t="shared" si="3"/>
        <v>1360</v>
      </c>
      <c r="M91" s="184" t="s">
        <v>94</v>
      </c>
      <c r="N91" s="41"/>
      <c r="O91" s="112" t="str">
        <f t="shared" si="4"/>
        <v/>
      </c>
      <c r="P91" s="13"/>
      <c r="R91" s="106"/>
    </row>
    <row r="92" spans="1:18" x14ac:dyDescent="0.25">
      <c r="A92" s="166">
        <v>884</v>
      </c>
      <c r="B92" t="s">
        <v>2469</v>
      </c>
      <c r="C92" t="s">
        <v>2472</v>
      </c>
      <c r="D92" s="54">
        <v>2250</v>
      </c>
      <c r="E92" s="114" t="b">
        <v>1</v>
      </c>
      <c r="F92" s="113">
        <f t="shared" si="0"/>
        <v>0</v>
      </c>
      <c r="G92" s="54">
        <v>24.31</v>
      </c>
      <c r="H92" s="113">
        <f t="shared" ref="H92" si="119">D92*10%/(1+10%)</f>
        <v>204.54545454545453</v>
      </c>
      <c r="I92" s="113">
        <f t="shared" ref="I92" si="120">IF(M92="YES",D92-K92-G92-H92-L92,D92-K92-G92-H92)</f>
        <v>661.14454545454555</v>
      </c>
      <c r="J92" s="108" t="b">
        <v>1</v>
      </c>
      <c r="K92" s="106"/>
      <c r="L92" s="106">
        <f t="shared" si="3"/>
        <v>1360</v>
      </c>
      <c r="M92" s="184" t="s">
        <v>103</v>
      </c>
      <c r="N92" s="165">
        <v>429</v>
      </c>
      <c r="O92" s="112" t="str">
        <f t="shared" si="4"/>
        <v/>
      </c>
      <c r="P92" s="13"/>
      <c r="R92" s="106"/>
    </row>
    <row r="93" spans="1:18" x14ac:dyDescent="0.25">
      <c r="A93" s="166">
        <v>883</v>
      </c>
      <c r="B93" t="s">
        <v>497</v>
      </c>
      <c r="C93" t="s">
        <v>499</v>
      </c>
      <c r="D93" s="54">
        <v>2019</v>
      </c>
      <c r="E93" s="114" t="b">
        <v>1</v>
      </c>
      <c r="F93" s="113">
        <f t="shared" si="0"/>
        <v>1360</v>
      </c>
      <c r="G93" s="54">
        <v>29.91</v>
      </c>
      <c r="H93" s="113">
        <f t="shared" ref="H93" si="121">D93*10%/(1+10%)</f>
        <v>183.54545454545453</v>
      </c>
      <c r="I93" s="113">
        <f t="shared" ref="I93" si="122">IF(M93="YES",D93-K93-G93-H93-L93,D93-K93-G93-H93)</f>
        <v>445.54454545454541</v>
      </c>
      <c r="J93" s="108"/>
      <c r="K93" s="106"/>
      <c r="L93" s="106">
        <f t="shared" si="3"/>
        <v>1360</v>
      </c>
      <c r="M93" s="184" t="s">
        <v>103</v>
      </c>
      <c r="N93" s="165"/>
      <c r="O93" s="112">
        <f t="shared" si="4"/>
        <v>1360</v>
      </c>
      <c r="P93" s="13"/>
      <c r="R93" s="106"/>
    </row>
    <row r="94" spans="1:18" x14ac:dyDescent="0.25">
      <c r="A94" s="166">
        <v>882</v>
      </c>
      <c r="B94" t="s">
        <v>2733</v>
      </c>
      <c r="C94" t="s">
        <v>2734</v>
      </c>
      <c r="D94" s="54">
        <v>1961</v>
      </c>
      <c r="E94" s="114" t="b">
        <v>1</v>
      </c>
      <c r="F94" s="113">
        <f t="shared" si="0"/>
        <v>0</v>
      </c>
      <c r="G94" s="54">
        <v>0</v>
      </c>
      <c r="H94" s="113">
        <f t="shared" ref="H94" si="123">D94*10%/(1+10%)</f>
        <v>178.27272727272728</v>
      </c>
      <c r="I94" s="113">
        <f t="shared" ref="I94:I98" si="124">IF(M94="YES",D94-K94-G94-H94-L94,D94-K94-G94-H94)</f>
        <v>482.72727272727275</v>
      </c>
      <c r="J94" s="108" t="b">
        <v>1</v>
      </c>
      <c r="K94" s="106">
        <v>1300</v>
      </c>
      <c r="L94" s="106">
        <f t="shared" si="3"/>
        <v>1360</v>
      </c>
      <c r="M94" s="184" t="s">
        <v>94</v>
      </c>
      <c r="N94" s="41"/>
      <c r="O94" s="112" t="str">
        <f t="shared" si="4"/>
        <v/>
      </c>
      <c r="P94" s="13"/>
      <c r="R94" s="106"/>
    </row>
    <row r="95" spans="1:18" x14ac:dyDescent="0.25">
      <c r="A95" s="166">
        <v>881</v>
      </c>
      <c r="B95" t="s">
        <v>491</v>
      </c>
      <c r="C95" t="s">
        <v>494</v>
      </c>
      <c r="D95" s="54">
        <v>485</v>
      </c>
      <c r="E95" s="114" t="b">
        <v>1</v>
      </c>
      <c r="F95" s="113">
        <f t="shared" si="0"/>
        <v>0</v>
      </c>
      <c r="G95" s="54">
        <v>0</v>
      </c>
      <c r="H95" s="113">
        <f t="shared" ref="H95" si="125">D95*10%/(1+10%)</f>
        <v>44.090909090909086</v>
      </c>
      <c r="I95" s="113">
        <f t="shared" si="124"/>
        <v>440.90909090909093</v>
      </c>
      <c r="J95" s="108" t="b">
        <v>1</v>
      </c>
      <c r="K95" s="106">
        <v>0</v>
      </c>
      <c r="L95" s="106">
        <f t="shared" si="3"/>
        <v>1360</v>
      </c>
      <c r="M95" s="184" t="s">
        <v>94</v>
      </c>
      <c r="N95" s="41"/>
      <c r="O95" s="112" t="str">
        <f t="shared" si="4"/>
        <v/>
      </c>
      <c r="P95" s="13"/>
      <c r="R95" s="106"/>
    </row>
    <row r="96" spans="1:18" x14ac:dyDescent="0.25">
      <c r="A96" s="166">
        <v>876</v>
      </c>
      <c r="B96" t="s">
        <v>437</v>
      </c>
      <c r="C96" t="s">
        <v>440</v>
      </c>
      <c r="D96" s="54">
        <v>1840</v>
      </c>
      <c r="E96" s="114" t="b">
        <v>1</v>
      </c>
      <c r="F96" s="113">
        <f t="shared" si="0"/>
        <v>1400</v>
      </c>
      <c r="G96" s="54">
        <v>0</v>
      </c>
      <c r="H96" s="113">
        <f t="shared" ref="H96" si="126">D96*10%/(1+10%)</f>
        <v>167.27272727272725</v>
      </c>
      <c r="I96" s="113">
        <f t="shared" si="124"/>
        <v>272.72727272727275</v>
      </c>
      <c r="J96" s="108"/>
      <c r="K96" s="106">
        <v>1400</v>
      </c>
      <c r="L96" s="106">
        <f t="shared" si="3"/>
        <v>1360</v>
      </c>
      <c r="M96" s="184" t="s">
        <v>94</v>
      </c>
      <c r="N96" s="41"/>
      <c r="O96" s="112">
        <f t="shared" si="4"/>
        <v>1400</v>
      </c>
      <c r="P96" s="13"/>
      <c r="R96" s="106"/>
    </row>
    <row r="97" spans="1:18" x14ac:dyDescent="0.25">
      <c r="A97" s="166">
        <v>874</v>
      </c>
      <c r="B97" t="s">
        <v>484</v>
      </c>
      <c r="C97" t="s">
        <v>487</v>
      </c>
      <c r="D97" s="54">
        <v>448</v>
      </c>
      <c r="E97" s="114" t="b">
        <v>1</v>
      </c>
      <c r="F97" s="113">
        <f t="shared" si="0"/>
        <v>0</v>
      </c>
      <c r="G97" s="54">
        <v>0</v>
      </c>
      <c r="H97" s="113">
        <f t="shared" ref="H97" si="127">D97*10%/(1+10%)</f>
        <v>40.727272727272727</v>
      </c>
      <c r="I97" s="113">
        <f t="shared" si="124"/>
        <v>407.27272727272725</v>
      </c>
      <c r="J97" s="108"/>
      <c r="K97" s="106">
        <v>0</v>
      </c>
      <c r="L97" s="106">
        <f t="shared" si="3"/>
        <v>1360</v>
      </c>
      <c r="M97" s="184" t="s">
        <v>94</v>
      </c>
      <c r="N97" s="41"/>
      <c r="O97" s="112" t="str">
        <f t="shared" si="4"/>
        <v/>
      </c>
      <c r="P97" s="13"/>
      <c r="R97" s="106"/>
    </row>
    <row r="98" spans="1:18" x14ac:dyDescent="0.25">
      <c r="A98" s="166">
        <v>873</v>
      </c>
      <c r="B98" t="s">
        <v>448</v>
      </c>
      <c r="C98" t="s">
        <v>2735</v>
      </c>
      <c r="D98" s="54">
        <v>3674</v>
      </c>
      <c r="E98" s="114" t="b">
        <v>1</v>
      </c>
      <c r="F98" s="113">
        <f t="shared" si="0"/>
        <v>1360</v>
      </c>
      <c r="G98" s="54">
        <v>1664.31</v>
      </c>
      <c r="H98" s="113">
        <f t="shared" ref="H98" si="128">D98*10%/(1+10%)</f>
        <v>334</v>
      </c>
      <c r="I98" s="113">
        <f t="shared" si="124"/>
        <v>315.69000000000005</v>
      </c>
      <c r="J98" s="108"/>
      <c r="K98" s="106"/>
      <c r="L98" s="106">
        <f t="shared" si="3"/>
        <v>1360</v>
      </c>
      <c r="M98" s="184" t="s">
        <v>103</v>
      </c>
      <c r="N98" s="165">
        <v>482</v>
      </c>
      <c r="O98" s="112">
        <f t="shared" si="4"/>
        <v>1360</v>
      </c>
      <c r="P98" s="13"/>
      <c r="R98" s="106"/>
    </row>
    <row r="99" spans="1:18" x14ac:dyDescent="0.25">
      <c r="A99" s="166">
        <v>870</v>
      </c>
      <c r="B99" t="s">
        <v>262</v>
      </c>
      <c r="C99" t="s">
        <v>2736</v>
      </c>
      <c r="D99" s="54">
        <v>2155</v>
      </c>
      <c r="E99" s="114" t="b">
        <v>1</v>
      </c>
      <c r="F99" s="113">
        <f t="shared" si="0"/>
        <v>1360</v>
      </c>
      <c r="G99" s="54">
        <v>24.31</v>
      </c>
      <c r="H99" s="113">
        <f t="shared" ref="H99" si="129">D99*10%/(1+10%)</f>
        <v>195.90909090909091</v>
      </c>
      <c r="I99" s="113">
        <f t="shared" ref="I99" si="130">IF(M99="YES",D99-K99-G99-H99-L99,D99-K99-G99-H99)</f>
        <v>574.78090909090906</v>
      </c>
      <c r="J99" s="108"/>
      <c r="K99" s="106"/>
      <c r="L99" s="106">
        <f t="shared" si="3"/>
        <v>1360</v>
      </c>
      <c r="M99" s="184" t="s">
        <v>103</v>
      </c>
      <c r="N99" s="165">
        <v>435</v>
      </c>
      <c r="O99" s="112">
        <f t="shared" si="4"/>
        <v>1360</v>
      </c>
      <c r="P99" s="13"/>
      <c r="R99" s="106"/>
    </row>
    <row r="100" spans="1:18" x14ac:dyDescent="0.25">
      <c r="A100" s="166">
        <v>866</v>
      </c>
      <c r="B100" t="s">
        <v>2737</v>
      </c>
      <c r="C100" t="s">
        <v>2738</v>
      </c>
      <c r="D100" s="54">
        <v>3851</v>
      </c>
      <c r="E100" s="114"/>
      <c r="F100" s="113">
        <f t="shared" si="0"/>
        <v>0</v>
      </c>
      <c r="G100" s="54">
        <v>0</v>
      </c>
      <c r="H100" s="113">
        <f t="shared" ref="H100" si="131">D100*10%/(1+10%)</f>
        <v>350.09090909090907</v>
      </c>
      <c r="I100" s="113">
        <f t="shared" ref="I100:I104" si="132">IF(M100="YES",D100-K100-G100-H100-L100,D100-K100-G100-H100)</f>
        <v>1406.909090909091</v>
      </c>
      <c r="J100" s="108"/>
      <c r="K100" s="106">
        <v>2094</v>
      </c>
      <c r="L100" s="106">
        <f t="shared" si="3"/>
        <v>1360</v>
      </c>
      <c r="M100" s="184" t="s">
        <v>94</v>
      </c>
      <c r="N100" s="41"/>
      <c r="O100" s="112" t="str">
        <f t="shared" si="4"/>
        <v/>
      </c>
      <c r="P100" s="13"/>
      <c r="R100" s="106"/>
    </row>
    <row r="101" spans="1:18" x14ac:dyDescent="0.25">
      <c r="A101" s="166">
        <v>864</v>
      </c>
      <c r="B101" t="s">
        <v>2739</v>
      </c>
      <c r="C101" t="s">
        <v>2740</v>
      </c>
      <c r="D101" s="54">
        <v>447</v>
      </c>
      <c r="E101" s="114"/>
      <c r="F101" s="113">
        <f t="shared" si="0"/>
        <v>0</v>
      </c>
      <c r="G101" s="54">
        <v>0</v>
      </c>
      <c r="H101" s="113">
        <f t="shared" ref="H101" si="133">D101*10%/(1+10%)</f>
        <v>40.636363636363633</v>
      </c>
      <c r="I101" s="113">
        <f t="shared" si="132"/>
        <v>406.36363636363637</v>
      </c>
      <c r="J101" s="108"/>
      <c r="K101" s="106">
        <v>0</v>
      </c>
      <c r="L101" s="106">
        <f t="shared" si="3"/>
        <v>1360</v>
      </c>
      <c r="M101" s="184" t="s">
        <v>94</v>
      </c>
      <c r="N101" s="41"/>
      <c r="O101" s="112" t="str">
        <f t="shared" si="4"/>
        <v/>
      </c>
      <c r="P101" s="13"/>
      <c r="R101" s="106"/>
    </row>
    <row r="102" spans="1:18" x14ac:dyDescent="0.25">
      <c r="A102" s="166">
        <v>863</v>
      </c>
      <c r="B102" t="s">
        <v>2741</v>
      </c>
      <c r="C102" t="s">
        <v>2742</v>
      </c>
      <c r="D102" s="54">
        <v>1285</v>
      </c>
      <c r="E102" s="114" t="b">
        <v>1</v>
      </c>
      <c r="F102" s="113">
        <f t="shared" si="0"/>
        <v>0</v>
      </c>
      <c r="G102" s="54">
        <v>0</v>
      </c>
      <c r="H102" s="113">
        <f t="shared" ref="H102" si="134">D102*10%/(1+10%)</f>
        <v>116.81818181818181</v>
      </c>
      <c r="I102" s="113">
        <f t="shared" si="132"/>
        <v>474.18181818181819</v>
      </c>
      <c r="J102" s="108" t="b">
        <v>1</v>
      </c>
      <c r="K102" s="106">
        <v>694</v>
      </c>
      <c r="L102" s="106">
        <f t="shared" si="3"/>
        <v>1360</v>
      </c>
      <c r="M102" s="184" t="s">
        <v>94</v>
      </c>
      <c r="N102" s="41"/>
      <c r="O102" s="112" t="str">
        <f t="shared" si="4"/>
        <v/>
      </c>
      <c r="P102" s="13"/>
      <c r="R102" s="106"/>
    </row>
    <row r="103" spans="1:18" x14ac:dyDescent="0.25">
      <c r="A103" s="166">
        <v>859</v>
      </c>
      <c r="B103" t="s">
        <v>461</v>
      </c>
      <c r="C103" t="s">
        <v>2722</v>
      </c>
      <c r="D103" s="54">
        <v>453</v>
      </c>
      <c r="E103" s="114" t="b">
        <v>1</v>
      </c>
      <c r="F103" s="113">
        <f t="shared" si="0"/>
        <v>0</v>
      </c>
      <c r="G103" s="54">
        <v>0</v>
      </c>
      <c r="H103" s="113">
        <f t="shared" ref="H103" si="135">D103*10%/(1+10%)</f>
        <v>41.18181818181818</v>
      </c>
      <c r="I103" s="113">
        <f t="shared" si="132"/>
        <v>411.81818181818181</v>
      </c>
      <c r="J103" s="108" t="b">
        <v>1</v>
      </c>
      <c r="K103" s="106">
        <v>0</v>
      </c>
      <c r="L103" s="106">
        <f t="shared" si="3"/>
        <v>1360</v>
      </c>
      <c r="M103" s="184" t="s">
        <v>94</v>
      </c>
      <c r="N103" s="41"/>
      <c r="O103" s="112" t="str">
        <f t="shared" si="4"/>
        <v/>
      </c>
      <c r="P103" s="13"/>
      <c r="R103" s="106"/>
    </row>
    <row r="104" spans="1:18" x14ac:dyDescent="0.25">
      <c r="A104" s="166">
        <v>858</v>
      </c>
      <c r="B104" t="s">
        <v>272</v>
      </c>
      <c r="C104" t="s">
        <v>275</v>
      </c>
      <c r="D104" s="54">
        <v>1905</v>
      </c>
      <c r="E104" s="114" t="b">
        <v>1</v>
      </c>
      <c r="F104" s="113">
        <f t="shared" si="0"/>
        <v>1360</v>
      </c>
      <c r="G104" s="54">
        <v>24.31</v>
      </c>
      <c r="H104" s="113">
        <f t="shared" ref="H104" si="136">D104*10%/(1+10%)</f>
        <v>173.18181818181816</v>
      </c>
      <c r="I104" s="113">
        <f t="shared" si="132"/>
        <v>347.50818181818181</v>
      </c>
      <c r="J104" s="108"/>
      <c r="K104" s="106"/>
      <c r="L104" s="106">
        <f t="shared" si="3"/>
        <v>1360</v>
      </c>
      <c r="M104" s="184" t="s">
        <v>103</v>
      </c>
      <c r="N104" s="165">
        <v>440</v>
      </c>
      <c r="O104" s="112">
        <f t="shared" si="4"/>
        <v>1360</v>
      </c>
      <c r="P104" s="13"/>
      <c r="R104" s="106"/>
    </row>
    <row r="105" spans="1:18" x14ac:dyDescent="0.25">
      <c r="A105" s="166">
        <v>856</v>
      </c>
      <c r="B105" t="s">
        <v>555</v>
      </c>
      <c r="C105" t="s">
        <v>558</v>
      </c>
      <c r="D105" s="54">
        <v>456</v>
      </c>
      <c r="E105" s="114" t="b">
        <v>1</v>
      </c>
      <c r="F105" s="113">
        <f t="shared" si="0"/>
        <v>0</v>
      </c>
      <c r="G105" s="54">
        <v>0</v>
      </c>
      <c r="H105" s="113">
        <f t="shared" ref="H105" si="137">D105*10%/(1+10%)</f>
        <v>41.454545454545453</v>
      </c>
      <c r="I105" s="113">
        <f t="shared" ref="I105:I106" si="138">IF(M105="YES",D105-K105-G105-H105-L105,D105-K105-G105-H105)</f>
        <v>414.54545454545456</v>
      </c>
      <c r="J105" s="108" t="b">
        <v>1</v>
      </c>
      <c r="K105" s="106">
        <v>0</v>
      </c>
      <c r="L105" s="106">
        <f t="shared" si="3"/>
        <v>1360</v>
      </c>
      <c r="M105" s="184" t="s">
        <v>94</v>
      </c>
      <c r="N105" s="41"/>
      <c r="O105" s="112" t="str">
        <f t="shared" si="4"/>
        <v/>
      </c>
      <c r="P105" s="13"/>
      <c r="R105" s="106"/>
    </row>
    <row r="106" spans="1:18" x14ac:dyDescent="0.25">
      <c r="A106" s="166">
        <v>855</v>
      </c>
      <c r="B106" t="s">
        <v>478</v>
      </c>
      <c r="C106" t="s">
        <v>481</v>
      </c>
      <c r="D106" s="54">
        <v>448</v>
      </c>
      <c r="E106" s="114" t="b">
        <v>1</v>
      </c>
      <c r="F106" s="113">
        <f t="shared" si="0"/>
        <v>0</v>
      </c>
      <c r="G106" s="54">
        <v>0</v>
      </c>
      <c r="H106" s="113">
        <f t="shared" ref="H106" si="139">D106*10%/(1+10%)</f>
        <v>40.727272727272727</v>
      </c>
      <c r="I106" s="113">
        <f t="shared" si="138"/>
        <v>407.27272727272725</v>
      </c>
      <c r="J106" s="108" t="b">
        <v>1</v>
      </c>
      <c r="K106" s="106">
        <v>0</v>
      </c>
      <c r="L106" s="106">
        <f t="shared" si="3"/>
        <v>1360</v>
      </c>
      <c r="M106" s="184" t="s">
        <v>94</v>
      </c>
      <c r="N106" s="41"/>
      <c r="O106" s="112" t="str">
        <f t="shared" si="4"/>
        <v/>
      </c>
      <c r="P106" s="13"/>
      <c r="R106" s="106"/>
    </row>
    <row r="107" spans="1:18" x14ac:dyDescent="0.25">
      <c r="A107" s="166">
        <v>853</v>
      </c>
      <c r="B107" t="s">
        <v>2469</v>
      </c>
      <c r="C107" t="s">
        <v>2472</v>
      </c>
      <c r="D107" s="54">
        <v>429</v>
      </c>
      <c r="E107" s="114" t="b">
        <v>1</v>
      </c>
      <c r="F107" s="113">
        <f t="shared" si="0"/>
        <v>0</v>
      </c>
      <c r="G107" s="54">
        <v>0</v>
      </c>
      <c r="H107" s="113">
        <f t="shared" ref="H107" si="140">D107*10%/(1+10%)</f>
        <v>39</v>
      </c>
      <c r="I107" s="113">
        <f t="shared" ref="I107:I108" si="141">IF(M107="YES",D107-K107-G107-H107-L107,D107-K107-G107-H107)</f>
        <v>390</v>
      </c>
      <c r="J107" s="108" t="b">
        <v>1</v>
      </c>
      <c r="K107" s="106">
        <v>0</v>
      </c>
      <c r="L107" s="106">
        <f t="shared" si="3"/>
        <v>1360</v>
      </c>
      <c r="M107" s="184" t="s">
        <v>94</v>
      </c>
      <c r="N107" s="41"/>
      <c r="O107" s="112" t="str">
        <f t="shared" si="4"/>
        <v/>
      </c>
      <c r="P107" s="13"/>
      <c r="R107" s="106"/>
    </row>
    <row r="108" spans="1:18" x14ac:dyDescent="0.25">
      <c r="A108" s="166">
        <v>852</v>
      </c>
      <c r="B108" t="s">
        <v>2431</v>
      </c>
      <c r="C108" t="s">
        <v>2434</v>
      </c>
      <c r="D108" s="54">
        <v>1930</v>
      </c>
      <c r="E108" s="114" t="b">
        <v>1</v>
      </c>
      <c r="F108" s="113">
        <f t="shared" si="0"/>
        <v>0</v>
      </c>
      <c r="G108" s="54">
        <v>24.31</v>
      </c>
      <c r="H108" s="113">
        <f t="shared" ref="H108" si="142">D108*10%/(1+10%)</f>
        <v>175.45454545454544</v>
      </c>
      <c r="I108" s="113">
        <f t="shared" si="141"/>
        <v>370.23545454545456</v>
      </c>
      <c r="J108" s="108" t="b">
        <v>1</v>
      </c>
      <c r="K108" s="106"/>
      <c r="L108" s="106">
        <f t="shared" si="3"/>
        <v>1360</v>
      </c>
      <c r="M108" s="184" t="s">
        <v>103</v>
      </c>
      <c r="N108" s="165">
        <v>441</v>
      </c>
      <c r="O108" s="112" t="str">
        <f t="shared" si="4"/>
        <v/>
      </c>
      <c r="P108" s="13"/>
      <c r="R108" s="106"/>
    </row>
    <row r="109" spans="1:18" x14ac:dyDescent="0.25">
      <c r="A109" s="166">
        <v>850</v>
      </c>
      <c r="B109" t="s">
        <v>437</v>
      </c>
      <c r="C109" t="s">
        <v>440</v>
      </c>
      <c r="D109" s="54">
        <v>817</v>
      </c>
      <c r="E109" s="114" t="b">
        <v>1</v>
      </c>
      <c r="F109" s="113">
        <f t="shared" si="0"/>
        <v>0</v>
      </c>
      <c r="G109" s="54">
        <v>0</v>
      </c>
      <c r="H109" s="113">
        <f t="shared" ref="H109" si="143">D109*10%/(1+10%)</f>
        <v>74.272727272727266</v>
      </c>
      <c r="I109" s="113">
        <f t="shared" ref="I109:I117" si="144">IF(M109="YES",D109-K109-G109-H109-L109,D109-K109-G109-H109)</f>
        <v>322.72727272727275</v>
      </c>
      <c r="J109" s="108" t="b">
        <v>1</v>
      </c>
      <c r="K109" s="106">
        <v>420</v>
      </c>
      <c r="L109" s="106">
        <f t="shared" si="3"/>
        <v>1360</v>
      </c>
      <c r="M109" s="184" t="s">
        <v>94</v>
      </c>
      <c r="N109" s="41"/>
      <c r="O109" s="112" t="str">
        <f t="shared" si="4"/>
        <v/>
      </c>
      <c r="P109" s="13"/>
      <c r="R109" s="106"/>
    </row>
    <row r="110" spans="1:18" x14ac:dyDescent="0.25">
      <c r="A110" s="166">
        <v>849</v>
      </c>
      <c r="B110" t="s">
        <v>455</v>
      </c>
      <c r="C110" t="s">
        <v>458</v>
      </c>
      <c r="D110" s="54">
        <v>441</v>
      </c>
      <c r="E110" s="114" t="b">
        <v>1</v>
      </c>
      <c r="F110" s="113">
        <f t="shared" si="0"/>
        <v>0</v>
      </c>
      <c r="G110" s="54">
        <v>0</v>
      </c>
      <c r="H110" s="113">
        <f t="shared" ref="H110" si="145">D110*10%/(1+10%)</f>
        <v>40.090909090909086</v>
      </c>
      <c r="I110" s="113">
        <f t="shared" si="144"/>
        <v>400.90909090909093</v>
      </c>
      <c r="J110" s="108" t="b">
        <v>1</v>
      </c>
      <c r="K110" s="106">
        <v>0</v>
      </c>
      <c r="L110" s="106">
        <f t="shared" si="3"/>
        <v>1360</v>
      </c>
      <c r="M110" s="184" t="s">
        <v>94</v>
      </c>
      <c r="N110" s="41"/>
      <c r="O110" s="112" t="str">
        <f t="shared" si="4"/>
        <v/>
      </c>
      <c r="P110" s="13"/>
      <c r="R110" s="106"/>
    </row>
    <row r="111" spans="1:18" x14ac:dyDescent="0.25">
      <c r="A111" s="166">
        <v>846</v>
      </c>
      <c r="B111" t="s">
        <v>448</v>
      </c>
      <c r="C111" t="s">
        <v>2735</v>
      </c>
      <c r="D111" s="54">
        <v>482</v>
      </c>
      <c r="E111" s="114" t="b">
        <v>1</v>
      </c>
      <c r="F111" s="113">
        <f t="shared" si="0"/>
        <v>0</v>
      </c>
      <c r="G111" s="54">
        <v>0</v>
      </c>
      <c r="H111" s="113">
        <f t="shared" ref="H111" si="146">D111*10%/(1+10%)</f>
        <v>43.81818181818182</v>
      </c>
      <c r="I111" s="113">
        <f t="shared" si="144"/>
        <v>438.18181818181819</v>
      </c>
      <c r="J111" s="108" t="b">
        <v>1</v>
      </c>
      <c r="K111" s="106">
        <v>0</v>
      </c>
      <c r="L111" s="106">
        <f t="shared" si="3"/>
        <v>1360</v>
      </c>
      <c r="M111" s="184" t="s">
        <v>94</v>
      </c>
      <c r="N111" s="41"/>
      <c r="O111" s="112" t="str">
        <f t="shared" si="4"/>
        <v/>
      </c>
      <c r="P111" s="13"/>
      <c r="R111" s="106"/>
    </row>
    <row r="112" spans="1:18" x14ac:dyDescent="0.25">
      <c r="A112" s="166">
        <v>843</v>
      </c>
      <c r="B112" t="s">
        <v>200</v>
      </c>
      <c r="C112" t="s">
        <v>2743</v>
      </c>
      <c r="D112" s="54">
        <v>2274</v>
      </c>
      <c r="E112" s="114" t="b">
        <v>1</v>
      </c>
      <c r="F112" s="113">
        <f t="shared" si="0"/>
        <v>640</v>
      </c>
      <c r="G112" s="54">
        <v>0</v>
      </c>
      <c r="H112" s="113">
        <f t="shared" ref="H112" si="147">D112*10%/(1+10%)</f>
        <v>206.72727272727272</v>
      </c>
      <c r="I112" s="113">
        <f t="shared" si="144"/>
        <v>1427.2727272727273</v>
      </c>
      <c r="J112" s="108"/>
      <c r="K112" s="106">
        <v>640</v>
      </c>
      <c r="L112" s="106">
        <f t="shared" si="3"/>
        <v>1360</v>
      </c>
      <c r="M112" s="184" t="s">
        <v>94</v>
      </c>
      <c r="N112" s="41"/>
      <c r="O112" s="112">
        <f t="shared" si="4"/>
        <v>640</v>
      </c>
      <c r="P112" s="13"/>
      <c r="R112" s="106"/>
    </row>
    <row r="113" spans="1:18" x14ac:dyDescent="0.25">
      <c r="A113" s="166">
        <v>842</v>
      </c>
      <c r="B113" t="s">
        <v>2744</v>
      </c>
      <c r="C113" t="s">
        <v>426</v>
      </c>
      <c r="D113" s="54">
        <v>1846</v>
      </c>
      <c r="E113" s="114" t="b">
        <v>1</v>
      </c>
      <c r="F113" s="113">
        <f t="shared" si="0"/>
        <v>0</v>
      </c>
      <c r="G113" s="54">
        <v>0</v>
      </c>
      <c r="H113" s="113">
        <f t="shared" ref="H113" si="148">D113*10%/(1+10%)</f>
        <v>167.81818181818181</v>
      </c>
      <c r="I113" s="113">
        <f t="shared" si="144"/>
        <v>984.18181818181824</v>
      </c>
      <c r="J113" s="108" t="b">
        <v>1</v>
      </c>
      <c r="K113" s="106">
        <v>694</v>
      </c>
      <c r="L113" s="106">
        <f t="shared" si="3"/>
        <v>1360</v>
      </c>
      <c r="M113" s="184" t="s">
        <v>94</v>
      </c>
      <c r="N113" s="41"/>
      <c r="O113" s="112" t="str">
        <f t="shared" si="4"/>
        <v/>
      </c>
      <c r="P113" s="13"/>
      <c r="R113" s="106"/>
    </row>
    <row r="114" spans="1:18" x14ac:dyDescent="0.25">
      <c r="A114" s="166">
        <v>840</v>
      </c>
      <c r="B114" t="s">
        <v>469</v>
      </c>
      <c r="C114" t="s">
        <v>2745</v>
      </c>
      <c r="D114" s="54">
        <v>454</v>
      </c>
      <c r="E114" s="114" t="b">
        <v>1</v>
      </c>
      <c r="F114" s="113">
        <f t="shared" si="0"/>
        <v>0</v>
      </c>
      <c r="G114" s="54">
        <v>0</v>
      </c>
      <c r="H114" s="113">
        <f t="shared" ref="H114" si="149">D114*10%/(1+10%)</f>
        <v>41.272727272727273</v>
      </c>
      <c r="I114" s="113">
        <f t="shared" si="144"/>
        <v>412.72727272727275</v>
      </c>
      <c r="J114" s="108"/>
      <c r="K114" s="106">
        <v>0</v>
      </c>
      <c r="L114" s="106">
        <f t="shared" si="3"/>
        <v>1360</v>
      </c>
      <c r="M114" s="184" t="s">
        <v>94</v>
      </c>
      <c r="N114" s="41"/>
      <c r="O114" s="112" t="str">
        <f t="shared" si="4"/>
        <v/>
      </c>
      <c r="P114" s="13"/>
      <c r="R114" s="106"/>
    </row>
    <row r="115" spans="1:18" x14ac:dyDescent="0.25">
      <c r="A115" s="166">
        <v>839</v>
      </c>
      <c r="B115" t="s">
        <v>2746</v>
      </c>
      <c r="C115" t="s">
        <v>433</v>
      </c>
      <c r="D115" s="54">
        <v>2026</v>
      </c>
      <c r="E115" s="114" t="b">
        <v>1</v>
      </c>
      <c r="F115" s="113">
        <f t="shared" si="0"/>
        <v>814</v>
      </c>
      <c r="G115" s="54">
        <v>0</v>
      </c>
      <c r="H115" s="113">
        <f t="shared" ref="H115" si="150">D115*10%/(1+10%)</f>
        <v>184.18181818181819</v>
      </c>
      <c r="I115" s="113">
        <f t="shared" si="144"/>
        <v>1027.8181818181818</v>
      </c>
      <c r="J115" s="108" t="b">
        <v>0</v>
      </c>
      <c r="K115" s="106">
        <v>814</v>
      </c>
      <c r="L115" s="106">
        <f t="shared" si="3"/>
        <v>1360</v>
      </c>
      <c r="M115" s="184" t="s">
        <v>94</v>
      </c>
      <c r="N115" s="41"/>
      <c r="O115" s="112">
        <f t="shared" si="4"/>
        <v>814</v>
      </c>
      <c r="P115" s="13"/>
      <c r="R115" s="106"/>
    </row>
    <row r="116" spans="1:18" x14ac:dyDescent="0.25">
      <c r="A116" s="166">
        <v>838</v>
      </c>
      <c r="B116" t="s">
        <v>437</v>
      </c>
      <c r="C116" t="s">
        <v>2747</v>
      </c>
      <c r="D116" s="54">
        <v>442</v>
      </c>
      <c r="E116" s="114" t="b">
        <v>1</v>
      </c>
      <c r="F116" s="113">
        <f t="shared" si="0"/>
        <v>0</v>
      </c>
      <c r="G116" s="54">
        <v>0</v>
      </c>
      <c r="H116" s="113">
        <f t="shared" ref="H116" si="151">D116*10%/(1+10%)</f>
        <v>40.18181818181818</v>
      </c>
      <c r="I116" s="113">
        <f t="shared" si="144"/>
        <v>401.81818181818181</v>
      </c>
      <c r="J116" s="108" t="b">
        <v>1</v>
      </c>
      <c r="K116" s="106">
        <v>0</v>
      </c>
      <c r="L116" s="106">
        <f t="shared" si="3"/>
        <v>1360</v>
      </c>
      <c r="M116" s="184" t="s">
        <v>94</v>
      </c>
      <c r="N116" s="41"/>
      <c r="O116" s="112" t="str">
        <f t="shared" si="4"/>
        <v/>
      </c>
      <c r="P116" s="13"/>
      <c r="R116" s="106"/>
    </row>
    <row r="117" spans="1:18" x14ac:dyDescent="0.25">
      <c r="A117" s="166">
        <v>837</v>
      </c>
      <c r="B117" t="s">
        <v>443</v>
      </c>
      <c r="C117" t="s">
        <v>445</v>
      </c>
      <c r="D117" s="54">
        <v>457</v>
      </c>
      <c r="E117" s="114" t="b">
        <v>1</v>
      </c>
      <c r="F117" s="113">
        <f t="shared" si="0"/>
        <v>0</v>
      </c>
      <c r="G117" s="54">
        <v>0</v>
      </c>
      <c r="H117" s="113">
        <f t="shared" ref="H117" si="152">D117*10%/(1+10%)</f>
        <v>41.545454545454547</v>
      </c>
      <c r="I117" s="113">
        <f t="shared" si="144"/>
        <v>415.45454545454544</v>
      </c>
      <c r="J117" s="108" t="b">
        <v>1</v>
      </c>
      <c r="K117" s="106">
        <v>0</v>
      </c>
      <c r="L117" s="106">
        <f t="shared" si="3"/>
        <v>1360</v>
      </c>
      <c r="M117" s="184" t="s">
        <v>94</v>
      </c>
      <c r="N117" s="41"/>
      <c r="O117" s="112" t="str">
        <f t="shared" si="4"/>
        <v/>
      </c>
      <c r="P117" s="13"/>
      <c r="R117" s="106"/>
    </row>
    <row r="118" spans="1:18" x14ac:dyDescent="0.25">
      <c r="A118" s="166">
        <v>834</v>
      </c>
      <c r="B118" t="s">
        <v>416</v>
      </c>
      <c r="C118" t="s">
        <v>419</v>
      </c>
      <c r="D118" s="54">
        <v>2220</v>
      </c>
      <c r="E118" s="114" t="b">
        <v>1</v>
      </c>
      <c r="F118" s="113">
        <f t="shared" ref="F118:F141" si="153">IF(J118=TRUE,0,IF(AND(E118=TRUE,M118="YES"),L118,IF(E118=TRUE,K118,0)))</f>
        <v>0</v>
      </c>
      <c r="G118" s="54">
        <v>23.31</v>
      </c>
      <c r="H118" s="113">
        <f t="shared" ref="H118" si="154">D118*10%/(1+10%)</f>
        <v>201.81818181818181</v>
      </c>
      <c r="I118" s="113">
        <f t="shared" ref="I118" si="155">IF(M118="YES",D118-K118-G118-H118-L118,D118-K118-G118-H118)</f>
        <v>1300.8718181818183</v>
      </c>
      <c r="J118" s="108" t="b">
        <v>1</v>
      </c>
      <c r="K118" s="106">
        <v>694</v>
      </c>
      <c r="L118" s="106">
        <f t="shared" si="3"/>
        <v>1360</v>
      </c>
      <c r="M118" s="184" t="s">
        <v>94</v>
      </c>
      <c r="N118" s="41"/>
      <c r="O118" s="112" t="str">
        <f t="shared" si="4"/>
        <v/>
      </c>
      <c r="P118" s="13"/>
      <c r="R118" s="106"/>
    </row>
    <row r="119" spans="1:18" x14ac:dyDescent="0.25">
      <c r="A119" s="166">
        <v>831</v>
      </c>
      <c r="B119" t="s">
        <v>394</v>
      </c>
      <c r="C119" t="s">
        <v>396</v>
      </c>
      <c r="D119" s="54">
        <v>1155</v>
      </c>
      <c r="E119" s="114" t="b">
        <v>1</v>
      </c>
      <c r="F119" s="113">
        <f t="shared" si="153"/>
        <v>694</v>
      </c>
      <c r="G119" s="54">
        <v>0</v>
      </c>
      <c r="H119" s="113">
        <f t="shared" ref="H119" si="156">D119*10%/(1+10%)</f>
        <v>104.99999999999999</v>
      </c>
      <c r="I119" s="113">
        <f t="shared" ref="I119:I121" si="157">IF(M119="YES",D119-K119-G119-H119-L119,D119-K119-G119-H119)</f>
        <v>356</v>
      </c>
      <c r="J119" s="108"/>
      <c r="K119" s="106">
        <v>694</v>
      </c>
      <c r="L119" s="106">
        <f t="shared" si="3"/>
        <v>1360</v>
      </c>
      <c r="M119" s="184" t="s">
        <v>94</v>
      </c>
      <c r="N119" s="41"/>
      <c r="O119" s="112">
        <f t="shared" si="4"/>
        <v>694</v>
      </c>
      <c r="P119" s="13"/>
      <c r="R119" s="106"/>
    </row>
    <row r="120" spans="1:18" x14ac:dyDescent="0.25">
      <c r="A120" s="166">
        <v>829</v>
      </c>
      <c r="B120" t="s">
        <v>405</v>
      </c>
      <c r="C120" t="s">
        <v>407</v>
      </c>
      <c r="D120" s="54">
        <v>646</v>
      </c>
      <c r="E120" s="114" t="b">
        <v>1</v>
      </c>
      <c r="F120" s="113">
        <f t="shared" si="153"/>
        <v>0</v>
      </c>
      <c r="G120" s="54">
        <v>0</v>
      </c>
      <c r="H120" s="113">
        <f t="shared" ref="H120" si="158">D120*10%/(1+10%)</f>
        <v>58.727272727272734</v>
      </c>
      <c r="I120" s="113">
        <f t="shared" si="157"/>
        <v>267.27272727272725</v>
      </c>
      <c r="J120" s="108" t="b">
        <v>1</v>
      </c>
      <c r="K120" s="106">
        <v>320</v>
      </c>
      <c r="L120" s="106">
        <f t="shared" si="3"/>
        <v>1360</v>
      </c>
      <c r="M120" s="184" t="s">
        <v>94</v>
      </c>
      <c r="N120" s="41"/>
      <c r="O120" s="112" t="str">
        <f t="shared" si="4"/>
        <v/>
      </c>
      <c r="P120" s="13"/>
      <c r="R120" s="106"/>
    </row>
    <row r="121" spans="1:18" x14ac:dyDescent="0.25">
      <c r="A121" s="166">
        <v>827</v>
      </c>
      <c r="B121" t="s">
        <v>411</v>
      </c>
      <c r="C121" t="s">
        <v>413</v>
      </c>
      <c r="D121" s="54">
        <v>1605</v>
      </c>
      <c r="E121" s="114" t="b">
        <v>1</v>
      </c>
      <c r="F121" s="113">
        <f t="shared" si="153"/>
        <v>0</v>
      </c>
      <c r="G121" s="54">
        <v>0</v>
      </c>
      <c r="H121" s="113">
        <f t="shared" ref="H121" si="159">D121*10%/(1+10%)</f>
        <v>145.90909090909091</v>
      </c>
      <c r="I121" s="113">
        <f t="shared" si="157"/>
        <v>765.09090909090912</v>
      </c>
      <c r="J121" s="108" t="b">
        <v>1</v>
      </c>
      <c r="K121" s="106">
        <v>694</v>
      </c>
      <c r="L121" s="106">
        <f t="shared" si="3"/>
        <v>1360</v>
      </c>
      <c r="M121" s="184" t="s">
        <v>94</v>
      </c>
      <c r="N121" s="41"/>
      <c r="O121" s="112" t="str">
        <f t="shared" si="4"/>
        <v/>
      </c>
      <c r="P121" s="13"/>
      <c r="R121" s="106"/>
    </row>
    <row r="122" spans="1:18" x14ac:dyDescent="0.25">
      <c r="A122" s="166">
        <v>824</v>
      </c>
      <c r="B122" t="s">
        <v>362</v>
      </c>
      <c r="C122" t="s">
        <v>365</v>
      </c>
      <c r="D122" s="54">
        <v>2705</v>
      </c>
      <c r="E122" s="114" t="b">
        <v>1</v>
      </c>
      <c r="F122" s="113">
        <f t="shared" si="153"/>
        <v>1360</v>
      </c>
      <c r="G122" s="54">
        <v>35.51</v>
      </c>
      <c r="H122" s="113">
        <f t="shared" ref="H122" si="160">D122*10%/(1+10%)</f>
        <v>245.90909090909088</v>
      </c>
      <c r="I122" s="113">
        <f t="shared" ref="I122" si="161">IF(M122="YES",D122-K122-G122-H122-L122,D122-K122-G122-H122)</f>
        <v>1063.5809090909088</v>
      </c>
      <c r="J122" s="108"/>
      <c r="K122" s="106"/>
      <c r="L122" s="106">
        <f t="shared" si="3"/>
        <v>1360</v>
      </c>
      <c r="M122" s="184" t="s">
        <v>103</v>
      </c>
      <c r="N122" s="165">
        <v>474</v>
      </c>
      <c r="O122" s="112">
        <f t="shared" si="4"/>
        <v>1360</v>
      </c>
      <c r="P122" s="13"/>
      <c r="R122" s="106"/>
    </row>
    <row r="123" spans="1:18" x14ac:dyDescent="0.25">
      <c r="A123" s="166">
        <v>822</v>
      </c>
      <c r="B123" t="s">
        <v>2748</v>
      </c>
      <c r="C123" t="s">
        <v>2749</v>
      </c>
      <c r="D123" s="54">
        <v>550</v>
      </c>
      <c r="E123" s="114" t="b">
        <v>1</v>
      </c>
      <c r="F123" s="113">
        <f t="shared" si="153"/>
        <v>0</v>
      </c>
      <c r="G123" s="54">
        <v>0</v>
      </c>
      <c r="H123" s="113">
        <f t="shared" ref="H123" si="162">D123*10%/(1+10%)</f>
        <v>49.999999999999993</v>
      </c>
      <c r="I123" s="113">
        <f t="shared" ref="I123:I125" si="163">IF(M123="YES",D123-K123-G123-H123-L123,D123-K123-G123-H123)</f>
        <v>475.69000000000005</v>
      </c>
      <c r="J123" s="108" t="b">
        <v>1</v>
      </c>
      <c r="K123" s="106">
        <v>24.31</v>
      </c>
      <c r="L123" s="106">
        <f t="shared" si="3"/>
        <v>1360</v>
      </c>
      <c r="M123" s="184" t="s">
        <v>94</v>
      </c>
      <c r="N123" s="41"/>
      <c r="O123" s="112" t="str">
        <f t="shared" si="4"/>
        <v/>
      </c>
      <c r="P123" s="13"/>
      <c r="R123" s="106"/>
    </row>
    <row r="124" spans="1:18" x14ac:dyDescent="0.25">
      <c r="A124" s="166">
        <v>821</v>
      </c>
      <c r="B124" t="s">
        <v>349</v>
      </c>
      <c r="C124" t="s">
        <v>2750</v>
      </c>
      <c r="D124" s="54">
        <v>1855</v>
      </c>
      <c r="E124" s="114" t="b">
        <v>1</v>
      </c>
      <c r="F124" s="113">
        <f t="shared" si="153"/>
        <v>680</v>
      </c>
      <c r="G124" s="54">
        <v>0</v>
      </c>
      <c r="H124" s="113">
        <f t="shared" ref="H124" si="164">D124*10%/(1+10%)</f>
        <v>168.63636363636363</v>
      </c>
      <c r="I124" s="113">
        <f t="shared" si="163"/>
        <v>1006.3636363636364</v>
      </c>
      <c r="J124" s="108"/>
      <c r="K124" s="106">
        <v>680</v>
      </c>
      <c r="L124" s="106">
        <f t="shared" si="3"/>
        <v>1360</v>
      </c>
      <c r="M124" s="184" t="s">
        <v>94</v>
      </c>
      <c r="N124" s="41"/>
      <c r="O124" s="112">
        <f t="shared" si="4"/>
        <v>680</v>
      </c>
      <c r="P124" s="13"/>
      <c r="R124" s="106"/>
    </row>
    <row r="125" spans="1:18" x14ac:dyDescent="0.25">
      <c r="A125" s="166">
        <v>820</v>
      </c>
      <c r="B125" t="s">
        <v>2751</v>
      </c>
      <c r="C125" t="s">
        <v>359</v>
      </c>
      <c r="D125" s="54">
        <v>2605</v>
      </c>
      <c r="E125" s="114" t="b">
        <v>1</v>
      </c>
      <c r="F125" s="113">
        <f t="shared" si="153"/>
        <v>1360</v>
      </c>
      <c r="G125" s="54">
        <v>24.31</v>
      </c>
      <c r="H125" s="113">
        <f t="shared" ref="H125" si="165">D125*10%/(1+10%)</f>
        <v>236.81818181818181</v>
      </c>
      <c r="I125" s="113">
        <f t="shared" si="163"/>
        <v>983.87181818181807</v>
      </c>
      <c r="J125" s="108"/>
      <c r="K125" s="106"/>
      <c r="L125" s="106">
        <f t="shared" si="3"/>
        <v>1360</v>
      </c>
      <c r="M125" s="184" t="s">
        <v>103</v>
      </c>
      <c r="N125" s="165">
        <v>448</v>
      </c>
      <c r="O125" s="112">
        <f t="shared" si="4"/>
        <v>1360</v>
      </c>
      <c r="P125" s="13"/>
      <c r="R125" s="106"/>
    </row>
    <row r="126" spans="1:18" x14ac:dyDescent="0.25">
      <c r="A126" s="166">
        <v>819</v>
      </c>
      <c r="B126" t="s">
        <v>343</v>
      </c>
      <c r="C126" t="s">
        <v>2752</v>
      </c>
      <c r="D126" s="54">
        <v>646</v>
      </c>
      <c r="E126" s="114" t="b">
        <v>1</v>
      </c>
      <c r="F126" s="113">
        <f t="shared" si="153"/>
        <v>320</v>
      </c>
      <c r="G126" s="54">
        <v>0</v>
      </c>
      <c r="H126" s="113">
        <f t="shared" ref="H126" si="166">D126*10%/(1+10%)</f>
        <v>58.727272727272734</v>
      </c>
      <c r="I126" s="113">
        <f t="shared" ref="I126" si="167">IF(M126="YES",D126-K126-G126-H126-L126,D126-K126-G126-H126)</f>
        <v>267.27272727272725</v>
      </c>
      <c r="J126" s="108"/>
      <c r="K126" s="106">
        <v>320</v>
      </c>
      <c r="L126" s="106">
        <f t="shared" si="3"/>
        <v>1360</v>
      </c>
      <c r="M126" s="184" t="s">
        <v>94</v>
      </c>
      <c r="N126" s="41"/>
      <c r="O126" s="112" t="str">
        <f t="shared" si="4"/>
        <v/>
      </c>
      <c r="P126" s="13"/>
      <c r="R126" s="106"/>
    </row>
    <row r="127" spans="1:18" x14ac:dyDescent="0.25">
      <c r="A127" s="166">
        <v>816</v>
      </c>
      <c r="B127" t="s">
        <v>416</v>
      </c>
      <c r="C127" t="s">
        <v>419</v>
      </c>
      <c r="D127" s="54">
        <v>461</v>
      </c>
      <c r="E127" s="114" t="b">
        <v>1</v>
      </c>
      <c r="F127" s="113">
        <f t="shared" si="153"/>
        <v>0</v>
      </c>
      <c r="G127" s="54">
        <v>0</v>
      </c>
      <c r="H127" s="113">
        <f t="shared" ref="H127" si="168">D127*10%/(1+10%)</f>
        <v>41.909090909090907</v>
      </c>
      <c r="I127" s="113">
        <f t="shared" ref="I127" si="169">IF(M127="YES",D127-K127-G127-H127-L127,D127-K127-G127-H127)</f>
        <v>419.09090909090912</v>
      </c>
      <c r="J127" s="108" t="b">
        <v>1</v>
      </c>
      <c r="K127" s="106">
        <v>0</v>
      </c>
      <c r="L127" s="106">
        <f t="shared" si="3"/>
        <v>1360</v>
      </c>
      <c r="M127" s="184" t="s">
        <v>94</v>
      </c>
      <c r="N127" s="41"/>
      <c r="O127" s="112" t="str">
        <f t="shared" si="4"/>
        <v/>
      </c>
      <c r="P127" s="13"/>
      <c r="R127" s="106"/>
    </row>
    <row r="128" spans="1:18" x14ac:dyDescent="0.25">
      <c r="A128" s="166">
        <v>813</v>
      </c>
      <c r="B128" t="s">
        <v>2753</v>
      </c>
      <c r="C128" t="s">
        <v>2754</v>
      </c>
      <c r="D128" s="54">
        <v>3414</v>
      </c>
      <c r="E128" s="114" t="b">
        <v>1</v>
      </c>
      <c r="F128" s="113">
        <f t="shared" si="153"/>
        <v>0</v>
      </c>
      <c r="G128" s="54">
        <v>0</v>
      </c>
      <c r="H128" s="113">
        <f t="shared" ref="H128" si="170">D128*10%/(1+10%)</f>
        <v>310.36363636363637</v>
      </c>
      <c r="I128" s="113">
        <f t="shared" ref="I128:I130" si="171">IF(M128="YES",D128-K128-G128-H128-L128,D128-K128-G128-H128)</f>
        <v>1423.6363636363635</v>
      </c>
      <c r="J128" s="108" t="b">
        <v>1</v>
      </c>
      <c r="K128" s="106">
        <v>1680</v>
      </c>
      <c r="L128" s="106">
        <f t="shared" si="3"/>
        <v>1360</v>
      </c>
      <c r="M128" s="184" t="s">
        <v>94</v>
      </c>
      <c r="N128" s="41"/>
      <c r="O128" s="112" t="str">
        <f t="shared" si="4"/>
        <v/>
      </c>
      <c r="P128" s="13"/>
      <c r="R128" s="106"/>
    </row>
    <row r="129" spans="1:18" x14ac:dyDescent="0.25">
      <c r="A129" s="166">
        <v>811</v>
      </c>
      <c r="B129" t="s">
        <v>205</v>
      </c>
      <c r="C129" t="s">
        <v>2729</v>
      </c>
      <c r="D129" s="54">
        <v>646</v>
      </c>
      <c r="E129" s="114" t="b">
        <v>1</v>
      </c>
      <c r="F129" s="113">
        <f t="shared" si="153"/>
        <v>320</v>
      </c>
      <c r="G129" s="54">
        <v>0</v>
      </c>
      <c r="H129" s="113">
        <f t="shared" ref="H129" si="172">D129*10%/(1+10%)</f>
        <v>58.727272727272734</v>
      </c>
      <c r="I129" s="113">
        <f t="shared" si="171"/>
        <v>267.27272727272725</v>
      </c>
      <c r="J129" s="108"/>
      <c r="K129" s="106">
        <v>320</v>
      </c>
      <c r="L129" s="106">
        <f t="shared" si="3"/>
        <v>1360</v>
      </c>
      <c r="M129" s="184" t="s">
        <v>94</v>
      </c>
      <c r="N129" s="41"/>
      <c r="O129" s="112" t="str">
        <f t="shared" si="4"/>
        <v/>
      </c>
      <c r="P129" s="13"/>
      <c r="R129" s="106"/>
    </row>
    <row r="130" spans="1:18" x14ac:dyDescent="0.25">
      <c r="A130" s="166">
        <v>810</v>
      </c>
      <c r="B130" t="s">
        <v>2755</v>
      </c>
      <c r="C130" t="s">
        <v>91</v>
      </c>
      <c r="D130" s="54">
        <v>325.5</v>
      </c>
      <c r="E130" s="114" t="b">
        <v>1</v>
      </c>
      <c r="F130" s="113">
        <f t="shared" si="153"/>
        <v>280</v>
      </c>
      <c r="G130" s="54">
        <v>0</v>
      </c>
      <c r="H130" s="113">
        <f t="shared" ref="H130" si="173">D130*10%/(1+10%)</f>
        <v>29.590909090909093</v>
      </c>
      <c r="I130" s="113">
        <f t="shared" si="171"/>
        <v>15.909090909090907</v>
      </c>
      <c r="J130" s="108"/>
      <c r="K130" s="106">
        <v>280</v>
      </c>
      <c r="L130" s="106">
        <f t="shared" si="3"/>
        <v>1360</v>
      </c>
      <c r="M130" s="184" t="s">
        <v>94</v>
      </c>
      <c r="N130" s="41"/>
      <c r="O130" s="112" t="str">
        <f t="shared" si="4"/>
        <v/>
      </c>
      <c r="P130" s="13"/>
      <c r="R130" s="106"/>
    </row>
    <row r="131" spans="1:18" x14ac:dyDescent="0.25">
      <c r="A131" s="166">
        <v>807</v>
      </c>
      <c r="B131" t="s">
        <v>2756</v>
      </c>
      <c r="C131" t="s">
        <v>2757</v>
      </c>
      <c r="D131" s="54">
        <v>2711</v>
      </c>
      <c r="E131" s="114" t="b">
        <v>1</v>
      </c>
      <c r="F131" s="113">
        <f t="shared" si="153"/>
        <v>1360</v>
      </c>
      <c r="G131" s="54">
        <v>24.31</v>
      </c>
      <c r="H131" s="113">
        <f t="shared" ref="H131:H135" si="174">D131*10%/(1+10%)</f>
        <v>246.45454545454547</v>
      </c>
      <c r="I131" s="113">
        <f t="shared" ref="I131" si="175">IF(M131="YES",D131-K131-G131-H131-L131,D131-K131-G131-H131)</f>
        <v>1080.2354545454546</v>
      </c>
      <c r="J131" s="108"/>
      <c r="K131" s="106"/>
      <c r="L131" s="106">
        <f t="shared" si="3"/>
        <v>1360</v>
      </c>
      <c r="M131" s="184" t="s">
        <v>103</v>
      </c>
      <c r="N131" s="165">
        <v>448</v>
      </c>
      <c r="O131" s="112">
        <f t="shared" si="4"/>
        <v>1360</v>
      </c>
      <c r="P131" s="13"/>
      <c r="R131" s="106"/>
    </row>
    <row r="132" spans="1:18" x14ac:dyDescent="0.25">
      <c r="A132" s="166">
        <v>805</v>
      </c>
      <c r="B132" t="s">
        <v>54</v>
      </c>
      <c r="C132" t="s">
        <v>57</v>
      </c>
      <c r="D132" s="54">
        <v>2352</v>
      </c>
      <c r="E132" s="114" t="b">
        <v>1</v>
      </c>
      <c r="F132" s="113">
        <f t="shared" si="153"/>
        <v>1360</v>
      </c>
      <c r="G132" s="54">
        <v>24.31</v>
      </c>
      <c r="H132" s="113">
        <f t="shared" si="174"/>
        <v>213.81818181818181</v>
      </c>
      <c r="I132" s="113">
        <f t="shared" ref="I132" si="176">IF(M132="YES",D132-K132-G132-H132-L132,D132-K132-G132-H132)</f>
        <v>753.87181818181807</v>
      </c>
      <c r="J132" s="108"/>
      <c r="K132" s="106"/>
      <c r="L132" s="106">
        <f t="shared" si="3"/>
        <v>1360</v>
      </c>
      <c r="M132" s="184" t="s">
        <v>103</v>
      </c>
      <c r="N132" s="165">
        <v>461</v>
      </c>
      <c r="O132" s="112">
        <f t="shared" si="4"/>
        <v>1360</v>
      </c>
      <c r="P132" s="13"/>
      <c r="R132" s="106"/>
    </row>
    <row r="133" spans="1:18" x14ac:dyDescent="0.25">
      <c r="A133" s="166">
        <v>803</v>
      </c>
      <c r="B133" t="s">
        <v>2741</v>
      </c>
      <c r="C133" t="s">
        <v>2742</v>
      </c>
      <c r="D133" s="54">
        <v>642</v>
      </c>
      <c r="E133" s="114" t="b">
        <v>1</v>
      </c>
      <c r="F133" s="113">
        <f t="shared" si="153"/>
        <v>0</v>
      </c>
      <c r="G133" s="54">
        <v>0</v>
      </c>
      <c r="H133" s="113">
        <f t="shared" si="174"/>
        <v>58.36363636363636</v>
      </c>
      <c r="I133" s="113">
        <f t="shared" ref="I133:I134" si="177">IF(M133="YES",D133-K133-G133-H133-L133,D133-K133-G133-H133)</f>
        <v>263.63636363636363</v>
      </c>
      <c r="J133" s="108" t="b">
        <v>1</v>
      </c>
      <c r="K133" s="106">
        <v>320</v>
      </c>
      <c r="L133" s="106">
        <f t="shared" si="3"/>
        <v>1360</v>
      </c>
      <c r="M133" s="184" t="s">
        <v>94</v>
      </c>
      <c r="N133" s="41"/>
      <c r="O133" s="112" t="str">
        <f t="shared" si="4"/>
        <v/>
      </c>
      <c r="P133" s="13"/>
      <c r="R133" s="106"/>
    </row>
    <row r="134" spans="1:18" x14ac:dyDescent="0.25">
      <c r="A134" s="166">
        <v>802</v>
      </c>
      <c r="B134" t="s">
        <v>2758</v>
      </c>
      <c r="C134" t="s">
        <v>148</v>
      </c>
      <c r="D134" s="54">
        <v>2000</v>
      </c>
      <c r="E134" s="114" t="b">
        <v>1</v>
      </c>
      <c r="F134" s="113">
        <f t="shared" si="153"/>
        <v>1360</v>
      </c>
      <c r="G134" s="54">
        <v>24.31</v>
      </c>
      <c r="H134" s="113">
        <f t="shared" si="174"/>
        <v>181.81818181818181</v>
      </c>
      <c r="I134" s="113">
        <f t="shared" si="177"/>
        <v>433.8718181818183</v>
      </c>
      <c r="J134" s="108"/>
      <c r="K134" s="106"/>
      <c r="L134" s="106">
        <f t="shared" si="3"/>
        <v>1360</v>
      </c>
      <c r="M134" s="184" t="s">
        <v>103</v>
      </c>
      <c r="N134" s="165">
        <v>450</v>
      </c>
      <c r="O134" s="112">
        <f t="shared" si="4"/>
        <v>1360</v>
      </c>
      <c r="P134" s="13"/>
      <c r="R134" s="106"/>
    </row>
    <row r="135" spans="1:18" x14ac:dyDescent="0.25">
      <c r="A135" s="166">
        <v>799</v>
      </c>
      <c r="B135" t="s">
        <v>54</v>
      </c>
      <c r="C135" t="s">
        <v>57</v>
      </c>
      <c r="D135" s="54">
        <v>490</v>
      </c>
      <c r="E135" s="114" t="b">
        <v>1</v>
      </c>
      <c r="F135" s="113">
        <f t="shared" si="153"/>
        <v>0</v>
      </c>
      <c r="G135" s="54">
        <v>0</v>
      </c>
      <c r="H135" s="113">
        <f t="shared" si="174"/>
        <v>44.54545454545454</v>
      </c>
      <c r="I135" s="113">
        <f t="shared" ref="I135" si="178">IF(M135="YES",D135-K135-G135-H135-L135,D135-K135-G135-H135)</f>
        <v>-44.54545454545454</v>
      </c>
      <c r="J135" s="108" t="b">
        <v>1</v>
      </c>
      <c r="K135" s="106">
        <v>490</v>
      </c>
      <c r="L135" s="106">
        <f t="shared" si="3"/>
        <v>1360</v>
      </c>
      <c r="M135" s="184" t="s">
        <v>94</v>
      </c>
      <c r="N135" s="41"/>
      <c r="O135" s="112" t="str">
        <f t="shared" si="4"/>
        <v/>
      </c>
      <c r="P135" s="13"/>
      <c r="R135" s="106"/>
    </row>
    <row r="136" spans="1:18" x14ac:dyDescent="0.25">
      <c r="A136" s="166">
        <v>794</v>
      </c>
      <c r="B136" t="s">
        <v>375</v>
      </c>
      <c r="C136" t="s">
        <v>2759</v>
      </c>
      <c r="D136" s="54">
        <v>2705</v>
      </c>
      <c r="E136" s="114" t="b">
        <v>1</v>
      </c>
      <c r="F136" s="113">
        <f t="shared" si="153"/>
        <v>1360</v>
      </c>
      <c r="G136" s="54">
        <v>24.31</v>
      </c>
      <c r="H136" s="113">
        <f t="shared" ref="H136" si="179">D136*10%/(1+10%)</f>
        <v>245.90909090909088</v>
      </c>
      <c r="I136" s="113">
        <f t="shared" ref="I136" si="180">IF(M136="YES",D136-K136-G136-H136-L136,D136-K136-G136-H136)</f>
        <v>1074.7809090909091</v>
      </c>
      <c r="J136" s="108"/>
      <c r="K136" s="106"/>
      <c r="L136" s="106">
        <f t="shared" si="3"/>
        <v>1360</v>
      </c>
      <c r="M136" s="184" t="s">
        <v>103</v>
      </c>
      <c r="N136" s="165">
        <v>442</v>
      </c>
      <c r="O136" s="112">
        <f t="shared" si="4"/>
        <v>1360</v>
      </c>
      <c r="P136" s="13"/>
      <c r="R136" s="106"/>
    </row>
    <row r="137" spans="1:18" x14ac:dyDescent="0.25">
      <c r="A137" s="166">
        <v>792</v>
      </c>
      <c r="B137" t="s">
        <v>381</v>
      </c>
      <c r="C137" t="s">
        <v>2732</v>
      </c>
      <c r="D137" s="54">
        <v>646</v>
      </c>
      <c r="E137" s="114" t="b">
        <v>1</v>
      </c>
      <c r="F137" s="113">
        <f t="shared" si="153"/>
        <v>0</v>
      </c>
      <c r="G137" s="54">
        <v>0</v>
      </c>
      <c r="H137" s="113">
        <f t="shared" ref="H137" si="181">D137*10%/(1+10%)</f>
        <v>58.727272727272734</v>
      </c>
      <c r="I137" s="113">
        <f t="shared" ref="I137:I142" si="182">IF(M137="YES",D137-K137-G137-H137-L137,D137-K137-G137-H137)</f>
        <v>167.27272727272725</v>
      </c>
      <c r="J137" s="108" t="b">
        <v>1</v>
      </c>
      <c r="K137" s="106">
        <v>420</v>
      </c>
      <c r="L137" s="106">
        <f t="shared" si="3"/>
        <v>1360</v>
      </c>
      <c r="M137" s="184" t="s">
        <v>94</v>
      </c>
      <c r="N137" s="41"/>
      <c r="O137" s="112" t="str">
        <f t="shared" si="4"/>
        <v/>
      </c>
      <c r="P137" s="13"/>
      <c r="R137" s="106"/>
    </row>
    <row r="138" spans="1:18" x14ac:dyDescent="0.25">
      <c r="A138" s="166">
        <v>789</v>
      </c>
      <c r="B138" t="s">
        <v>2724</v>
      </c>
      <c r="C138" t="s">
        <v>2725</v>
      </c>
      <c r="D138" s="54">
        <v>3623</v>
      </c>
      <c r="E138" s="114" t="b">
        <v>1</v>
      </c>
      <c r="F138" s="113">
        <f t="shared" si="153"/>
        <v>0</v>
      </c>
      <c r="G138" s="54">
        <v>0</v>
      </c>
      <c r="H138" s="113">
        <f t="shared" ref="H138" si="183">D138*10%/(1+10%)</f>
        <v>329.36363636363637</v>
      </c>
      <c r="I138" s="113">
        <f t="shared" si="182"/>
        <v>1993.6363636363635</v>
      </c>
      <c r="J138" s="108" t="b">
        <v>1</v>
      </c>
      <c r="K138" s="106">
        <v>1300</v>
      </c>
      <c r="L138" s="106">
        <f t="shared" si="3"/>
        <v>1360</v>
      </c>
      <c r="M138" s="184" t="s">
        <v>94</v>
      </c>
      <c r="N138" s="41"/>
      <c r="O138" s="112" t="str">
        <f t="shared" si="4"/>
        <v/>
      </c>
      <c r="P138" s="13"/>
      <c r="R138" s="106"/>
    </row>
    <row r="139" spans="1:18" x14ac:dyDescent="0.25">
      <c r="A139" s="166">
        <v>788</v>
      </c>
      <c r="B139" t="s">
        <v>2760</v>
      </c>
      <c r="C139" t="s">
        <v>2761</v>
      </c>
      <c r="D139" s="54">
        <v>485</v>
      </c>
      <c r="E139" s="114" t="b">
        <v>1</v>
      </c>
      <c r="F139" s="113">
        <f t="shared" si="153"/>
        <v>0</v>
      </c>
      <c r="G139" s="54">
        <v>0</v>
      </c>
      <c r="H139" s="113">
        <f t="shared" ref="H139" si="184">D139*10%/(1+10%)</f>
        <v>44.090909090909086</v>
      </c>
      <c r="I139" s="113">
        <f t="shared" si="182"/>
        <v>440.90909090909093</v>
      </c>
      <c r="J139" s="108"/>
      <c r="K139" s="106">
        <v>0</v>
      </c>
      <c r="L139" s="106">
        <f t="shared" si="3"/>
        <v>1360</v>
      </c>
      <c r="M139" s="184" t="s">
        <v>94</v>
      </c>
      <c r="N139" s="41"/>
      <c r="O139" s="112" t="str">
        <f t="shared" si="4"/>
        <v/>
      </c>
      <c r="P139" s="13"/>
      <c r="R139" s="106"/>
    </row>
    <row r="140" spans="1:18" x14ac:dyDescent="0.25">
      <c r="A140" s="166">
        <v>786</v>
      </c>
      <c r="B140" t="s">
        <v>398</v>
      </c>
      <c r="C140" t="s">
        <v>401</v>
      </c>
      <c r="D140" s="54">
        <v>435</v>
      </c>
      <c r="E140" s="114" t="b">
        <v>1</v>
      </c>
      <c r="F140" s="113">
        <f t="shared" si="153"/>
        <v>0</v>
      </c>
      <c r="G140" s="54">
        <v>0</v>
      </c>
      <c r="H140" s="113">
        <f t="shared" ref="H140" si="185">D140*10%/(1+10%)</f>
        <v>39.54545454545454</v>
      </c>
      <c r="I140" s="113">
        <f t="shared" si="182"/>
        <v>395.45454545454544</v>
      </c>
      <c r="J140" s="108" t="b">
        <v>1</v>
      </c>
      <c r="K140" s="106">
        <v>0</v>
      </c>
      <c r="L140" s="106">
        <f t="shared" si="3"/>
        <v>1360</v>
      </c>
      <c r="M140" s="184" t="s">
        <v>94</v>
      </c>
      <c r="N140" s="41"/>
      <c r="O140" s="112" t="str">
        <f t="shared" si="4"/>
        <v/>
      </c>
      <c r="P140" s="13"/>
      <c r="R140" s="106"/>
    </row>
    <row r="141" spans="1:18" x14ac:dyDescent="0.25">
      <c r="A141" s="166">
        <v>785</v>
      </c>
      <c r="B141" t="s">
        <v>411</v>
      </c>
      <c r="C141" t="s">
        <v>2762</v>
      </c>
      <c r="D141" s="54">
        <v>476</v>
      </c>
      <c r="E141" s="114" t="b">
        <v>1</v>
      </c>
      <c r="F141" s="113">
        <f t="shared" si="153"/>
        <v>0</v>
      </c>
      <c r="G141" s="54">
        <v>0</v>
      </c>
      <c r="H141" s="113">
        <f t="shared" ref="H141" si="186">D141*10%/(1+10%)</f>
        <v>43.272727272727273</v>
      </c>
      <c r="I141" s="113">
        <f t="shared" si="182"/>
        <v>432.72727272727275</v>
      </c>
      <c r="J141" s="108" t="b">
        <v>1</v>
      </c>
      <c r="K141" s="106">
        <v>0</v>
      </c>
      <c r="L141" s="106">
        <f t="shared" si="3"/>
        <v>1360</v>
      </c>
      <c r="M141" s="184" t="s">
        <v>94</v>
      </c>
      <c r="N141" s="41"/>
      <c r="O141" s="112" t="str">
        <f t="shared" si="4"/>
        <v/>
      </c>
      <c r="P141" s="13"/>
      <c r="R141" s="106"/>
    </row>
    <row r="142" spans="1:18" x14ac:dyDescent="0.25">
      <c r="A142" s="166">
        <v>783</v>
      </c>
      <c r="B142" t="s">
        <v>2763</v>
      </c>
      <c r="C142" t="s">
        <v>2764</v>
      </c>
      <c r="D142" s="54">
        <v>489</v>
      </c>
      <c r="E142" s="114" t="b">
        <v>1</v>
      </c>
      <c r="F142" s="113">
        <f t="shared" ref="F142:F201" si="187">IF(J142=TRUE,0,IF(AND(E142=TRUE,M142="YES"),L142,IF(E142=TRUE,K142,0)))</f>
        <v>0</v>
      </c>
      <c r="G142" s="54">
        <v>0</v>
      </c>
      <c r="H142" s="113">
        <f t="shared" ref="H142" si="188">D142*10%/(1+10%)</f>
        <v>44.454545454545453</v>
      </c>
      <c r="I142" s="113">
        <f t="shared" si="182"/>
        <v>444.54545454545456</v>
      </c>
      <c r="J142" s="108" t="b">
        <v>1</v>
      </c>
      <c r="K142" s="106">
        <v>0</v>
      </c>
      <c r="L142" s="106">
        <f t="shared" ref="L142:L167" si="189">IF(D142+N142&gt;=1600,1360,1360)</f>
        <v>1360</v>
      </c>
      <c r="M142" s="184" t="s">
        <v>94</v>
      </c>
      <c r="N142" s="41"/>
      <c r="O142" s="112" t="str">
        <f t="shared" si="4"/>
        <v/>
      </c>
      <c r="P142" s="13"/>
      <c r="R142" s="106"/>
    </row>
    <row r="143" spans="1:18" x14ac:dyDescent="0.25">
      <c r="A143" s="166">
        <v>780</v>
      </c>
      <c r="B143" t="s">
        <v>405</v>
      </c>
      <c r="C143" t="s">
        <v>407</v>
      </c>
      <c r="D143" s="54">
        <v>457</v>
      </c>
      <c r="E143" s="114" t="b">
        <v>1</v>
      </c>
      <c r="F143" s="113">
        <f t="shared" si="187"/>
        <v>0</v>
      </c>
      <c r="G143" s="54">
        <v>0</v>
      </c>
      <c r="H143" s="113">
        <f t="shared" ref="H143" si="190">D143*10%/(1+10%)</f>
        <v>41.545454545454547</v>
      </c>
      <c r="I143" s="113">
        <f t="shared" ref="I143" si="191">IF(M143="YES",D143-K143-G143-H143-L143,D143-K143-G143-H143)</f>
        <v>415.45454545454544</v>
      </c>
      <c r="J143" s="108" t="b">
        <v>1</v>
      </c>
      <c r="K143" s="106">
        <v>0</v>
      </c>
      <c r="L143" s="106">
        <f t="shared" si="189"/>
        <v>1360</v>
      </c>
      <c r="M143" s="184" t="s">
        <v>94</v>
      </c>
      <c r="N143" s="41"/>
      <c r="O143" s="112" t="str">
        <f t="shared" si="4"/>
        <v/>
      </c>
      <c r="P143" s="13"/>
      <c r="R143" s="106"/>
    </row>
    <row r="144" spans="1:18" x14ac:dyDescent="0.25">
      <c r="A144" s="166">
        <v>778</v>
      </c>
      <c r="B144" t="s">
        <v>394</v>
      </c>
      <c r="C144" t="s">
        <v>396</v>
      </c>
      <c r="D144" s="54">
        <v>448</v>
      </c>
      <c r="E144" s="114" t="b">
        <v>1</v>
      </c>
      <c r="F144" s="113">
        <f t="shared" si="187"/>
        <v>0</v>
      </c>
      <c r="G144" s="54">
        <v>0</v>
      </c>
      <c r="H144" s="113">
        <f t="shared" ref="H144" si="192">D144*10%/(1+10%)</f>
        <v>40.727272727272727</v>
      </c>
      <c r="I144" s="113">
        <f t="shared" ref="I144" si="193">IF(M144="YES",D144-K144-G144-H144-L144,D144-K144-G144-H144)</f>
        <v>407.27272727272725</v>
      </c>
      <c r="J144" s="108" t="b">
        <v>1</v>
      </c>
      <c r="K144" s="106">
        <v>0</v>
      </c>
      <c r="L144" s="106">
        <f t="shared" si="189"/>
        <v>1360</v>
      </c>
      <c r="M144" s="184" t="s">
        <v>94</v>
      </c>
      <c r="N144" s="41"/>
      <c r="O144" s="112" t="str">
        <f t="shared" si="4"/>
        <v/>
      </c>
      <c r="P144" s="13"/>
      <c r="R144" s="106"/>
    </row>
    <row r="145" spans="1:18" x14ac:dyDescent="0.25">
      <c r="A145" s="166">
        <v>776</v>
      </c>
      <c r="B145" t="s">
        <v>205</v>
      </c>
      <c r="C145" t="s">
        <v>2729</v>
      </c>
      <c r="D145" s="54">
        <v>1730</v>
      </c>
      <c r="E145" s="114" t="b">
        <v>1</v>
      </c>
      <c r="F145" s="113">
        <f t="shared" si="187"/>
        <v>1360</v>
      </c>
      <c r="G145" s="54">
        <v>24.31</v>
      </c>
      <c r="H145" s="113">
        <f t="shared" ref="H145" si="194">D145*10%/(1+10%)</f>
        <v>157.27272727272725</v>
      </c>
      <c r="I145" s="113">
        <f t="shared" ref="I145" si="195">IF(M145="YES",D145-K145-G145-H145-L145,D145-K145-G145-H145)</f>
        <v>188.4172727272728</v>
      </c>
      <c r="J145" s="108"/>
      <c r="K145" s="106"/>
      <c r="L145" s="106">
        <f t="shared" si="189"/>
        <v>1360</v>
      </c>
      <c r="M145" s="184" t="s">
        <v>103</v>
      </c>
      <c r="N145" s="165">
        <v>435</v>
      </c>
      <c r="O145" s="112">
        <f t="shared" si="4"/>
        <v>1360</v>
      </c>
      <c r="P145" s="13"/>
      <c r="R145" s="106"/>
    </row>
    <row r="146" spans="1:18" x14ac:dyDescent="0.25">
      <c r="A146" s="166">
        <v>774</v>
      </c>
      <c r="B146" t="s">
        <v>2765</v>
      </c>
      <c r="C146" t="s">
        <v>2732</v>
      </c>
      <c r="D146" s="54">
        <v>441</v>
      </c>
      <c r="E146" s="114" t="b">
        <v>1</v>
      </c>
      <c r="F146" s="113">
        <f t="shared" si="187"/>
        <v>0</v>
      </c>
      <c r="G146" s="54">
        <v>0</v>
      </c>
      <c r="H146" s="113">
        <f t="shared" ref="H146" si="196">D146*10%/(1+10%)</f>
        <v>40.090909090909086</v>
      </c>
      <c r="I146" s="113">
        <f t="shared" ref="I146:I147" si="197">IF(M146="YES",D146-K146-G146-H146-L146,D146-K146-G146-H146)</f>
        <v>400.90909090909093</v>
      </c>
      <c r="J146" s="108" t="b">
        <v>1</v>
      </c>
      <c r="K146" s="106">
        <v>0</v>
      </c>
      <c r="L146" s="106">
        <f t="shared" si="189"/>
        <v>1360</v>
      </c>
      <c r="M146" s="184" t="s">
        <v>94</v>
      </c>
      <c r="N146" s="41"/>
      <c r="O146" s="112" t="str">
        <f t="shared" si="4"/>
        <v/>
      </c>
      <c r="P146" s="13"/>
      <c r="R146" s="106"/>
    </row>
    <row r="147" spans="1:18" x14ac:dyDescent="0.25">
      <c r="A147" s="166">
        <v>773</v>
      </c>
      <c r="B147" t="s">
        <v>2031</v>
      </c>
      <c r="C147" t="s">
        <v>2033</v>
      </c>
      <c r="D147" s="54">
        <v>308</v>
      </c>
      <c r="E147" s="114" t="b">
        <v>1</v>
      </c>
      <c r="F147" s="113">
        <f t="shared" si="187"/>
        <v>0</v>
      </c>
      <c r="G147" s="54">
        <v>0</v>
      </c>
      <c r="H147" s="113">
        <f t="shared" ref="H147" si="198">D147*10%/(1+10%)</f>
        <v>28</v>
      </c>
      <c r="I147" s="113">
        <f t="shared" si="197"/>
        <v>60</v>
      </c>
      <c r="J147" s="108" t="b">
        <v>1</v>
      </c>
      <c r="K147" s="106">
        <v>220</v>
      </c>
      <c r="L147" s="106">
        <f t="shared" si="189"/>
        <v>1360</v>
      </c>
      <c r="M147" s="184" t="s">
        <v>94</v>
      </c>
      <c r="N147" s="41"/>
      <c r="O147" s="112" t="str">
        <f t="shared" si="4"/>
        <v/>
      </c>
      <c r="P147" s="13"/>
      <c r="R147" s="106"/>
    </row>
    <row r="148" spans="1:18" x14ac:dyDescent="0.25">
      <c r="A148" s="166">
        <v>770</v>
      </c>
      <c r="B148" t="s">
        <v>332</v>
      </c>
      <c r="C148" t="s">
        <v>2715</v>
      </c>
      <c r="D148" s="54">
        <v>1155</v>
      </c>
      <c r="E148" s="114" t="b">
        <v>1</v>
      </c>
      <c r="F148" s="113">
        <f t="shared" si="187"/>
        <v>0</v>
      </c>
      <c r="G148" s="54">
        <v>23.31</v>
      </c>
      <c r="H148" s="113">
        <f t="shared" ref="H148" si="199">D148*10%/(1+10%)</f>
        <v>104.99999999999999</v>
      </c>
      <c r="I148" s="113">
        <f t="shared" ref="I148" si="200">IF(M148="YES",D148-K148-G148-H148-L148,D148-K148-G148-H148)</f>
        <v>332.69</v>
      </c>
      <c r="J148" s="108" t="b">
        <v>1</v>
      </c>
      <c r="K148" s="106">
        <v>694</v>
      </c>
      <c r="L148" s="106">
        <f t="shared" si="189"/>
        <v>1360</v>
      </c>
      <c r="M148" s="184" t="s">
        <v>94</v>
      </c>
      <c r="N148" s="41"/>
      <c r="O148" s="112" t="str">
        <f t="shared" si="4"/>
        <v/>
      </c>
      <c r="P148" s="13"/>
      <c r="R148" s="106"/>
    </row>
    <row r="149" spans="1:18" x14ac:dyDescent="0.25">
      <c r="A149" s="166">
        <v>768</v>
      </c>
      <c r="B149" t="s">
        <v>375</v>
      </c>
      <c r="C149" t="s">
        <v>378</v>
      </c>
      <c r="D149" s="54">
        <v>442</v>
      </c>
      <c r="E149" s="114" t="b">
        <v>1</v>
      </c>
      <c r="F149" s="113">
        <f t="shared" si="187"/>
        <v>0</v>
      </c>
      <c r="G149" s="54">
        <v>0</v>
      </c>
      <c r="H149" s="113">
        <f t="shared" ref="H149" si="201">D149*10%/(1+10%)</f>
        <v>40.18181818181818</v>
      </c>
      <c r="I149" s="113">
        <f t="shared" ref="I149:I150" si="202">IF(M149="YES",D149-K149-G149-H149-L149,D149-K149-G149-H149)</f>
        <v>401.81818181818181</v>
      </c>
      <c r="J149" s="108" t="b">
        <v>1</v>
      </c>
      <c r="K149" s="106">
        <v>0</v>
      </c>
      <c r="L149" s="106">
        <f t="shared" si="189"/>
        <v>1360</v>
      </c>
      <c r="M149" s="184" t="s">
        <v>94</v>
      </c>
      <c r="N149" s="41"/>
      <c r="O149" s="112" t="str">
        <f t="shared" si="4"/>
        <v/>
      </c>
      <c r="P149" s="13"/>
      <c r="R149" s="106"/>
    </row>
    <row r="150" spans="1:18" x14ac:dyDescent="0.25">
      <c r="A150" s="166">
        <v>767</v>
      </c>
      <c r="B150" t="s">
        <v>2766</v>
      </c>
      <c r="C150" t="s">
        <v>2767</v>
      </c>
      <c r="D150" s="54">
        <v>434</v>
      </c>
      <c r="E150" s="114" t="b">
        <v>1</v>
      </c>
      <c r="F150" s="113">
        <f t="shared" si="187"/>
        <v>0</v>
      </c>
      <c r="G150" s="54">
        <v>0</v>
      </c>
      <c r="H150" s="113">
        <f t="shared" ref="H150" si="203">D150*10%/(1+10%)</f>
        <v>39.454545454545453</v>
      </c>
      <c r="I150" s="113">
        <f t="shared" si="202"/>
        <v>394.54545454545456</v>
      </c>
      <c r="J150" s="108" t="b">
        <v>1</v>
      </c>
      <c r="K150" s="106">
        <v>0</v>
      </c>
      <c r="L150" s="106">
        <f t="shared" si="189"/>
        <v>1360</v>
      </c>
      <c r="M150" s="184" t="s">
        <v>94</v>
      </c>
      <c r="N150" s="41"/>
      <c r="O150" s="112" t="str">
        <f t="shared" si="4"/>
        <v/>
      </c>
      <c r="P150" s="13"/>
      <c r="R150" s="106"/>
    </row>
    <row r="151" spans="1:18" x14ac:dyDescent="0.25">
      <c r="A151" s="166">
        <v>735</v>
      </c>
      <c r="B151" t="s">
        <v>284</v>
      </c>
      <c r="C151" t="s">
        <v>287</v>
      </c>
      <c r="D151" s="54">
        <v>990</v>
      </c>
      <c r="E151" s="114" t="b">
        <v>1</v>
      </c>
      <c r="F151" s="113">
        <f t="shared" si="187"/>
        <v>0</v>
      </c>
      <c r="G151" s="54">
        <v>0</v>
      </c>
      <c r="H151" s="113">
        <f t="shared" ref="H151" si="204">D151*10%/(1+10%)</f>
        <v>89.999999999999986</v>
      </c>
      <c r="I151" s="113">
        <f t="shared" ref="I151:I152" si="205">IF(M151="YES",D151-K151-G151-H151-L151,D151-K151-G151-H151)</f>
        <v>420</v>
      </c>
      <c r="J151" s="108" t="b">
        <v>1</v>
      </c>
      <c r="K151" s="106">
        <v>480</v>
      </c>
      <c r="L151" s="106">
        <f t="shared" si="189"/>
        <v>1360</v>
      </c>
      <c r="M151" s="184" t="s">
        <v>94</v>
      </c>
      <c r="N151" s="41"/>
      <c r="O151" s="112" t="str">
        <f t="shared" si="4"/>
        <v/>
      </c>
      <c r="P151" s="13"/>
      <c r="R151" s="106"/>
    </row>
    <row r="152" spans="1:18" x14ac:dyDescent="0.25">
      <c r="A152" s="166">
        <v>764</v>
      </c>
      <c r="B152" t="s">
        <v>114</v>
      </c>
      <c r="C152" t="s">
        <v>117</v>
      </c>
      <c r="D152" s="54">
        <v>1465.75</v>
      </c>
      <c r="E152" s="114" t="b">
        <v>1</v>
      </c>
      <c r="F152" s="113">
        <f t="shared" si="187"/>
        <v>1200</v>
      </c>
      <c r="G152" s="54">
        <v>23.31</v>
      </c>
      <c r="H152" s="113">
        <f t="shared" ref="H152" si="206">D152*10%/(1+10%)</f>
        <v>133.25</v>
      </c>
      <c r="I152" s="113">
        <f t="shared" si="205"/>
        <v>109.19</v>
      </c>
      <c r="J152" s="108"/>
      <c r="K152" s="106">
        <v>1200</v>
      </c>
      <c r="L152" s="106">
        <f t="shared" si="189"/>
        <v>1360</v>
      </c>
      <c r="M152" s="184" t="s">
        <v>94</v>
      </c>
      <c r="N152" s="41"/>
      <c r="O152" s="112">
        <f t="shared" si="4"/>
        <v>1200</v>
      </c>
      <c r="P152" s="13"/>
      <c r="R152" s="106"/>
    </row>
    <row r="153" spans="1:18" x14ac:dyDescent="0.25">
      <c r="A153" s="166">
        <v>759</v>
      </c>
      <c r="B153" t="s">
        <v>114</v>
      </c>
      <c r="C153" t="s">
        <v>117</v>
      </c>
      <c r="D153" s="54">
        <v>1928.71</v>
      </c>
      <c r="E153" s="114"/>
      <c r="F153" s="113">
        <f t="shared" si="187"/>
        <v>0</v>
      </c>
      <c r="G153" s="54">
        <v>23.31</v>
      </c>
      <c r="H153" s="113">
        <f t="shared" ref="H153" si="207">D153*10%/(1+10%)</f>
        <v>175.33727272727273</v>
      </c>
      <c r="I153" s="113">
        <f t="shared" ref="I153" si="208">IF(M153="YES",D153-K153-G153-H153-L153,D153-K153-G153-H153)</f>
        <v>130.0627272727273</v>
      </c>
      <c r="J153" s="108"/>
      <c r="K153" s="106">
        <v>1600</v>
      </c>
      <c r="L153" s="106">
        <f t="shared" si="189"/>
        <v>1360</v>
      </c>
      <c r="M153" s="184" t="s">
        <v>94</v>
      </c>
      <c r="N153" s="41"/>
      <c r="O153" s="112" t="str">
        <f t="shared" si="4"/>
        <v/>
      </c>
      <c r="P153" s="13"/>
      <c r="R153" s="106"/>
    </row>
    <row r="154" spans="1:18" x14ac:dyDescent="0.25">
      <c r="A154" s="166">
        <v>757</v>
      </c>
      <c r="B154" t="s">
        <v>2768</v>
      </c>
      <c r="C154" t="s">
        <v>2769</v>
      </c>
      <c r="D154" s="54">
        <v>297</v>
      </c>
      <c r="E154" s="114" t="b">
        <v>1</v>
      </c>
      <c r="F154" s="113">
        <f t="shared" si="187"/>
        <v>220</v>
      </c>
      <c r="G154" s="54">
        <v>22.31</v>
      </c>
      <c r="H154" s="113">
        <f t="shared" ref="H154" si="209">D154*10%/(1+10%)</f>
        <v>27</v>
      </c>
      <c r="I154" s="113">
        <f t="shared" ref="I154" si="210">IF(M154="YES",D154-K154-G154-H154-L154,D154-K154-G154-H154)</f>
        <v>27.689999999999998</v>
      </c>
      <c r="J154" s="108"/>
      <c r="K154" s="106">
        <v>220</v>
      </c>
      <c r="L154" s="106">
        <f t="shared" si="189"/>
        <v>1360</v>
      </c>
      <c r="M154" s="184" t="s">
        <v>94</v>
      </c>
      <c r="N154" s="41"/>
      <c r="O154" s="112" t="str">
        <f t="shared" si="4"/>
        <v/>
      </c>
      <c r="P154" s="13"/>
      <c r="R154" s="106"/>
    </row>
    <row r="155" spans="1:18" x14ac:dyDescent="0.25">
      <c r="A155" s="166">
        <v>755</v>
      </c>
      <c r="B155" t="s">
        <v>2724</v>
      </c>
      <c r="C155" t="s">
        <v>2725</v>
      </c>
      <c r="D155" s="54">
        <v>689</v>
      </c>
      <c r="E155" s="114" t="b">
        <v>1</v>
      </c>
      <c r="F155" s="113">
        <f t="shared" si="187"/>
        <v>0</v>
      </c>
      <c r="G155" s="54">
        <v>0</v>
      </c>
      <c r="H155" s="113">
        <f t="shared" ref="H155" si="211">D155*10%/(1+10%)</f>
        <v>62.636363636363633</v>
      </c>
      <c r="I155" s="113">
        <f t="shared" ref="I155:I156" si="212">IF(M155="YES",D155-K155-G155-H155-L155,D155-K155-G155-H155)</f>
        <v>626.36363636363637</v>
      </c>
      <c r="J155" s="108" t="b">
        <v>1</v>
      </c>
      <c r="K155" s="106">
        <v>0</v>
      </c>
      <c r="L155" s="106">
        <f t="shared" si="189"/>
        <v>1360</v>
      </c>
      <c r="M155" s="184" t="s">
        <v>94</v>
      </c>
      <c r="N155" s="41"/>
      <c r="O155" s="112" t="str">
        <f t="shared" si="4"/>
        <v/>
      </c>
      <c r="P155" s="13"/>
      <c r="R155" s="106"/>
    </row>
    <row r="156" spans="1:18" x14ac:dyDescent="0.25">
      <c r="A156" s="166">
        <v>754</v>
      </c>
      <c r="B156" t="s">
        <v>138</v>
      </c>
      <c r="C156" t="s">
        <v>141</v>
      </c>
      <c r="D156" s="54">
        <v>3250</v>
      </c>
      <c r="E156" s="114" t="b">
        <v>1</v>
      </c>
      <c r="F156" s="113">
        <f t="shared" si="187"/>
        <v>1360</v>
      </c>
      <c r="G156" s="54">
        <v>24.31</v>
      </c>
      <c r="H156" s="113">
        <f t="shared" ref="H156" si="213">D156*10%/(1+10%)</f>
        <v>295.45454545454544</v>
      </c>
      <c r="I156" s="113">
        <f t="shared" si="212"/>
        <v>1570.2354545454546</v>
      </c>
      <c r="J156" s="108"/>
      <c r="K156" s="106"/>
      <c r="L156" s="106">
        <f t="shared" si="189"/>
        <v>1360</v>
      </c>
      <c r="M156" s="184" t="s">
        <v>103</v>
      </c>
      <c r="N156" s="165">
        <v>450</v>
      </c>
      <c r="O156" s="112">
        <f t="shared" si="4"/>
        <v>1360</v>
      </c>
      <c r="P156" s="13"/>
      <c r="R156" s="106"/>
    </row>
    <row r="157" spans="1:18" x14ac:dyDescent="0.25">
      <c r="A157" s="166">
        <v>748</v>
      </c>
      <c r="B157" t="s">
        <v>362</v>
      </c>
      <c r="C157" t="s">
        <v>2770</v>
      </c>
      <c r="D157" s="54">
        <v>474</v>
      </c>
      <c r="E157" s="114" t="b">
        <v>1</v>
      </c>
      <c r="F157" s="113">
        <f t="shared" si="187"/>
        <v>0</v>
      </c>
      <c r="G157" s="54">
        <v>0</v>
      </c>
      <c r="H157" s="113">
        <f t="shared" ref="H157" si="214">D157*10%/(1+10%)</f>
        <v>43.090909090909093</v>
      </c>
      <c r="I157" s="113">
        <f t="shared" ref="I157:I160" si="215">IF(M157="YES",D157-K157-G157-H157-L157,D157-K157-G157-H157)</f>
        <v>430.90909090909088</v>
      </c>
      <c r="J157" s="108" t="b">
        <v>1</v>
      </c>
      <c r="K157" s="106">
        <v>0</v>
      </c>
      <c r="L157" s="106">
        <f t="shared" si="189"/>
        <v>1360</v>
      </c>
      <c r="M157" s="184" t="s">
        <v>94</v>
      </c>
      <c r="N157" s="41"/>
      <c r="O157" s="112" t="str">
        <f t="shared" si="4"/>
        <v/>
      </c>
      <c r="P157" s="13"/>
      <c r="R157" s="106"/>
    </row>
    <row r="158" spans="1:18" x14ac:dyDescent="0.25">
      <c r="A158" s="166">
        <v>747</v>
      </c>
      <c r="B158" t="s">
        <v>337</v>
      </c>
      <c r="C158" t="s">
        <v>2771</v>
      </c>
      <c r="D158" s="54">
        <v>1155</v>
      </c>
      <c r="E158" s="114" t="b">
        <v>1</v>
      </c>
      <c r="F158" s="113">
        <f t="shared" si="187"/>
        <v>0</v>
      </c>
      <c r="G158" s="54">
        <v>0</v>
      </c>
      <c r="H158" s="113">
        <f t="shared" ref="H158" si="216">D158*10%/(1+10%)</f>
        <v>104.99999999999999</v>
      </c>
      <c r="I158" s="113">
        <f t="shared" si="215"/>
        <v>370</v>
      </c>
      <c r="J158" s="108" t="b">
        <v>1</v>
      </c>
      <c r="K158" s="106">
        <v>680</v>
      </c>
      <c r="L158" s="106">
        <f t="shared" si="189"/>
        <v>1360</v>
      </c>
      <c r="M158" s="184" t="s">
        <v>94</v>
      </c>
      <c r="N158" s="41"/>
      <c r="O158" s="112" t="str">
        <f t="shared" si="4"/>
        <v/>
      </c>
      <c r="P158" s="13"/>
      <c r="R158" s="106"/>
    </row>
    <row r="159" spans="1:18" x14ac:dyDescent="0.25">
      <c r="A159" s="166">
        <v>743</v>
      </c>
      <c r="B159" t="s">
        <v>349</v>
      </c>
      <c r="C159" t="s">
        <v>2772</v>
      </c>
      <c r="D159" s="54">
        <v>462</v>
      </c>
      <c r="E159" s="114" t="b">
        <v>1</v>
      </c>
      <c r="F159" s="113">
        <f t="shared" si="187"/>
        <v>0</v>
      </c>
      <c r="G159" s="54">
        <v>0</v>
      </c>
      <c r="H159" s="113">
        <f t="shared" ref="H159" si="217">D159*10%/(1+10%)</f>
        <v>42</v>
      </c>
      <c r="I159" s="113">
        <f t="shared" si="215"/>
        <v>420</v>
      </c>
      <c r="J159" s="108" t="b">
        <v>1</v>
      </c>
      <c r="K159" s="106">
        <v>0</v>
      </c>
      <c r="L159" s="106">
        <f t="shared" si="189"/>
        <v>1360</v>
      </c>
      <c r="M159" s="184" t="s">
        <v>94</v>
      </c>
      <c r="N159" s="41"/>
      <c r="O159" s="112" t="str">
        <f t="shared" si="4"/>
        <v/>
      </c>
      <c r="P159" s="13"/>
      <c r="R159" s="106"/>
    </row>
    <row r="160" spans="1:18" x14ac:dyDescent="0.25">
      <c r="A160" s="166">
        <v>742</v>
      </c>
      <c r="B160" t="s">
        <v>682</v>
      </c>
      <c r="C160" t="s">
        <v>685</v>
      </c>
      <c r="D160" s="54">
        <v>1905</v>
      </c>
      <c r="E160" s="114" t="b">
        <v>1</v>
      </c>
      <c r="F160" s="113">
        <f t="shared" si="187"/>
        <v>1360</v>
      </c>
      <c r="G160" s="54">
        <v>24.41</v>
      </c>
      <c r="H160" s="113">
        <f t="shared" ref="H160" si="218">D160*10%/(1+10%)</f>
        <v>173.18181818181816</v>
      </c>
      <c r="I160" s="113">
        <f t="shared" si="215"/>
        <v>347.40818181818167</v>
      </c>
      <c r="J160" s="108"/>
      <c r="K160" s="106"/>
      <c r="L160" s="106">
        <f t="shared" si="189"/>
        <v>1360</v>
      </c>
      <c r="M160" s="184" t="s">
        <v>103</v>
      </c>
      <c r="N160" s="165">
        <v>448</v>
      </c>
      <c r="O160" s="112">
        <f>IF(F160&gt;=500,F160,"")</f>
        <v>1360</v>
      </c>
      <c r="P160" s="13"/>
      <c r="R160" s="106"/>
    </row>
    <row r="161" spans="1:18" x14ac:dyDescent="0.25">
      <c r="A161" s="166">
        <v>737</v>
      </c>
      <c r="B161" t="s">
        <v>2773</v>
      </c>
      <c r="C161" t="s">
        <v>329</v>
      </c>
      <c r="D161" s="54">
        <v>2049</v>
      </c>
      <c r="E161" s="114" t="b">
        <v>1</v>
      </c>
      <c r="F161" s="113">
        <v>0</v>
      </c>
      <c r="G161" s="54">
        <v>0</v>
      </c>
      <c r="H161" s="113">
        <f t="shared" ref="H161" si="219">D161*10%/(1+10%)</f>
        <v>186.27272727272725</v>
      </c>
      <c r="I161" s="113">
        <f>IF(M161="YES",D161-K161-G161-H161-L161,D161-K161-G161-H161)</f>
        <v>512.72727272727275</v>
      </c>
      <c r="J161" s="108" t="b">
        <v>1</v>
      </c>
      <c r="K161" s="106">
        <v>1350</v>
      </c>
      <c r="L161" s="106">
        <f t="shared" si="189"/>
        <v>1360</v>
      </c>
      <c r="M161" s="184" t="s">
        <v>94</v>
      </c>
      <c r="N161" s="41"/>
      <c r="O161" s="112" t="str">
        <f t="shared" si="4"/>
        <v/>
      </c>
      <c r="P161" s="13"/>
      <c r="R161" s="106"/>
    </row>
    <row r="162" spans="1:18" x14ac:dyDescent="0.25">
      <c r="A162" s="166">
        <v>732</v>
      </c>
      <c r="B162" t="s">
        <v>315</v>
      </c>
      <c r="C162" t="s">
        <v>317</v>
      </c>
      <c r="D162" s="54">
        <v>1840</v>
      </c>
      <c r="E162" s="114" t="b">
        <v>1</v>
      </c>
      <c r="F162" s="113">
        <f t="shared" si="187"/>
        <v>0</v>
      </c>
      <c r="G162" s="54">
        <v>0</v>
      </c>
      <c r="H162" s="113">
        <f t="shared" ref="H162" si="220">D162*10%/(1+10%)</f>
        <v>167.27272727272725</v>
      </c>
      <c r="I162" s="113">
        <f t="shared" ref="I162:I165" si="221">IF(M162="YES",D162-K162-G162-H162-L162,D162-K162-G162-H162)</f>
        <v>272.72727272727275</v>
      </c>
      <c r="J162" s="108" t="b">
        <v>1</v>
      </c>
      <c r="K162" s="106">
        <v>1400</v>
      </c>
      <c r="L162" s="106">
        <f t="shared" si="189"/>
        <v>1360</v>
      </c>
      <c r="M162" s="184" t="s">
        <v>94</v>
      </c>
      <c r="N162" s="41"/>
      <c r="O162" s="112" t="str">
        <f t="shared" si="4"/>
        <v/>
      </c>
      <c r="P162" s="13"/>
      <c r="R162" s="106"/>
    </row>
    <row r="163" spans="1:18" x14ac:dyDescent="0.25">
      <c r="A163" s="166">
        <v>731</v>
      </c>
      <c r="B163" t="s">
        <v>304</v>
      </c>
      <c r="C163" t="s">
        <v>307</v>
      </c>
      <c r="D163" s="54">
        <v>1294</v>
      </c>
      <c r="E163" s="114" t="b">
        <v>1</v>
      </c>
      <c r="F163" s="113">
        <f t="shared" si="187"/>
        <v>0</v>
      </c>
      <c r="G163" s="54">
        <v>0</v>
      </c>
      <c r="H163" s="113">
        <f t="shared" ref="H163" si="222">D163*10%/(1+10%)</f>
        <v>117.63636363636363</v>
      </c>
      <c r="I163" s="113">
        <f t="shared" si="221"/>
        <v>296.36363636363637</v>
      </c>
      <c r="J163" s="108" t="b">
        <v>1</v>
      </c>
      <c r="K163" s="106">
        <v>880</v>
      </c>
      <c r="L163" s="106">
        <f t="shared" si="189"/>
        <v>1360</v>
      </c>
      <c r="M163" s="184" t="s">
        <v>94</v>
      </c>
      <c r="N163" s="41"/>
      <c r="O163" s="112" t="str">
        <f t="shared" si="4"/>
        <v/>
      </c>
      <c r="P163" s="13"/>
      <c r="R163" s="106"/>
    </row>
    <row r="164" spans="1:18" x14ac:dyDescent="0.25">
      <c r="A164" s="166">
        <v>727</v>
      </c>
      <c r="B164" t="s">
        <v>2733</v>
      </c>
      <c r="C164" t="s">
        <v>2734</v>
      </c>
      <c r="D164" s="54">
        <v>539</v>
      </c>
      <c r="E164" s="114" t="b">
        <v>1</v>
      </c>
      <c r="F164" s="113">
        <f t="shared" si="187"/>
        <v>0</v>
      </c>
      <c r="G164" s="54">
        <v>23.91</v>
      </c>
      <c r="H164" s="113">
        <f t="shared" ref="H164" si="223">D164*10%/(1+10%)</f>
        <v>49</v>
      </c>
      <c r="I164" s="113">
        <f t="shared" si="221"/>
        <v>466.09000000000003</v>
      </c>
      <c r="J164" s="108" t="b">
        <v>1</v>
      </c>
      <c r="K164" s="106">
        <v>0</v>
      </c>
      <c r="L164" s="106">
        <f t="shared" si="189"/>
        <v>1360</v>
      </c>
      <c r="M164" s="184" t="s">
        <v>94</v>
      </c>
      <c r="N164" s="41"/>
      <c r="O164" s="112" t="str">
        <f t="shared" si="4"/>
        <v/>
      </c>
      <c r="P164" s="13"/>
      <c r="R164" s="106"/>
    </row>
    <row r="165" spans="1:18" x14ac:dyDescent="0.25">
      <c r="A165" s="166">
        <v>725</v>
      </c>
      <c r="B165" t="s">
        <v>682</v>
      </c>
      <c r="C165" t="s">
        <v>685</v>
      </c>
      <c r="D165" s="54">
        <v>448</v>
      </c>
      <c r="E165" s="114" t="b">
        <v>1</v>
      </c>
      <c r="F165" s="113">
        <f t="shared" si="187"/>
        <v>0</v>
      </c>
      <c r="G165" s="54">
        <v>0</v>
      </c>
      <c r="H165" s="113">
        <f t="shared" ref="H165" si="224">D165*10%/(1+10%)</f>
        <v>40.727272727272727</v>
      </c>
      <c r="I165" s="113">
        <f t="shared" si="221"/>
        <v>407.27272727272725</v>
      </c>
      <c r="J165" s="108" t="b">
        <v>1</v>
      </c>
      <c r="K165" s="106">
        <v>0</v>
      </c>
      <c r="L165" s="106">
        <f t="shared" si="189"/>
        <v>1360</v>
      </c>
      <c r="M165" s="184" t="s">
        <v>94</v>
      </c>
      <c r="N165" s="41"/>
      <c r="O165" s="112" t="str">
        <f t="shared" si="4"/>
        <v/>
      </c>
      <c r="P165" s="13"/>
      <c r="R165" s="106"/>
    </row>
    <row r="166" spans="1:18" x14ac:dyDescent="0.25">
      <c r="A166" s="166">
        <v>715</v>
      </c>
      <c r="B166" t="s">
        <v>2774</v>
      </c>
      <c r="C166" t="s">
        <v>2775</v>
      </c>
      <c r="D166" s="54">
        <v>2625</v>
      </c>
      <c r="E166" s="114" t="b">
        <v>1</v>
      </c>
      <c r="F166" s="113">
        <f t="shared" si="187"/>
        <v>1360</v>
      </c>
      <c r="G166" s="54">
        <v>29.91</v>
      </c>
      <c r="H166" s="113">
        <f t="shared" ref="H166" si="225">D166*10%/(1+10%)</f>
        <v>238.63636363636363</v>
      </c>
      <c r="I166" s="113">
        <f t="shared" ref="I166" si="226">IF(M166="YES",D166-K166-G166-H166-L166,D166-K166-G166-H166)</f>
        <v>996.45363636363663</v>
      </c>
      <c r="J166" s="108"/>
      <c r="K166" s="106"/>
      <c r="L166" s="106">
        <f t="shared" si="189"/>
        <v>1360</v>
      </c>
      <c r="M166" s="184" t="s">
        <v>103</v>
      </c>
      <c r="N166" s="165">
        <v>447</v>
      </c>
      <c r="O166" s="112">
        <f t="shared" si="4"/>
        <v>1360</v>
      </c>
      <c r="P166" s="13"/>
      <c r="R166" s="106"/>
    </row>
    <row r="167" spans="1:18" x14ac:dyDescent="0.25">
      <c r="A167" s="166">
        <v>712</v>
      </c>
      <c r="B167" t="s">
        <v>319</v>
      </c>
      <c r="C167" t="s">
        <v>322</v>
      </c>
      <c r="D167" s="54">
        <v>2155</v>
      </c>
      <c r="E167" s="114" t="b">
        <v>1</v>
      </c>
      <c r="F167" s="113">
        <f t="shared" si="187"/>
        <v>1360</v>
      </c>
      <c r="G167" s="54">
        <v>24.31</v>
      </c>
      <c r="H167" s="113">
        <f t="shared" ref="H167" si="227">D167*10%/(1+10%)</f>
        <v>195.90909090909091</v>
      </c>
      <c r="I167" s="113">
        <f t="shared" ref="I167" si="228">IF(M167="YES",D167-K167-G167-H167-L167,D167-K167-G167-H167)</f>
        <v>574.78090909090906</v>
      </c>
      <c r="J167" s="108" t="b">
        <v>0</v>
      </c>
      <c r="K167" s="106"/>
      <c r="L167" s="106">
        <f t="shared" si="189"/>
        <v>1360</v>
      </c>
      <c r="M167" s="184" t="s">
        <v>103</v>
      </c>
      <c r="N167" s="165">
        <v>462</v>
      </c>
      <c r="O167" s="112">
        <f t="shared" si="4"/>
        <v>1360</v>
      </c>
      <c r="P167" s="13"/>
      <c r="R167" s="106"/>
    </row>
    <row r="168" spans="1:18" x14ac:dyDescent="0.25">
      <c r="A168" s="166">
        <v>711</v>
      </c>
      <c r="B168" t="s">
        <v>2751</v>
      </c>
      <c r="C168" t="s">
        <v>359</v>
      </c>
      <c r="D168" s="54">
        <v>454</v>
      </c>
      <c r="E168" s="114" t="b">
        <v>1</v>
      </c>
      <c r="F168" s="113">
        <f t="shared" si="187"/>
        <v>0</v>
      </c>
      <c r="G168" s="54">
        <v>0</v>
      </c>
      <c r="H168" s="113">
        <f t="shared" ref="H168" si="229">D168*10%/(1+10%)</f>
        <v>41.272727272727273</v>
      </c>
      <c r="I168" s="113">
        <f t="shared" ref="I168:I169" si="230">IF(M168="YES",D168-K168-G168-H168-L168,D168-K168-G168-H168)</f>
        <v>412.72727272727275</v>
      </c>
      <c r="J168" s="108" t="b">
        <v>1</v>
      </c>
      <c r="K168" s="106">
        <v>0</v>
      </c>
      <c r="L168" s="106">
        <f t="shared" ref="L168:L188" si="231">IF(D168+N168&gt;=1600,1360,1360)</f>
        <v>1360</v>
      </c>
      <c r="M168" s="184" t="s">
        <v>94</v>
      </c>
      <c r="N168" s="41"/>
      <c r="O168" s="112" t="str">
        <f t="shared" si="4"/>
        <v/>
      </c>
      <c r="P168" s="13"/>
      <c r="R168" s="106"/>
    </row>
    <row r="169" spans="1:18" x14ac:dyDescent="0.25">
      <c r="A169" s="166">
        <v>706</v>
      </c>
      <c r="B169" t="s">
        <v>337</v>
      </c>
      <c r="C169" t="s">
        <v>2771</v>
      </c>
      <c r="D169" s="54">
        <v>515</v>
      </c>
      <c r="E169" s="114" t="b">
        <v>1</v>
      </c>
      <c r="F169" s="113">
        <f t="shared" si="187"/>
        <v>0</v>
      </c>
      <c r="G169" s="54">
        <v>0</v>
      </c>
      <c r="H169" s="113">
        <f t="shared" ref="H169" si="232">D169*10%/(1+10%)</f>
        <v>46.818181818181813</v>
      </c>
      <c r="I169" s="113">
        <f t="shared" si="230"/>
        <v>468.18181818181819</v>
      </c>
      <c r="J169" s="108" t="b">
        <v>1</v>
      </c>
      <c r="K169" s="106">
        <v>0</v>
      </c>
      <c r="L169" s="106">
        <f t="shared" si="231"/>
        <v>1360</v>
      </c>
      <c r="M169" s="184" t="s">
        <v>94</v>
      </c>
      <c r="N169" s="41"/>
      <c r="O169" s="112" t="str">
        <f t="shared" si="4"/>
        <v/>
      </c>
      <c r="P169" s="13"/>
      <c r="R169" s="106"/>
    </row>
    <row r="170" spans="1:18" x14ac:dyDescent="0.25">
      <c r="A170" s="166">
        <v>703</v>
      </c>
      <c r="B170" t="s">
        <v>343</v>
      </c>
      <c r="C170" t="s">
        <v>346</v>
      </c>
      <c r="D170" s="54">
        <v>507</v>
      </c>
      <c r="E170" s="114" t="b">
        <v>1</v>
      </c>
      <c r="F170" s="113">
        <f t="shared" si="187"/>
        <v>0</v>
      </c>
      <c r="G170" s="54">
        <v>0</v>
      </c>
      <c r="H170" s="113">
        <f t="shared" ref="H170" si="233">D170*10%/(1+10%)</f>
        <v>46.090909090909086</v>
      </c>
      <c r="I170" s="113">
        <f t="shared" ref="I170:I171" si="234">IF(M170="YES",D170-K170-G170-H170-L170,D170-K170-G170-H170)</f>
        <v>460.90909090909093</v>
      </c>
      <c r="J170" s="108" t="b">
        <v>1</v>
      </c>
      <c r="K170" s="106">
        <v>0</v>
      </c>
      <c r="L170" s="106">
        <f t="shared" si="231"/>
        <v>1360</v>
      </c>
      <c r="M170" s="184" t="s">
        <v>94</v>
      </c>
      <c r="N170" s="41"/>
      <c r="O170" s="112" t="str">
        <f t="shared" si="4"/>
        <v/>
      </c>
      <c r="P170" s="13"/>
      <c r="R170" s="106"/>
    </row>
    <row r="171" spans="1:18" x14ac:dyDescent="0.25">
      <c r="A171" s="166">
        <v>701</v>
      </c>
      <c r="B171" t="s">
        <v>2776</v>
      </c>
      <c r="C171" t="s">
        <v>2777</v>
      </c>
      <c r="D171" s="54">
        <v>3623</v>
      </c>
      <c r="E171" s="114" t="b">
        <v>1</v>
      </c>
      <c r="F171" s="113">
        <f t="shared" si="187"/>
        <v>0</v>
      </c>
      <c r="G171" s="54">
        <v>0</v>
      </c>
      <c r="H171" s="113">
        <f t="shared" ref="H171" si="235">D171*10%/(1+10%)</f>
        <v>329.36363636363637</v>
      </c>
      <c r="I171" s="113">
        <f t="shared" si="234"/>
        <v>493.63636363636363</v>
      </c>
      <c r="J171" s="108" t="b">
        <v>1</v>
      </c>
      <c r="K171" s="106">
        <v>2800</v>
      </c>
      <c r="L171" s="106">
        <f t="shared" si="231"/>
        <v>1360</v>
      </c>
      <c r="M171" s="184" t="s">
        <v>94</v>
      </c>
      <c r="N171" s="41"/>
      <c r="O171" s="112" t="str">
        <f t="shared" si="4"/>
        <v/>
      </c>
      <c r="P171" s="13"/>
      <c r="R171" s="106"/>
    </row>
    <row r="172" spans="1:18" x14ac:dyDescent="0.25">
      <c r="A172" s="166">
        <v>693</v>
      </c>
      <c r="B172" t="s">
        <v>256</v>
      </c>
      <c r="C172" t="s">
        <v>259</v>
      </c>
      <c r="D172" s="54">
        <v>1555</v>
      </c>
      <c r="E172" s="114" t="b">
        <v>1</v>
      </c>
      <c r="F172" s="113">
        <f t="shared" si="187"/>
        <v>0</v>
      </c>
      <c r="G172" s="54">
        <v>0</v>
      </c>
      <c r="H172" s="113">
        <f t="shared" ref="H172" si="236">D172*10%/(1+10%)</f>
        <v>141.36363636363635</v>
      </c>
      <c r="I172" s="113">
        <f t="shared" ref="I172" si="237">IF(M172="YES",D172-K172-G172-H172-L172,D172-K172-G172-H172)</f>
        <v>693.63636363636363</v>
      </c>
      <c r="J172" s="108" t="b">
        <v>1</v>
      </c>
      <c r="K172" s="106">
        <v>720</v>
      </c>
      <c r="L172" s="106">
        <f t="shared" si="231"/>
        <v>1360</v>
      </c>
      <c r="M172" s="184" t="s">
        <v>94</v>
      </c>
      <c r="N172" s="41"/>
      <c r="O172" s="112" t="str">
        <f t="shared" si="4"/>
        <v/>
      </c>
      <c r="P172" s="13"/>
      <c r="R172" s="106"/>
    </row>
    <row r="173" spans="1:18" x14ac:dyDescent="0.25">
      <c r="A173" s="166">
        <v>684</v>
      </c>
      <c r="B173" t="s">
        <v>2778</v>
      </c>
      <c r="C173" t="s">
        <v>329</v>
      </c>
      <c r="D173" s="54">
        <v>549</v>
      </c>
      <c r="E173" s="114" t="b">
        <v>1</v>
      </c>
      <c r="F173" s="113">
        <f t="shared" si="187"/>
        <v>0</v>
      </c>
      <c r="G173" s="54">
        <v>0</v>
      </c>
      <c r="H173" s="113">
        <f t="shared" ref="H173" si="238">D173*10%/(1+10%)</f>
        <v>49.909090909090914</v>
      </c>
      <c r="I173" s="113">
        <f t="shared" ref="I173:I174" si="239">IF(M173="YES",D173-K173-G173-H173-L173,D173-K173-G173-H173)</f>
        <v>499.09090909090907</v>
      </c>
      <c r="J173" s="108" t="b">
        <v>1</v>
      </c>
      <c r="K173" s="106">
        <v>0</v>
      </c>
      <c r="L173" s="106">
        <f t="shared" si="231"/>
        <v>1360</v>
      </c>
      <c r="M173" s="184" t="s">
        <v>94</v>
      </c>
      <c r="N173" s="41"/>
      <c r="O173" s="112" t="str">
        <f t="shared" si="4"/>
        <v/>
      </c>
      <c r="P173" s="13"/>
      <c r="R173" s="106"/>
    </row>
    <row r="174" spans="1:18" x14ac:dyDescent="0.25">
      <c r="A174" s="166">
        <v>683</v>
      </c>
      <c r="B174" t="s">
        <v>2774</v>
      </c>
      <c r="C174" t="s">
        <v>2775</v>
      </c>
      <c r="D174" s="54">
        <v>447</v>
      </c>
      <c r="E174" s="114" t="b">
        <v>1</v>
      </c>
      <c r="F174" s="113">
        <f t="shared" si="187"/>
        <v>0</v>
      </c>
      <c r="G174" s="54">
        <v>0</v>
      </c>
      <c r="H174" s="113">
        <f t="shared" ref="H174" si="240">D174*10%/(1+10%)</f>
        <v>40.636363636363633</v>
      </c>
      <c r="I174" s="113">
        <f t="shared" si="239"/>
        <v>406.36363636363637</v>
      </c>
      <c r="J174" s="108" t="b">
        <v>1</v>
      </c>
      <c r="K174" s="106">
        <v>0</v>
      </c>
      <c r="L174" s="106">
        <f t="shared" si="231"/>
        <v>1360</v>
      </c>
      <c r="M174" s="184" t="s">
        <v>94</v>
      </c>
      <c r="N174" s="41"/>
      <c r="O174" s="112" t="str">
        <f t="shared" si="4"/>
        <v/>
      </c>
      <c r="P174" s="13"/>
      <c r="R174" s="106"/>
    </row>
    <row r="175" spans="1:18" x14ac:dyDescent="0.25">
      <c r="A175" s="166">
        <v>674</v>
      </c>
      <c r="B175" t="s">
        <v>319</v>
      </c>
      <c r="C175" t="s">
        <v>322</v>
      </c>
      <c r="D175" s="54">
        <v>462</v>
      </c>
      <c r="E175" s="114" t="b">
        <v>1</v>
      </c>
      <c r="F175" s="113">
        <f t="shared" si="187"/>
        <v>0</v>
      </c>
      <c r="G175" s="54">
        <v>0</v>
      </c>
      <c r="H175" s="113">
        <f t="shared" ref="H175" si="241">D175*10%/(1+10%)</f>
        <v>42</v>
      </c>
      <c r="I175" s="113">
        <f t="shared" ref="I175" si="242">IF(M175="YES",D175-K175-G175-H175-L175,D175-K175-G175-H175)</f>
        <v>420</v>
      </c>
      <c r="J175" s="108" t="b">
        <v>1</v>
      </c>
      <c r="K175" s="106">
        <v>0</v>
      </c>
      <c r="L175" s="106">
        <f t="shared" si="231"/>
        <v>1360</v>
      </c>
      <c r="M175" s="184" t="s">
        <v>94</v>
      </c>
      <c r="N175" s="41"/>
      <c r="O175" s="112" t="str">
        <f t="shared" si="4"/>
        <v/>
      </c>
      <c r="P175" s="13"/>
      <c r="R175" s="106"/>
    </row>
    <row r="176" spans="1:18" x14ac:dyDescent="0.25">
      <c r="A176" s="166">
        <v>655</v>
      </c>
      <c r="B176" t="s">
        <v>297</v>
      </c>
      <c r="C176" t="s">
        <v>300</v>
      </c>
      <c r="D176" s="54">
        <v>573</v>
      </c>
      <c r="E176" s="114" t="b">
        <v>1</v>
      </c>
      <c r="F176" s="113">
        <f t="shared" si="187"/>
        <v>0</v>
      </c>
      <c r="G176" s="54">
        <v>0</v>
      </c>
      <c r="H176" s="113">
        <f t="shared" ref="H176" si="243">D176*10%/(1+10%)</f>
        <v>52.090909090909093</v>
      </c>
      <c r="I176" s="113">
        <f t="shared" ref="I176:I179" si="244">IF(M176="YES",D176-K176-G176-H176-L176,D176-K176-G176-H176)</f>
        <v>430.90909090909088</v>
      </c>
      <c r="J176" s="108" t="b">
        <v>1</v>
      </c>
      <c r="K176" s="106">
        <v>90</v>
      </c>
      <c r="L176" s="106">
        <f t="shared" si="231"/>
        <v>1360</v>
      </c>
      <c r="M176" s="184" t="s">
        <v>94</v>
      </c>
      <c r="N176" s="41"/>
      <c r="O176" s="112" t="str">
        <f t="shared" si="4"/>
        <v/>
      </c>
      <c r="P176" s="13"/>
      <c r="R176" s="106"/>
    </row>
    <row r="177" spans="1:18" x14ac:dyDescent="0.25">
      <c r="A177" s="166">
        <v>654</v>
      </c>
      <c r="B177" t="s">
        <v>262</v>
      </c>
      <c r="C177" t="s">
        <v>2736</v>
      </c>
      <c r="D177" s="54">
        <v>1670.59</v>
      </c>
      <c r="E177" s="114" t="b">
        <v>1</v>
      </c>
      <c r="F177" s="113">
        <f t="shared" si="187"/>
        <v>0</v>
      </c>
      <c r="G177" s="54">
        <v>0</v>
      </c>
      <c r="H177" s="113">
        <f t="shared" ref="H177" si="245">D177*10%/(1+10%)</f>
        <v>151.87181818181816</v>
      </c>
      <c r="I177" s="113">
        <f t="shared" si="244"/>
        <v>168.71818181818176</v>
      </c>
      <c r="J177" s="108" t="b">
        <v>1</v>
      </c>
      <c r="K177" s="106">
        <v>1350</v>
      </c>
      <c r="L177" s="106">
        <f t="shared" si="231"/>
        <v>1360</v>
      </c>
      <c r="M177" s="184" t="s">
        <v>94</v>
      </c>
      <c r="N177" s="41"/>
      <c r="O177" s="112" t="str">
        <f t="shared" si="4"/>
        <v/>
      </c>
      <c r="P177" s="13"/>
      <c r="R177" s="106"/>
    </row>
    <row r="178" spans="1:18" x14ac:dyDescent="0.25">
      <c r="A178" s="166">
        <v>648</v>
      </c>
      <c r="B178" t="s">
        <v>304</v>
      </c>
      <c r="C178" t="s">
        <v>307</v>
      </c>
      <c r="D178" s="54">
        <v>448</v>
      </c>
      <c r="E178" s="114" t="b">
        <v>1</v>
      </c>
      <c r="F178" s="113">
        <f t="shared" si="187"/>
        <v>0</v>
      </c>
      <c r="G178" s="54">
        <v>0</v>
      </c>
      <c r="H178" s="113">
        <f t="shared" ref="H178" si="246">D178*10%/(1+10%)</f>
        <v>40.727272727272727</v>
      </c>
      <c r="I178" s="113">
        <f t="shared" si="244"/>
        <v>407.27272727272725</v>
      </c>
      <c r="J178" s="108" t="b">
        <v>1</v>
      </c>
      <c r="K178" s="106">
        <v>0</v>
      </c>
      <c r="L178" s="106">
        <f t="shared" si="231"/>
        <v>1360</v>
      </c>
      <c r="M178" s="184" t="s">
        <v>94</v>
      </c>
      <c r="N178" s="41"/>
      <c r="O178" s="112" t="str">
        <f t="shared" si="4"/>
        <v/>
      </c>
      <c r="P178" s="13"/>
      <c r="R178" s="106"/>
    </row>
    <row r="179" spans="1:18" x14ac:dyDescent="0.25">
      <c r="A179" s="166">
        <v>647</v>
      </c>
      <c r="B179" t="s">
        <v>284</v>
      </c>
      <c r="C179" t="s">
        <v>287</v>
      </c>
      <c r="D179" s="54">
        <v>1100</v>
      </c>
      <c r="E179" s="114" t="b">
        <v>1</v>
      </c>
      <c r="F179" s="113">
        <f t="shared" si="187"/>
        <v>0</v>
      </c>
      <c r="G179" s="54">
        <v>0</v>
      </c>
      <c r="H179" s="113">
        <f t="shared" ref="H179" si="247">D179*10%/(1+10%)</f>
        <v>99.999999999999986</v>
      </c>
      <c r="I179" s="113">
        <f t="shared" si="244"/>
        <v>280</v>
      </c>
      <c r="J179" s="108" t="b">
        <v>1</v>
      </c>
      <c r="K179" s="106">
        <v>720</v>
      </c>
      <c r="L179" s="106">
        <f t="shared" si="231"/>
        <v>1360</v>
      </c>
      <c r="M179" s="184" t="s">
        <v>94</v>
      </c>
      <c r="N179" s="41"/>
      <c r="O179" s="112" t="str">
        <f t="shared" si="4"/>
        <v/>
      </c>
      <c r="P179" s="13"/>
      <c r="R179" s="106"/>
    </row>
    <row r="180" spans="1:18" x14ac:dyDescent="0.25">
      <c r="A180" s="166">
        <v>644</v>
      </c>
      <c r="B180" t="s">
        <v>2386</v>
      </c>
      <c r="C180" t="s">
        <v>2389</v>
      </c>
      <c r="D180" s="54">
        <v>463</v>
      </c>
      <c r="E180" s="114" t="b">
        <v>1</v>
      </c>
      <c r="F180" s="113">
        <f t="shared" si="187"/>
        <v>0</v>
      </c>
      <c r="G180" s="54">
        <v>0</v>
      </c>
      <c r="H180" s="113">
        <f t="shared" ref="H180" si="248">D180*10%/(1+10%)</f>
        <v>42.090909090909093</v>
      </c>
      <c r="I180" s="113">
        <f t="shared" ref="I180" si="249">IF(M180="YES",D180-K180-G180-H180-L180,D180-K180-G180-H180)</f>
        <v>420.90909090909088</v>
      </c>
      <c r="J180" s="108" t="b">
        <v>1</v>
      </c>
      <c r="K180" s="106">
        <v>0</v>
      </c>
      <c r="L180" s="106">
        <f t="shared" si="231"/>
        <v>1360</v>
      </c>
      <c r="M180" s="184" t="s">
        <v>94</v>
      </c>
      <c r="N180" s="41"/>
      <c r="O180" s="112" t="str">
        <f t="shared" si="4"/>
        <v/>
      </c>
      <c r="P180" s="13"/>
      <c r="R180" s="106"/>
    </row>
    <row r="181" spans="1:18" x14ac:dyDescent="0.25">
      <c r="A181" s="166">
        <v>640</v>
      </c>
      <c r="B181" t="s">
        <v>278</v>
      </c>
      <c r="C181" t="s">
        <v>281</v>
      </c>
      <c r="D181" s="54">
        <v>1605</v>
      </c>
      <c r="E181" s="114" t="b">
        <v>1</v>
      </c>
      <c r="F181" s="113">
        <f t="shared" si="187"/>
        <v>0</v>
      </c>
      <c r="G181" s="54">
        <v>0</v>
      </c>
      <c r="H181" s="113">
        <f t="shared" ref="H181" si="250">D181*10%/(1+10%)</f>
        <v>145.90909090909091</v>
      </c>
      <c r="I181" s="113">
        <f t="shared" ref="I181:I183" si="251">IF(M181="YES",D181-K181-G181-H181-L181,D181-K181-G181-H181)</f>
        <v>689.09090909090912</v>
      </c>
      <c r="J181" s="108" t="b">
        <v>1</v>
      </c>
      <c r="K181" s="106">
        <v>770</v>
      </c>
      <c r="L181" s="106">
        <f t="shared" si="231"/>
        <v>1360</v>
      </c>
      <c r="M181" s="184" t="s">
        <v>94</v>
      </c>
      <c r="N181" s="41"/>
      <c r="O181" s="112" t="str">
        <f t="shared" si="4"/>
        <v/>
      </c>
      <c r="P181" s="13"/>
      <c r="R181" s="106"/>
    </row>
    <row r="182" spans="1:18" x14ac:dyDescent="0.25">
      <c r="A182" s="166">
        <v>636</v>
      </c>
      <c r="B182" t="s">
        <v>332</v>
      </c>
      <c r="C182" t="s">
        <v>2715</v>
      </c>
      <c r="D182" s="54">
        <v>501</v>
      </c>
      <c r="E182" s="114" t="b">
        <v>1</v>
      </c>
      <c r="F182" s="113">
        <f t="shared" si="187"/>
        <v>0</v>
      </c>
      <c r="G182" s="54">
        <v>0</v>
      </c>
      <c r="H182" s="113">
        <f t="shared" ref="H182" si="252">D182*10%/(1+10%)</f>
        <v>45.54545454545454</v>
      </c>
      <c r="I182" s="113">
        <f t="shared" si="251"/>
        <v>455.45454545454544</v>
      </c>
      <c r="J182" s="108" t="b">
        <v>1</v>
      </c>
      <c r="K182" s="106">
        <v>0</v>
      </c>
      <c r="L182" s="106">
        <f t="shared" si="231"/>
        <v>1360</v>
      </c>
      <c r="M182" s="165" t="s">
        <v>94</v>
      </c>
      <c r="N182" s="41"/>
      <c r="O182" s="112" t="str">
        <f t="shared" si="4"/>
        <v/>
      </c>
      <c r="P182" s="13"/>
      <c r="R182" s="106"/>
    </row>
    <row r="183" spans="1:18" x14ac:dyDescent="0.25">
      <c r="A183" s="166">
        <v>634</v>
      </c>
      <c r="B183" t="s">
        <v>272</v>
      </c>
      <c r="C183" t="s">
        <v>275</v>
      </c>
      <c r="D183" s="54">
        <v>1005</v>
      </c>
      <c r="E183" s="114" t="b">
        <v>1</v>
      </c>
      <c r="F183" s="113">
        <f t="shared" si="187"/>
        <v>0</v>
      </c>
      <c r="G183" s="54">
        <v>0</v>
      </c>
      <c r="H183" s="113">
        <f t="shared" ref="H183" si="253">D183*10%/(1+10%)</f>
        <v>91.36363636363636</v>
      </c>
      <c r="I183" s="113">
        <f t="shared" si="251"/>
        <v>193.63636363636363</v>
      </c>
      <c r="J183" s="108" t="b">
        <v>1</v>
      </c>
      <c r="K183" s="106">
        <v>720</v>
      </c>
      <c r="L183" s="106">
        <f t="shared" si="231"/>
        <v>1360</v>
      </c>
      <c r="M183" s="165" t="s">
        <v>94</v>
      </c>
      <c r="N183" s="41"/>
      <c r="O183" s="112" t="str">
        <f t="shared" ref="O183:O200" si="254">IF(F183&gt;=500,F183,"")</f>
        <v/>
      </c>
      <c r="P183" s="13"/>
      <c r="R183" s="106"/>
    </row>
    <row r="184" spans="1:18" x14ac:dyDescent="0.25">
      <c r="A184" s="166">
        <v>626</v>
      </c>
      <c r="B184" t="s">
        <v>284</v>
      </c>
      <c r="C184" t="s">
        <v>287</v>
      </c>
      <c r="D184" s="54">
        <v>495</v>
      </c>
      <c r="E184" s="114" t="b">
        <v>1</v>
      </c>
      <c r="F184" s="113">
        <f t="shared" si="187"/>
        <v>0</v>
      </c>
      <c r="G184" s="54">
        <v>0</v>
      </c>
      <c r="H184" s="113">
        <f t="shared" ref="H184" si="255">D184*10%/(1+10%)</f>
        <v>44.999999999999993</v>
      </c>
      <c r="I184" s="113">
        <f t="shared" ref="I184:I187" si="256">IF(M184="YES",D184-K184-G184-H184-L184,D184-K184-G184-H184)</f>
        <v>450</v>
      </c>
      <c r="J184" s="108" t="b">
        <v>1</v>
      </c>
      <c r="K184" s="106">
        <v>0</v>
      </c>
      <c r="L184" s="106">
        <f t="shared" si="231"/>
        <v>1360</v>
      </c>
      <c r="M184" s="165" t="s">
        <v>94</v>
      </c>
      <c r="N184" s="41"/>
      <c r="O184" s="112" t="str">
        <f t="shared" si="254"/>
        <v/>
      </c>
      <c r="P184" s="13"/>
      <c r="R184" s="106"/>
    </row>
    <row r="185" spans="1:18" x14ac:dyDescent="0.25">
      <c r="A185" s="166">
        <v>623</v>
      </c>
      <c r="B185" t="s">
        <v>2572</v>
      </c>
      <c r="C185" t="s">
        <v>2779</v>
      </c>
      <c r="D185" s="54">
        <v>774</v>
      </c>
      <c r="E185" s="114" t="b">
        <v>1</v>
      </c>
      <c r="F185" s="113">
        <f t="shared" si="187"/>
        <v>0</v>
      </c>
      <c r="G185" s="54">
        <v>0</v>
      </c>
      <c r="H185" s="113">
        <f t="shared" ref="H185" si="257">D185*10%/(1+10%)</f>
        <v>70.36363636363636</v>
      </c>
      <c r="I185" s="113">
        <f t="shared" si="256"/>
        <v>703.63636363636363</v>
      </c>
      <c r="J185" s="108" t="b">
        <v>1</v>
      </c>
      <c r="K185" s="106">
        <v>0</v>
      </c>
      <c r="L185" s="106">
        <f t="shared" si="231"/>
        <v>1360</v>
      </c>
      <c r="M185" s="165" t="s">
        <v>94</v>
      </c>
      <c r="N185" s="41"/>
      <c r="O185" s="112" t="str">
        <f t="shared" si="254"/>
        <v/>
      </c>
      <c r="P185" s="13"/>
      <c r="R185" s="106"/>
    </row>
    <row r="186" spans="1:18" x14ac:dyDescent="0.25">
      <c r="A186" s="166">
        <v>621</v>
      </c>
      <c r="B186" t="s">
        <v>2776</v>
      </c>
      <c r="C186" t="s">
        <v>2777</v>
      </c>
      <c r="D186" s="54">
        <v>990</v>
      </c>
      <c r="E186" s="114" t="b">
        <v>1</v>
      </c>
      <c r="F186" s="113">
        <f t="shared" si="187"/>
        <v>0</v>
      </c>
      <c r="G186" s="54">
        <v>0</v>
      </c>
      <c r="H186" s="113">
        <f t="shared" ref="H186" si="258">D186*10%/(1+10%)</f>
        <v>89.999999999999986</v>
      </c>
      <c r="I186" s="113">
        <f t="shared" si="256"/>
        <v>900</v>
      </c>
      <c r="J186" s="108" t="b">
        <v>1</v>
      </c>
      <c r="K186" s="106">
        <v>0</v>
      </c>
      <c r="L186" s="106">
        <f t="shared" si="231"/>
        <v>1360</v>
      </c>
      <c r="M186" s="165" t="s">
        <v>94</v>
      </c>
      <c r="N186" s="41"/>
      <c r="O186" s="112" t="str">
        <f t="shared" si="254"/>
        <v/>
      </c>
      <c r="P186" s="13"/>
      <c r="R186" s="106"/>
    </row>
    <row r="187" spans="1:18" x14ac:dyDescent="0.25">
      <c r="A187" s="166">
        <v>619</v>
      </c>
      <c r="B187" t="s">
        <v>2780</v>
      </c>
      <c r="C187" t="s">
        <v>2781</v>
      </c>
      <c r="D187" s="54">
        <v>935</v>
      </c>
      <c r="E187" s="114" t="b">
        <v>1</v>
      </c>
      <c r="F187" s="113">
        <f t="shared" si="187"/>
        <v>0</v>
      </c>
      <c r="G187" s="54">
        <v>0</v>
      </c>
      <c r="H187" s="113">
        <f t="shared" ref="H187" si="259">D187*10%/(1+10%)</f>
        <v>85</v>
      </c>
      <c r="I187" s="113">
        <f t="shared" si="256"/>
        <v>130</v>
      </c>
      <c r="J187" s="108" t="b">
        <v>1</v>
      </c>
      <c r="K187" s="106">
        <v>720</v>
      </c>
      <c r="L187" s="106">
        <f t="shared" si="231"/>
        <v>1360</v>
      </c>
      <c r="M187" s="165" t="s">
        <v>94</v>
      </c>
      <c r="N187" s="41"/>
      <c r="O187" s="112" t="str">
        <f t="shared" si="254"/>
        <v/>
      </c>
      <c r="P187" s="13"/>
      <c r="R187" s="106"/>
    </row>
    <row r="188" spans="1:18" x14ac:dyDescent="0.25">
      <c r="A188" s="166">
        <v>609</v>
      </c>
      <c r="B188" t="s">
        <v>2782</v>
      </c>
      <c r="C188" t="s">
        <v>2783</v>
      </c>
      <c r="D188" s="54">
        <v>1067</v>
      </c>
      <c r="E188" s="114" t="b">
        <v>1</v>
      </c>
      <c r="F188" s="113">
        <f t="shared" si="187"/>
        <v>0</v>
      </c>
      <c r="G188" s="54">
        <v>0</v>
      </c>
      <c r="H188" s="113">
        <f t="shared" ref="H188" si="260">D188*10%/(1+10%)</f>
        <v>97</v>
      </c>
      <c r="I188" s="113">
        <f t="shared" ref="I188:I189" si="261">IF(M188="YES",D188-K188-G188-H188-L188,D188-K188-G188-H188)</f>
        <v>240</v>
      </c>
      <c r="J188" s="108" t="b">
        <v>1</v>
      </c>
      <c r="K188" s="106">
        <v>730</v>
      </c>
      <c r="L188" s="106">
        <f t="shared" si="231"/>
        <v>1360</v>
      </c>
      <c r="M188" s="165" t="s">
        <v>94</v>
      </c>
      <c r="N188" s="41"/>
      <c r="O188" s="112" t="str">
        <f t="shared" si="254"/>
        <v/>
      </c>
      <c r="P188" s="13"/>
      <c r="R188" s="106"/>
    </row>
    <row r="189" spans="1:18" x14ac:dyDescent="0.25">
      <c r="A189" s="166">
        <v>608</v>
      </c>
      <c r="B189" t="s">
        <v>250</v>
      </c>
      <c r="C189" t="s">
        <v>253</v>
      </c>
      <c r="D189" s="54">
        <v>3450</v>
      </c>
      <c r="E189" s="114"/>
      <c r="F189" s="113">
        <f t="shared" si="187"/>
        <v>0</v>
      </c>
      <c r="G189" s="54">
        <v>24.31</v>
      </c>
      <c r="H189" s="113">
        <f t="shared" ref="H189" si="262">D189*10%/(1+10%)</f>
        <v>313.63636363636363</v>
      </c>
      <c r="I189" s="113">
        <f t="shared" si="261"/>
        <v>1752.0536363636365</v>
      </c>
      <c r="J189" s="108"/>
      <c r="K189" s="106"/>
      <c r="L189" s="106">
        <f t="shared" ref="L189:L217" si="263">IF(D189+N189&gt;=1600,1360,1360)</f>
        <v>1360</v>
      </c>
      <c r="M189" s="165" t="s">
        <v>103</v>
      </c>
      <c r="N189" s="165">
        <v>633</v>
      </c>
      <c r="O189" s="112" t="str">
        <f t="shared" si="254"/>
        <v/>
      </c>
      <c r="P189" s="13"/>
      <c r="R189" s="106"/>
    </row>
    <row r="190" spans="1:18" x14ac:dyDescent="0.25">
      <c r="A190" s="166">
        <v>602</v>
      </c>
      <c r="B190" t="s">
        <v>200</v>
      </c>
      <c r="C190" t="s">
        <v>2743</v>
      </c>
      <c r="D190" s="54">
        <v>560</v>
      </c>
      <c r="E190" s="114" t="b">
        <v>1</v>
      </c>
      <c r="F190" s="113">
        <f t="shared" si="187"/>
        <v>0</v>
      </c>
      <c r="G190" s="54">
        <v>0</v>
      </c>
      <c r="H190" s="113">
        <f t="shared" ref="H190" si="264">D190*10%/(1+10%)</f>
        <v>50.909090909090907</v>
      </c>
      <c r="I190" s="113">
        <f t="shared" ref="I190" si="265">IF(M190="YES",D190-K190-G190-H190-L190,D190-K190-G190-H190)</f>
        <v>179.09090909090909</v>
      </c>
      <c r="J190" s="108" t="b">
        <v>1</v>
      </c>
      <c r="K190" s="106">
        <v>330</v>
      </c>
      <c r="L190" s="106">
        <f t="shared" si="263"/>
        <v>1360</v>
      </c>
      <c r="M190" s="165" t="s">
        <v>94</v>
      </c>
      <c r="N190" s="41"/>
      <c r="O190" s="112" t="str">
        <f t="shared" si="254"/>
        <v/>
      </c>
      <c r="P190" s="13"/>
      <c r="R190" s="106"/>
    </row>
    <row r="191" spans="1:18" x14ac:dyDescent="0.25">
      <c r="A191" s="166">
        <v>598</v>
      </c>
      <c r="B191" t="s">
        <v>223</v>
      </c>
      <c r="C191" t="s">
        <v>226</v>
      </c>
      <c r="D191" s="54">
        <v>637</v>
      </c>
      <c r="E191" s="114" t="b">
        <v>1</v>
      </c>
      <c r="F191" s="113">
        <f t="shared" si="187"/>
        <v>0</v>
      </c>
      <c r="G191" s="54">
        <v>0</v>
      </c>
      <c r="H191" s="113">
        <f t="shared" ref="H191" si="266">D191*10%/(1+10%)</f>
        <v>57.909090909090907</v>
      </c>
      <c r="I191" s="113">
        <f t="shared" ref="I191:I192" si="267">IF(M191="YES",D191-K191-G191-H191-L191,D191-K191-G191-H191)</f>
        <v>219.09090909090909</v>
      </c>
      <c r="J191" s="108" t="b">
        <v>1</v>
      </c>
      <c r="K191" s="106">
        <v>360</v>
      </c>
      <c r="L191" s="106">
        <f t="shared" si="263"/>
        <v>1360</v>
      </c>
      <c r="M191" s="165" t="s">
        <v>94</v>
      </c>
      <c r="N191" s="41"/>
      <c r="O191" s="112" t="str">
        <f t="shared" si="254"/>
        <v/>
      </c>
      <c r="P191" s="13"/>
      <c r="R191" s="106"/>
    </row>
    <row r="192" spans="1:18" x14ac:dyDescent="0.25">
      <c r="A192" s="166">
        <v>597</v>
      </c>
      <c r="B192" t="s">
        <v>272</v>
      </c>
      <c r="C192" t="s">
        <v>275</v>
      </c>
      <c r="D192" s="54">
        <v>440</v>
      </c>
      <c r="E192" s="114" t="b">
        <v>1</v>
      </c>
      <c r="F192" s="113">
        <f t="shared" si="187"/>
        <v>0</v>
      </c>
      <c r="G192" s="54">
        <v>0</v>
      </c>
      <c r="H192" s="113">
        <f t="shared" ref="H192" si="268">D192*10%/(1+10%)</f>
        <v>40</v>
      </c>
      <c r="I192" s="113">
        <f t="shared" si="267"/>
        <v>400</v>
      </c>
      <c r="J192" s="108" t="b">
        <v>1</v>
      </c>
      <c r="K192" s="106">
        <v>0</v>
      </c>
      <c r="L192" s="106">
        <f t="shared" si="263"/>
        <v>1360</v>
      </c>
      <c r="M192" s="165" t="s">
        <v>94</v>
      </c>
      <c r="N192" s="41"/>
      <c r="O192" s="112" t="str">
        <f t="shared" si="254"/>
        <v/>
      </c>
      <c r="P192" s="13"/>
      <c r="R192" s="106"/>
    </row>
    <row r="193" spans="1:18" x14ac:dyDescent="0.25">
      <c r="A193" s="166">
        <v>594</v>
      </c>
      <c r="B193" t="s">
        <v>266</v>
      </c>
      <c r="C193" t="s">
        <v>2784</v>
      </c>
      <c r="D193" s="54">
        <v>455</v>
      </c>
      <c r="E193" s="114" t="b">
        <v>1</v>
      </c>
      <c r="F193" s="113">
        <f t="shared" si="187"/>
        <v>0</v>
      </c>
      <c r="G193" s="54">
        <v>0</v>
      </c>
      <c r="H193" s="113">
        <f t="shared" ref="H193" si="269">D193*10%/(1+10%)</f>
        <v>41.36363636363636</v>
      </c>
      <c r="I193" s="113">
        <f t="shared" ref="I193" si="270">IF(M193="YES",D193-K193-G193-H193-L193,D193-K193-G193-H193)</f>
        <v>413.63636363636363</v>
      </c>
      <c r="J193" s="108" t="b">
        <v>1</v>
      </c>
      <c r="K193" s="106">
        <v>0</v>
      </c>
      <c r="L193" s="106">
        <f t="shared" si="263"/>
        <v>1360</v>
      </c>
      <c r="M193" s="165" t="s">
        <v>94</v>
      </c>
      <c r="N193" s="41"/>
      <c r="O193" s="112" t="str">
        <f t="shared" si="254"/>
        <v/>
      </c>
      <c r="P193" s="13"/>
      <c r="R193" s="106"/>
    </row>
    <row r="194" spans="1:18" x14ac:dyDescent="0.25">
      <c r="A194" s="166">
        <v>588</v>
      </c>
      <c r="B194" t="s">
        <v>243</v>
      </c>
      <c r="C194" t="s">
        <v>2785</v>
      </c>
      <c r="D194" s="54">
        <v>2155</v>
      </c>
      <c r="E194" s="114" t="b">
        <v>1</v>
      </c>
      <c r="F194" s="113">
        <f t="shared" si="187"/>
        <v>1360</v>
      </c>
      <c r="G194" s="54">
        <v>24.31</v>
      </c>
      <c r="H194" s="113">
        <f t="shared" ref="H194" si="271">D194*10%/(1+10%)</f>
        <v>195.90909090909091</v>
      </c>
      <c r="I194" s="113">
        <f t="shared" ref="I194" si="272">IF(M194="YES",D194-K194-G194-H194-L194,D194-K194-G194-H194)</f>
        <v>574.78090909090906</v>
      </c>
      <c r="J194" s="108"/>
      <c r="K194" s="106"/>
      <c r="L194" s="106">
        <f t="shared" si="263"/>
        <v>1360</v>
      </c>
      <c r="M194" s="165" t="s">
        <v>103</v>
      </c>
      <c r="N194" s="165">
        <v>462</v>
      </c>
      <c r="O194" s="112">
        <f t="shared" si="254"/>
        <v>1360</v>
      </c>
      <c r="P194" s="13"/>
      <c r="R194" s="106"/>
    </row>
    <row r="195" spans="1:18" x14ac:dyDescent="0.25">
      <c r="A195" s="166">
        <v>587</v>
      </c>
      <c r="B195" t="s">
        <v>243</v>
      </c>
      <c r="C195" t="s">
        <v>2786</v>
      </c>
      <c r="D195" s="54">
        <v>1155</v>
      </c>
      <c r="E195" s="114" t="b">
        <v>1</v>
      </c>
      <c r="F195" s="113">
        <f t="shared" si="187"/>
        <v>0</v>
      </c>
      <c r="G195" s="54">
        <v>0</v>
      </c>
      <c r="H195" s="113">
        <f t="shared" ref="H195" si="273">D195*10%/(1+10%)</f>
        <v>104.99999999999999</v>
      </c>
      <c r="I195" s="113">
        <f t="shared" ref="I195" si="274">IF(M195="YES",D195-K195-G195-H195-L195,D195-K195-G195-H195)</f>
        <v>350</v>
      </c>
      <c r="J195" s="108" t="b">
        <v>1</v>
      </c>
      <c r="K195" s="106">
        <v>700</v>
      </c>
      <c r="L195" s="106">
        <f t="shared" si="263"/>
        <v>1360</v>
      </c>
      <c r="M195" s="165" t="s">
        <v>94</v>
      </c>
      <c r="N195" s="41"/>
      <c r="O195" s="112" t="str">
        <f t="shared" si="254"/>
        <v/>
      </c>
      <c r="P195" s="13"/>
      <c r="R195" s="106"/>
    </row>
    <row r="196" spans="1:18" x14ac:dyDescent="0.25">
      <c r="A196" s="166">
        <v>582</v>
      </c>
      <c r="B196" t="s">
        <v>2782</v>
      </c>
      <c r="C196" t="s">
        <v>64</v>
      </c>
      <c r="D196" s="54">
        <v>420</v>
      </c>
      <c r="E196" s="114" t="b">
        <v>1</v>
      </c>
      <c r="F196" s="113">
        <f t="shared" si="187"/>
        <v>0</v>
      </c>
      <c r="G196" s="54">
        <v>0</v>
      </c>
      <c r="H196" s="113">
        <f t="shared" ref="H196" si="275">D196*10%/(1+10%)</f>
        <v>38.18181818181818</v>
      </c>
      <c r="I196" s="113">
        <f t="shared" ref="I196:I197" si="276">IF(M196="YES",D196-K196-G196-H196-L196,D196-K196-G196-H196)</f>
        <v>381.81818181818181</v>
      </c>
      <c r="J196" s="108" t="b">
        <v>1</v>
      </c>
      <c r="K196" s="106">
        <v>0</v>
      </c>
      <c r="L196" s="106">
        <f t="shared" si="263"/>
        <v>1360</v>
      </c>
      <c r="M196" s="165" t="s">
        <v>94</v>
      </c>
      <c r="N196" s="41"/>
      <c r="O196" s="112" t="str">
        <f t="shared" si="254"/>
        <v/>
      </c>
      <c r="P196" s="13"/>
      <c r="R196" s="106"/>
    </row>
    <row r="197" spans="1:18" x14ac:dyDescent="0.25">
      <c r="A197" s="166">
        <v>578</v>
      </c>
      <c r="B197" t="s">
        <v>237</v>
      </c>
      <c r="C197" t="s">
        <v>2781</v>
      </c>
      <c r="D197" s="54">
        <v>2440</v>
      </c>
      <c r="E197" s="114" t="b">
        <v>1</v>
      </c>
      <c r="F197" s="113">
        <f t="shared" si="187"/>
        <v>0</v>
      </c>
      <c r="G197" s="54">
        <v>0</v>
      </c>
      <c r="H197" s="113">
        <f t="shared" ref="H197" si="277">D197*10%/(1+10%)</f>
        <v>221.81818181818181</v>
      </c>
      <c r="I197" s="113">
        <f t="shared" si="276"/>
        <v>858.18181818181802</v>
      </c>
      <c r="J197" s="108" t="b">
        <v>1</v>
      </c>
      <c r="K197" s="106"/>
      <c r="L197" s="106">
        <f t="shared" si="263"/>
        <v>1360</v>
      </c>
      <c r="M197" s="165" t="s">
        <v>103</v>
      </c>
      <c r="N197" s="165">
        <v>459</v>
      </c>
      <c r="O197" s="112" t="str">
        <f t="shared" si="254"/>
        <v/>
      </c>
      <c r="P197" s="13"/>
      <c r="R197" s="106"/>
    </row>
    <row r="198" spans="1:18" x14ac:dyDescent="0.25">
      <c r="A198" s="166">
        <v>573</v>
      </c>
      <c r="B198" t="s">
        <v>54</v>
      </c>
      <c r="C198" t="s">
        <v>57</v>
      </c>
      <c r="D198" s="54">
        <v>461</v>
      </c>
      <c r="E198" s="114" t="b">
        <v>1</v>
      </c>
      <c r="F198" s="113">
        <f t="shared" si="187"/>
        <v>0</v>
      </c>
      <c r="G198" s="54">
        <v>0</v>
      </c>
      <c r="H198" s="113">
        <f t="shared" ref="H198" si="278">D198*10%/(1+10%)</f>
        <v>41.909090909090907</v>
      </c>
      <c r="I198" s="113">
        <f t="shared" ref="I198" si="279">IF(M198="YES",D198-K198-G198-H198-L198,D198-K198-G198-H198)</f>
        <v>419.09090909090912</v>
      </c>
      <c r="J198" s="108" t="b">
        <v>1</v>
      </c>
      <c r="K198" s="106">
        <v>0</v>
      </c>
      <c r="L198" s="106">
        <f t="shared" si="263"/>
        <v>1360</v>
      </c>
      <c r="M198" s="165" t="s">
        <v>94</v>
      </c>
      <c r="N198" s="41"/>
      <c r="O198" s="112" t="str">
        <f t="shared" si="254"/>
        <v/>
      </c>
      <c r="P198" s="13"/>
      <c r="R198" s="106"/>
    </row>
    <row r="199" spans="1:18" x14ac:dyDescent="0.25">
      <c r="A199" s="166">
        <v>569</v>
      </c>
      <c r="B199" t="s">
        <v>256</v>
      </c>
      <c r="C199" t="s">
        <v>259</v>
      </c>
      <c r="D199" s="54">
        <v>461</v>
      </c>
      <c r="E199" s="114" t="b">
        <v>1</v>
      </c>
      <c r="F199" s="113">
        <f t="shared" si="187"/>
        <v>0</v>
      </c>
      <c r="G199" s="54">
        <v>0</v>
      </c>
      <c r="H199" s="113">
        <f t="shared" ref="H199" si="280">D199*10%/(1+10%)</f>
        <v>41.909090909090907</v>
      </c>
      <c r="I199" s="113">
        <f t="shared" ref="I199" si="281">IF(M199="YES",D199-K199-G199-H199-L199,D199-K199-G199-H199)</f>
        <v>419.09090909090912</v>
      </c>
      <c r="J199" s="108" t="b">
        <v>1</v>
      </c>
      <c r="K199" s="106">
        <v>0</v>
      </c>
      <c r="L199" s="106">
        <f t="shared" si="263"/>
        <v>1360</v>
      </c>
      <c r="M199" s="165" t="s">
        <v>94</v>
      </c>
      <c r="N199" s="41"/>
      <c r="O199" s="112" t="str">
        <f t="shared" si="254"/>
        <v/>
      </c>
      <c r="P199" s="13"/>
      <c r="R199" s="106"/>
    </row>
    <row r="200" spans="1:18" x14ac:dyDescent="0.25">
      <c r="A200" s="166">
        <v>562</v>
      </c>
      <c r="B200" t="s">
        <v>262</v>
      </c>
      <c r="C200" t="s">
        <v>2736</v>
      </c>
      <c r="D200" s="54">
        <v>435</v>
      </c>
      <c r="E200" s="114" t="b">
        <v>1</v>
      </c>
      <c r="F200" s="113">
        <f t="shared" si="187"/>
        <v>0</v>
      </c>
      <c r="G200" s="54">
        <v>0</v>
      </c>
      <c r="H200" s="113">
        <f t="shared" ref="H200" si="282">D200*10%/(1+10%)</f>
        <v>39.54545454545454</v>
      </c>
      <c r="I200" s="113">
        <f t="shared" ref="I200:I201" si="283">IF(M200="YES",D200-K200-G200-H200-L200,D200-K200-G200-H200)</f>
        <v>395.45454545454544</v>
      </c>
      <c r="J200" s="108" t="b">
        <v>1</v>
      </c>
      <c r="K200" s="106">
        <v>0</v>
      </c>
      <c r="L200" s="106">
        <f t="shared" si="263"/>
        <v>1360</v>
      </c>
      <c r="M200" s="165" t="s">
        <v>94</v>
      </c>
      <c r="N200" s="41"/>
      <c r="O200" s="112" t="str">
        <f t="shared" si="254"/>
        <v/>
      </c>
      <c r="P200" s="13"/>
      <c r="R200" s="106"/>
    </row>
    <row r="201" spans="1:18" x14ac:dyDescent="0.25">
      <c r="A201" s="166">
        <v>561</v>
      </c>
      <c r="B201" t="s">
        <v>211</v>
      </c>
      <c r="C201" t="s">
        <v>214</v>
      </c>
      <c r="D201" s="54">
        <v>1064</v>
      </c>
      <c r="E201" s="114" t="b">
        <v>1</v>
      </c>
      <c r="F201" s="113">
        <f t="shared" si="187"/>
        <v>0</v>
      </c>
      <c r="G201" s="54">
        <v>0</v>
      </c>
      <c r="H201" s="113">
        <f t="shared" ref="H201" si="284">D201*10%/(1+10%)</f>
        <v>96.72727272727272</v>
      </c>
      <c r="I201" s="113">
        <f t="shared" si="283"/>
        <v>247.27272727272728</v>
      </c>
      <c r="J201" s="108" t="b">
        <v>1</v>
      </c>
      <c r="K201" s="106">
        <v>720</v>
      </c>
      <c r="L201" s="106">
        <f t="shared" si="263"/>
        <v>1360</v>
      </c>
      <c r="M201" s="165" t="s">
        <v>94</v>
      </c>
      <c r="N201" s="41"/>
      <c r="O201" s="112" t="str">
        <f t="shared" ref="O201:O217" si="285">IF(F201&gt;=500,F201,"")</f>
        <v/>
      </c>
      <c r="P201" s="13"/>
      <c r="R201" s="106"/>
    </row>
    <row r="202" spans="1:18" x14ac:dyDescent="0.25">
      <c r="A202" s="166">
        <v>556</v>
      </c>
      <c r="B202" t="s">
        <v>243</v>
      </c>
      <c r="C202" t="s">
        <v>2787</v>
      </c>
      <c r="D202" s="54">
        <v>462</v>
      </c>
      <c r="E202" s="114" t="b">
        <v>1</v>
      </c>
      <c r="F202" s="113">
        <v>0</v>
      </c>
      <c r="G202" s="54">
        <v>0</v>
      </c>
      <c r="H202" s="113">
        <f t="shared" ref="H202" si="286">D202*10%/(1+10%)</f>
        <v>42</v>
      </c>
      <c r="I202" s="113">
        <f t="shared" ref="I202" si="287">IF(M202="YES",D202-K202-G202-H202-L202,D202-K202-G202-H202)</f>
        <v>420</v>
      </c>
      <c r="J202" s="108" t="b">
        <v>1</v>
      </c>
      <c r="K202" s="106">
        <v>0</v>
      </c>
      <c r="L202" s="106">
        <f t="shared" si="263"/>
        <v>1360</v>
      </c>
      <c r="M202" s="165" t="s">
        <v>94</v>
      </c>
      <c r="N202" s="41"/>
      <c r="O202" s="112" t="str">
        <f t="shared" si="285"/>
        <v/>
      </c>
      <c r="P202" s="13"/>
      <c r="R202" s="106"/>
    </row>
    <row r="203" spans="1:18" x14ac:dyDescent="0.25">
      <c r="A203" s="166">
        <v>552</v>
      </c>
      <c r="B203" t="s">
        <v>230</v>
      </c>
      <c r="C203" t="s">
        <v>233</v>
      </c>
      <c r="D203" s="54">
        <v>1564</v>
      </c>
      <c r="E203" s="114" t="b">
        <v>1</v>
      </c>
      <c r="F203" s="113">
        <f t="shared" ref="F203:F248" si="288">IF(J203=TRUE,0,IF(AND(E203=TRUE,M203="YES"),L203,IF(E203=TRUE,K203,0)))</f>
        <v>0</v>
      </c>
      <c r="G203" s="54">
        <v>0</v>
      </c>
      <c r="H203" s="113">
        <f t="shared" ref="H203" si="289">D203*10%/(1+10%)</f>
        <v>142.18181818181819</v>
      </c>
      <c r="I203" s="113">
        <f t="shared" ref="I203" si="290">IF(M203="YES",D203-K203-G203-H203-L203,D203-K203-G203-H203)</f>
        <v>621.81818181818176</v>
      </c>
      <c r="J203" s="108" t="b">
        <v>1</v>
      </c>
      <c r="K203" s="106">
        <v>800</v>
      </c>
      <c r="L203" s="106">
        <f t="shared" si="263"/>
        <v>1360</v>
      </c>
      <c r="M203" s="165" t="s">
        <v>94</v>
      </c>
      <c r="N203" s="41"/>
      <c r="O203" s="112" t="str">
        <f t="shared" si="285"/>
        <v/>
      </c>
      <c r="P203" s="13"/>
      <c r="R203" s="106"/>
    </row>
    <row r="204" spans="1:18" x14ac:dyDescent="0.25">
      <c r="A204" s="166">
        <v>547</v>
      </c>
      <c r="B204" t="s">
        <v>250</v>
      </c>
      <c r="C204" t="s">
        <v>253</v>
      </c>
      <c r="D204" s="54">
        <v>633</v>
      </c>
      <c r="E204" s="114" t="b">
        <v>1</v>
      </c>
      <c r="F204" s="113">
        <f t="shared" si="288"/>
        <v>0</v>
      </c>
      <c r="G204" s="54">
        <v>0</v>
      </c>
      <c r="H204" s="113">
        <f t="shared" ref="H204" si="291">D204*10%/(1+10%)</f>
        <v>57.545454545454547</v>
      </c>
      <c r="I204" s="113">
        <f t="shared" ref="I204:I205" si="292">IF(M204="YES",D204-K204-G204-H204-L204,D204-K204-G204-H204)</f>
        <v>575.4545454545455</v>
      </c>
      <c r="J204" s="108" t="b">
        <v>1</v>
      </c>
      <c r="K204" s="106">
        <v>0</v>
      </c>
      <c r="L204" s="106">
        <f t="shared" si="263"/>
        <v>1360</v>
      </c>
      <c r="M204" s="165" t="s">
        <v>94</v>
      </c>
      <c r="N204" s="41"/>
      <c r="O204" s="112" t="str">
        <f t="shared" si="285"/>
        <v/>
      </c>
      <c r="P204" s="13"/>
      <c r="R204" s="106"/>
    </row>
    <row r="205" spans="1:18" x14ac:dyDescent="0.25">
      <c r="A205" s="166">
        <v>546</v>
      </c>
      <c r="B205" t="s">
        <v>223</v>
      </c>
      <c r="C205" t="s">
        <v>226</v>
      </c>
      <c r="D205" s="54">
        <v>2005</v>
      </c>
      <c r="E205" s="114" t="b">
        <v>1</v>
      </c>
      <c r="F205" s="113">
        <f t="shared" si="288"/>
        <v>1360</v>
      </c>
      <c r="G205" s="54">
        <v>24.31</v>
      </c>
      <c r="H205" s="113">
        <f t="shared" ref="H205" si="293">D205*10%/(1+10%)</f>
        <v>182.27272727272725</v>
      </c>
      <c r="I205" s="113">
        <f t="shared" si="292"/>
        <v>438.4172727272728</v>
      </c>
      <c r="J205" s="108"/>
      <c r="K205" s="106"/>
      <c r="L205" s="106">
        <f t="shared" si="263"/>
        <v>1360</v>
      </c>
      <c r="M205" s="165" t="s">
        <v>103</v>
      </c>
      <c r="N205" s="165">
        <v>442</v>
      </c>
      <c r="O205" s="112">
        <f t="shared" si="285"/>
        <v>1360</v>
      </c>
      <c r="P205" s="13"/>
      <c r="R205" s="106"/>
    </row>
    <row r="206" spans="1:18" x14ac:dyDescent="0.25">
      <c r="A206" s="166">
        <v>541</v>
      </c>
      <c r="B206" t="s">
        <v>237</v>
      </c>
      <c r="C206" t="s">
        <v>2781</v>
      </c>
      <c r="D206" s="54">
        <v>459</v>
      </c>
      <c r="E206" s="114" t="b">
        <v>1</v>
      </c>
      <c r="F206" s="113">
        <f t="shared" si="288"/>
        <v>0</v>
      </c>
      <c r="G206" s="54">
        <v>0</v>
      </c>
      <c r="H206" s="113">
        <f t="shared" ref="H206" si="294">D206*10%/(1+10%)</f>
        <v>41.727272727272727</v>
      </c>
      <c r="I206" s="113">
        <f t="shared" ref="I206" si="295">IF(M206="YES",D206-K206-G206-H206-L206,D206-K206-G206-H206)</f>
        <v>417.27272727272725</v>
      </c>
      <c r="J206" s="108" t="b">
        <v>1</v>
      </c>
      <c r="K206" s="106">
        <v>0</v>
      </c>
      <c r="L206" s="106">
        <f t="shared" si="263"/>
        <v>1360</v>
      </c>
      <c r="M206" s="165" t="s">
        <v>94</v>
      </c>
      <c r="N206" s="41"/>
      <c r="O206" s="112" t="str">
        <f t="shared" si="285"/>
        <v/>
      </c>
      <c r="P206" s="13"/>
      <c r="R206" s="106"/>
    </row>
    <row r="207" spans="1:18" x14ac:dyDescent="0.25">
      <c r="A207" s="166">
        <v>531</v>
      </c>
      <c r="B207" t="s">
        <v>217</v>
      </c>
      <c r="C207" t="s">
        <v>2788</v>
      </c>
      <c r="D207" s="54">
        <v>2005</v>
      </c>
      <c r="E207" s="114" t="b">
        <v>1</v>
      </c>
      <c r="F207" s="113">
        <f t="shared" si="288"/>
        <v>1360</v>
      </c>
      <c r="G207" s="54">
        <v>24.31</v>
      </c>
      <c r="H207" s="113">
        <f t="shared" ref="H207" si="296">D207*10%/(1+10%)</f>
        <v>182.27272727272725</v>
      </c>
      <c r="I207" s="113">
        <f t="shared" ref="I207" si="297">IF(M207="YES",D207-K207-G207-H207-L207,D207-K207-G207-H207)</f>
        <v>438.4172727272728</v>
      </c>
      <c r="J207" s="108"/>
      <c r="K207" s="106"/>
      <c r="L207" s="106">
        <f t="shared" si="263"/>
        <v>1360</v>
      </c>
      <c r="M207" s="165" t="s">
        <v>103</v>
      </c>
      <c r="N207" s="165">
        <v>447</v>
      </c>
      <c r="O207" s="112">
        <f t="shared" si="285"/>
        <v>1360</v>
      </c>
      <c r="P207" s="13"/>
      <c r="R207" s="106"/>
    </row>
    <row r="208" spans="1:18" x14ac:dyDescent="0.25">
      <c r="A208" s="166">
        <v>513</v>
      </c>
      <c r="B208" t="s">
        <v>223</v>
      </c>
      <c r="C208" t="s">
        <v>226</v>
      </c>
      <c r="D208" s="54">
        <v>442</v>
      </c>
      <c r="E208" s="114" t="b">
        <v>1</v>
      </c>
      <c r="F208" s="113">
        <f t="shared" si="288"/>
        <v>0</v>
      </c>
      <c r="G208" s="54">
        <v>0</v>
      </c>
      <c r="H208" s="113">
        <f t="shared" ref="H208" si="298">D208*10%/(1+10%)</f>
        <v>40.18181818181818</v>
      </c>
      <c r="I208" s="113">
        <f t="shared" ref="I208:I209" si="299">IF(M208="YES",D208-K208-G208-H208-L208,D208-K208-G208-H208)</f>
        <v>401.81818181818181</v>
      </c>
      <c r="J208" s="108" t="b">
        <v>1</v>
      </c>
      <c r="K208" s="106">
        <v>0</v>
      </c>
      <c r="L208" s="106">
        <f t="shared" si="263"/>
        <v>1360</v>
      </c>
      <c r="M208" s="165" t="s">
        <v>94</v>
      </c>
      <c r="N208" s="41"/>
      <c r="O208" s="112" t="str">
        <f t="shared" si="285"/>
        <v/>
      </c>
      <c r="P208" s="13"/>
      <c r="R208" s="106"/>
    </row>
    <row r="209" spans="1:18" x14ac:dyDescent="0.25">
      <c r="A209" s="166">
        <v>512</v>
      </c>
      <c r="B209" t="s">
        <v>230</v>
      </c>
      <c r="C209" t="s">
        <v>2789</v>
      </c>
      <c r="D209" s="54">
        <v>530</v>
      </c>
      <c r="E209" s="114" t="b">
        <v>1</v>
      </c>
      <c r="F209" s="113">
        <f t="shared" si="288"/>
        <v>0</v>
      </c>
      <c r="G209" s="54">
        <v>0</v>
      </c>
      <c r="H209" s="113">
        <f t="shared" ref="H209" si="300">D209*10%/(1+10%)</f>
        <v>48.18181818181818</v>
      </c>
      <c r="I209" s="113">
        <f t="shared" si="299"/>
        <v>481.81818181818181</v>
      </c>
      <c r="J209" s="108" t="b">
        <v>1</v>
      </c>
      <c r="K209" s="106">
        <v>0</v>
      </c>
      <c r="L209" s="106">
        <f t="shared" si="263"/>
        <v>1360</v>
      </c>
      <c r="M209" s="165" t="s">
        <v>94</v>
      </c>
      <c r="N209" s="41"/>
      <c r="O209" s="112" t="str">
        <f t="shared" si="285"/>
        <v/>
      </c>
      <c r="P209" s="13"/>
      <c r="R209" s="106"/>
    </row>
    <row r="210" spans="1:18" x14ac:dyDescent="0.25">
      <c r="A210" s="166">
        <v>493</v>
      </c>
      <c r="B210" t="s">
        <v>158</v>
      </c>
      <c r="C210" t="s">
        <v>161</v>
      </c>
      <c r="D210" s="54">
        <v>264.5</v>
      </c>
      <c r="E210" s="114" t="b">
        <v>1</v>
      </c>
      <c r="F210" s="113">
        <f t="shared" si="288"/>
        <v>0</v>
      </c>
      <c r="G210" s="54"/>
      <c r="H210" s="113">
        <f t="shared" ref="H210" si="301">D210*10%/(1+10%)</f>
        <v>24.045454545454547</v>
      </c>
      <c r="I210" s="113">
        <f t="shared" ref="I210:I212" si="302">IF(M210="YES",D210-K210-G210-H210-L210,D210-K210-G210-H210)</f>
        <v>90.454545454545453</v>
      </c>
      <c r="J210" s="108" t="b">
        <v>1</v>
      </c>
      <c r="K210" s="106">
        <v>150</v>
      </c>
      <c r="L210" s="106">
        <f t="shared" si="263"/>
        <v>1360</v>
      </c>
      <c r="M210" s="165" t="s">
        <v>94</v>
      </c>
      <c r="N210" s="41"/>
      <c r="O210" s="112" t="str">
        <f t="shared" si="285"/>
        <v/>
      </c>
      <c r="P210" s="13"/>
      <c r="R210" s="106"/>
    </row>
    <row r="211" spans="1:18" x14ac:dyDescent="0.25">
      <c r="A211" s="166">
        <v>492</v>
      </c>
      <c r="B211" t="s">
        <v>211</v>
      </c>
      <c r="C211" t="s">
        <v>214</v>
      </c>
      <c r="D211" s="54">
        <v>585</v>
      </c>
      <c r="E211" s="114" t="b">
        <v>1</v>
      </c>
      <c r="F211" s="113">
        <f t="shared" si="288"/>
        <v>0</v>
      </c>
      <c r="G211" s="54"/>
      <c r="H211" s="113">
        <f t="shared" ref="H211" si="303">D211*10%/(1+10%)</f>
        <v>53.18181818181818</v>
      </c>
      <c r="I211" s="113">
        <f t="shared" si="302"/>
        <v>531.81818181818187</v>
      </c>
      <c r="J211" s="108" t="b">
        <v>1</v>
      </c>
      <c r="K211" s="106"/>
      <c r="L211" s="106">
        <f t="shared" si="263"/>
        <v>1360</v>
      </c>
      <c r="M211" s="165" t="s">
        <v>94</v>
      </c>
      <c r="N211" s="41"/>
      <c r="O211" s="112" t="str">
        <f t="shared" si="285"/>
        <v/>
      </c>
      <c r="P211" s="13"/>
      <c r="R211" s="106"/>
    </row>
    <row r="212" spans="1:18" x14ac:dyDescent="0.25">
      <c r="A212" s="166">
        <v>491</v>
      </c>
      <c r="B212" t="s">
        <v>217</v>
      </c>
      <c r="C212" t="s">
        <v>220</v>
      </c>
      <c r="D212" s="54">
        <v>447</v>
      </c>
      <c r="E212" s="114" t="b">
        <v>1</v>
      </c>
      <c r="F212" s="113">
        <f t="shared" si="288"/>
        <v>0</v>
      </c>
      <c r="G212" s="54"/>
      <c r="H212" s="113">
        <f t="shared" ref="H212" si="304">D212*10%/(1+10%)</f>
        <v>40.636363636363633</v>
      </c>
      <c r="I212" s="113">
        <f t="shared" si="302"/>
        <v>406.36363636363637</v>
      </c>
      <c r="J212" s="108" t="b">
        <v>1</v>
      </c>
      <c r="K212" s="106"/>
      <c r="L212" s="106">
        <f t="shared" si="263"/>
        <v>1360</v>
      </c>
      <c r="M212" s="165" t="s">
        <v>94</v>
      </c>
      <c r="N212" s="41"/>
      <c r="O212" s="112" t="str">
        <f t="shared" si="285"/>
        <v/>
      </c>
      <c r="P212" s="13"/>
      <c r="R212" s="106"/>
    </row>
    <row r="213" spans="1:18" x14ac:dyDescent="0.25">
      <c r="A213" s="166">
        <v>475</v>
      </c>
      <c r="B213" t="s">
        <v>2790</v>
      </c>
      <c r="C213" t="s">
        <v>117</v>
      </c>
      <c r="D213" s="54">
        <v>749.25</v>
      </c>
      <c r="E213" s="114" t="b">
        <v>1</v>
      </c>
      <c r="F213" s="113">
        <f t="shared" si="288"/>
        <v>0</v>
      </c>
      <c r="G213" s="54"/>
      <c r="H213" s="113">
        <f t="shared" ref="H213" si="305">D213*10%/(1+10%)</f>
        <v>68.11363636363636</v>
      </c>
      <c r="I213" s="113">
        <f t="shared" ref="I213" si="306">IF(M213="YES",D213-K213-G213-H213-L213,D213-K213-G213-H213)</f>
        <v>181.13636363636363</v>
      </c>
      <c r="J213" s="108" t="b">
        <v>1</v>
      </c>
      <c r="K213" s="106">
        <v>500</v>
      </c>
      <c r="L213" s="106">
        <f t="shared" si="263"/>
        <v>1360</v>
      </c>
      <c r="M213" s="165" t="s">
        <v>94</v>
      </c>
      <c r="N213" s="41"/>
      <c r="O213" s="112" t="str">
        <f t="shared" si="285"/>
        <v/>
      </c>
      <c r="P213" s="13"/>
      <c r="R213" s="106"/>
    </row>
    <row r="214" spans="1:18" x14ac:dyDescent="0.25">
      <c r="A214" s="166">
        <v>468</v>
      </c>
      <c r="B214" t="s">
        <v>2791</v>
      </c>
      <c r="C214" t="s">
        <v>208</v>
      </c>
      <c r="D214" s="54">
        <v>985</v>
      </c>
      <c r="E214" s="114" t="b">
        <v>1</v>
      </c>
      <c r="F214" s="113">
        <f t="shared" si="288"/>
        <v>0</v>
      </c>
      <c r="G214" s="54"/>
      <c r="H214" s="113">
        <f t="shared" ref="H214" si="307">D214*10%/(1+10%)</f>
        <v>89.545454545454533</v>
      </c>
      <c r="I214" s="113">
        <f t="shared" ref="I214" si="308">IF(M214="YES",D214-K214-G214-H214-L214,D214-K214-G214-H214)</f>
        <v>295.4545454545455</v>
      </c>
      <c r="J214" s="108" t="b">
        <v>1</v>
      </c>
      <c r="K214" s="106">
        <v>600</v>
      </c>
      <c r="L214" s="106">
        <f t="shared" si="263"/>
        <v>1360</v>
      </c>
      <c r="M214" s="165" t="s">
        <v>94</v>
      </c>
      <c r="N214" s="41"/>
      <c r="O214" s="112" t="str">
        <f t="shared" si="285"/>
        <v/>
      </c>
      <c r="P214" s="13"/>
      <c r="R214" s="106"/>
    </row>
    <row r="215" spans="1:18" x14ac:dyDescent="0.25">
      <c r="A215" s="166">
        <v>457</v>
      </c>
      <c r="B215" t="s">
        <v>158</v>
      </c>
      <c r="C215" t="s">
        <v>161</v>
      </c>
      <c r="D215" s="54">
        <v>2500</v>
      </c>
      <c r="E215" s="114" t="b">
        <v>1</v>
      </c>
      <c r="F215" s="113">
        <f t="shared" si="288"/>
        <v>1360</v>
      </c>
      <c r="G215" s="54">
        <v>23.6</v>
      </c>
      <c r="H215" s="113">
        <f t="shared" ref="H215" si="309">D215*10%/(1+10%)</f>
        <v>227.27272727272725</v>
      </c>
      <c r="I215" s="113">
        <f t="shared" ref="I215" si="310">IF(M215="YES",D215-K215-G215-H215-L215,D215-K215-G215-H215)</f>
        <v>889.12727272727261</v>
      </c>
      <c r="J215" s="108" t="b">
        <v>0</v>
      </c>
      <c r="K215" s="106"/>
      <c r="L215" s="106">
        <f t="shared" si="263"/>
        <v>1360</v>
      </c>
      <c r="M215" s="165" t="s">
        <v>103</v>
      </c>
      <c r="N215" s="165">
        <v>450</v>
      </c>
      <c r="O215" s="112">
        <f t="shared" si="285"/>
        <v>1360</v>
      </c>
      <c r="P215" s="13"/>
      <c r="R215" s="106"/>
    </row>
    <row r="216" spans="1:18" x14ac:dyDescent="0.25">
      <c r="A216" s="166">
        <v>452</v>
      </c>
      <c r="B216" t="s">
        <v>2792</v>
      </c>
      <c r="C216" t="s">
        <v>190</v>
      </c>
      <c r="D216" s="54">
        <v>2050</v>
      </c>
      <c r="E216" s="114" t="b">
        <v>1</v>
      </c>
      <c r="F216" s="113">
        <f t="shared" si="288"/>
        <v>1360</v>
      </c>
      <c r="G216" s="54">
        <v>23.6</v>
      </c>
      <c r="H216" s="113">
        <f t="shared" ref="H216" si="311">D216*10%/(1+10%)</f>
        <v>186.36363636363635</v>
      </c>
      <c r="I216" s="113">
        <f t="shared" ref="I216" si="312">IF(M216="YES",D216-K216-G216-H216-L216,D216-K216-G216-H216)</f>
        <v>480.03636363636383</v>
      </c>
      <c r="J216" s="108"/>
      <c r="K216" s="106"/>
      <c r="L216" s="106">
        <f t="shared" si="263"/>
        <v>1360</v>
      </c>
      <c r="M216" s="165" t="s">
        <v>103</v>
      </c>
      <c r="N216" s="165">
        <v>475</v>
      </c>
      <c r="O216" s="112">
        <f t="shared" si="285"/>
        <v>1360</v>
      </c>
      <c r="P216" s="13"/>
      <c r="R216" s="106"/>
    </row>
    <row r="217" spans="1:18" x14ac:dyDescent="0.25">
      <c r="A217" s="166">
        <v>446</v>
      </c>
      <c r="B217" t="s">
        <v>2791</v>
      </c>
      <c r="C217" t="s">
        <v>208</v>
      </c>
      <c r="D217" s="54">
        <v>435</v>
      </c>
      <c r="E217" s="114" t="b">
        <v>1</v>
      </c>
      <c r="F217" s="113">
        <f t="shared" si="288"/>
        <v>0</v>
      </c>
      <c r="G217" s="54">
        <v>22.6</v>
      </c>
      <c r="H217" s="113">
        <f t="shared" ref="H217" si="313">D217*10%/(1+10%)</f>
        <v>39.54545454545454</v>
      </c>
      <c r="I217" s="113">
        <f t="shared" ref="I217" si="314">IF(M217="YES",D217-K217-G217-H217-L217,D217-K217-G217-H217)</f>
        <v>372.85454545454542</v>
      </c>
      <c r="J217" s="108" t="b">
        <v>1</v>
      </c>
      <c r="K217" s="106"/>
      <c r="L217" s="106">
        <f t="shared" si="263"/>
        <v>1360</v>
      </c>
      <c r="M217" s="165" t="s">
        <v>94</v>
      </c>
      <c r="N217" s="41"/>
      <c r="O217" s="112" t="str">
        <f t="shared" si="285"/>
        <v/>
      </c>
      <c r="P217" s="13"/>
      <c r="R217" s="106"/>
    </row>
    <row r="218" spans="1:18" x14ac:dyDescent="0.25">
      <c r="A218" s="166">
        <v>442</v>
      </c>
      <c r="B218" t="s">
        <v>2793</v>
      </c>
      <c r="C218" t="s">
        <v>153</v>
      </c>
      <c r="D218" s="54">
        <v>4500</v>
      </c>
      <c r="E218" s="114" t="b">
        <v>1</v>
      </c>
      <c r="F218" s="113">
        <f t="shared" si="288"/>
        <v>0</v>
      </c>
      <c r="G218" s="54">
        <v>22.6</v>
      </c>
      <c r="H218" s="113">
        <f t="shared" ref="H218" si="315">D218*10%/(1+10%)</f>
        <v>409.09090909090907</v>
      </c>
      <c r="I218" s="113">
        <f t="shared" ref="I218" si="316">IF(M218="YES",D218-K218-G218-H218-L218,D218-K218-G218-H218)</f>
        <v>-431.69090909090909</v>
      </c>
      <c r="J218" s="108" t="b">
        <v>1</v>
      </c>
      <c r="K218" s="106">
        <v>4500</v>
      </c>
      <c r="L218" s="106">
        <f t="shared" ref="L218:L267" si="317">IF(D218+N218&gt;=1600,1360,1360)</f>
        <v>1360</v>
      </c>
      <c r="M218" s="165" t="s">
        <v>94</v>
      </c>
      <c r="N218" s="41"/>
      <c r="O218" s="112" t="str">
        <f t="shared" ref="O218:O254" si="318">IF(F218&gt;=500,F218,"")</f>
        <v/>
      </c>
      <c r="P218" s="13"/>
      <c r="R218" s="106"/>
    </row>
    <row r="219" spans="1:18" x14ac:dyDescent="0.25">
      <c r="A219" s="166">
        <v>432</v>
      </c>
      <c r="B219" t="s">
        <v>2551</v>
      </c>
      <c r="C219" t="s">
        <v>2553</v>
      </c>
      <c r="D219" s="54">
        <v>585</v>
      </c>
      <c r="E219" s="114" t="b">
        <v>1</v>
      </c>
      <c r="F219" s="113">
        <f t="shared" si="288"/>
        <v>0</v>
      </c>
      <c r="G219" s="54"/>
      <c r="H219" s="113">
        <f t="shared" ref="H219" si="319">D219*10%/(1+10%)</f>
        <v>53.18181818181818</v>
      </c>
      <c r="I219" s="113">
        <f t="shared" ref="I219" si="320">IF(M219="YES",D219-K219-G219-H219-L219,D219-K219-G219-H219)</f>
        <v>81.818181818181813</v>
      </c>
      <c r="J219" s="108" t="b">
        <v>1</v>
      </c>
      <c r="K219" s="106">
        <v>450</v>
      </c>
      <c r="L219" s="106">
        <f t="shared" si="317"/>
        <v>1360</v>
      </c>
      <c r="M219" s="165" t="s">
        <v>94</v>
      </c>
      <c r="N219" s="41"/>
      <c r="O219" s="112" t="str">
        <f t="shared" si="318"/>
        <v/>
      </c>
      <c r="P219" s="13"/>
      <c r="R219" s="106"/>
    </row>
    <row r="220" spans="1:18" x14ac:dyDescent="0.25">
      <c r="A220" s="166">
        <v>417</v>
      </c>
      <c r="B220" t="s">
        <v>2594</v>
      </c>
      <c r="C220" t="s">
        <v>2596</v>
      </c>
      <c r="D220" s="54">
        <v>979</v>
      </c>
      <c r="E220" s="114" t="b">
        <v>1</v>
      </c>
      <c r="F220" s="113">
        <f t="shared" si="288"/>
        <v>0</v>
      </c>
      <c r="G220" s="54"/>
      <c r="H220" s="113">
        <f t="shared" ref="H220" si="321">D220*10%/(1+10%)</f>
        <v>89</v>
      </c>
      <c r="I220" s="113">
        <f t="shared" ref="I220" si="322">IF(M220="YES",D220-K220-G220-H220-L220,D220-K220-G220-H220)</f>
        <v>560</v>
      </c>
      <c r="J220" s="108" t="b">
        <v>1</v>
      </c>
      <c r="K220" s="106">
        <v>330</v>
      </c>
      <c r="L220" s="106">
        <f t="shared" si="317"/>
        <v>1360</v>
      </c>
      <c r="M220" s="165" t="s">
        <v>94</v>
      </c>
      <c r="N220" s="41"/>
      <c r="O220" s="112" t="str">
        <f t="shared" si="318"/>
        <v/>
      </c>
      <c r="P220" s="13"/>
      <c r="R220" s="106"/>
    </row>
    <row r="221" spans="1:18" x14ac:dyDescent="0.25">
      <c r="A221" s="166">
        <v>400</v>
      </c>
      <c r="B221" t="s">
        <v>2551</v>
      </c>
      <c r="C221" t="s">
        <v>2553</v>
      </c>
      <c r="D221" s="54">
        <v>2100</v>
      </c>
      <c r="E221" s="114" t="b">
        <v>1</v>
      </c>
      <c r="F221" s="113">
        <f t="shared" si="288"/>
        <v>1360</v>
      </c>
      <c r="G221" s="54">
        <v>23.6</v>
      </c>
      <c r="H221" s="113">
        <f t="shared" ref="H221" si="323">D221*10%/(1+10%)</f>
        <v>190.90909090909091</v>
      </c>
      <c r="I221" s="113">
        <f t="shared" ref="I221" si="324">IF(M221="YES",D221-K221-G221-H221-L221,D221-K221-G221-H221)</f>
        <v>525.4909090909091</v>
      </c>
      <c r="J221" s="108"/>
      <c r="K221" s="106"/>
      <c r="L221" s="106">
        <f t="shared" si="317"/>
        <v>1360</v>
      </c>
      <c r="M221" s="165" t="s">
        <v>103</v>
      </c>
      <c r="N221" s="165">
        <v>478</v>
      </c>
      <c r="O221" s="112">
        <f t="shared" si="318"/>
        <v>1360</v>
      </c>
      <c r="P221" s="13"/>
      <c r="R221" s="106"/>
    </row>
    <row r="222" spans="1:18" x14ac:dyDescent="0.25">
      <c r="A222" s="166">
        <v>396</v>
      </c>
      <c r="B222" t="s">
        <v>114</v>
      </c>
      <c r="C222" t="s">
        <v>117</v>
      </c>
      <c r="D222" s="54">
        <v>2550</v>
      </c>
      <c r="E222" s="114" t="b">
        <v>1</v>
      </c>
      <c r="F222" s="113">
        <f t="shared" si="288"/>
        <v>0</v>
      </c>
      <c r="G222" s="54">
        <v>23.6</v>
      </c>
      <c r="H222" s="113">
        <f t="shared" ref="H222" si="325">D222*10%/(1+10%)</f>
        <v>231.81818181818181</v>
      </c>
      <c r="I222" s="113">
        <f t="shared" ref="I222" si="326">IF(M222="YES",D222-K222-G222-H222-L222,D222-K222-G222-H222)</f>
        <v>934.58181818181811</v>
      </c>
      <c r="J222" s="108" t="b">
        <v>1</v>
      </c>
      <c r="K222" s="106"/>
      <c r="L222" s="106">
        <f t="shared" si="317"/>
        <v>1360</v>
      </c>
      <c r="M222" s="165" t="s">
        <v>103</v>
      </c>
      <c r="N222" s="165">
        <f>450-198</f>
        <v>252</v>
      </c>
      <c r="O222" s="112" t="str">
        <f t="shared" si="318"/>
        <v/>
      </c>
      <c r="P222" s="13"/>
      <c r="R222" s="106"/>
    </row>
    <row r="223" spans="1:18" x14ac:dyDescent="0.25">
      <c r="A223" s="166">
        <v>399</v>
      </c>
      <c r="B223" t="s">
        <v>200</v>
      </c>
      <c r="C223" t="s">
        <v>2794</v>
      </c>
      <c r="D223" s="54">
        <v>450</v>
      </c>
      <c r="E223" s="114" t="b">
        <v>1</v>
      </c>
      <c r="F223" s="113">
        <f t="shared" si="288"/>
        <v>0</v>
      </c>
      <c r="G223" s="54"/>
      <c r="H223" s="113">
        <f t="shared" ref="H223" si="327">D223*10%/(1+10%)</f>
        <v>40.909090909090907</v>
      </c>
      <c r="I223" s="113">
        <f t="shared" ref="I223" si="328">IF(M223="YES",D223-K223-G223-H223-L223,D223-K223-G223-H223)</f>
        <v>409.09090909090912</v>
      </c>
      <c r="J223" s="108" t="b">
        <v>1</v>
      </c>
      <c r="K223" s="106"/>
      <c r="L223" s="106">
        <f t="shared" si="317"/>
        <v>1360</v>
      </c>
      <c r="M223" s="165" t="s">
        <v>94</v>
      </c>
      <c r="N223" s="41"/>
      <c r="O223" s="112" t="str">
        <f t="shared" si="318"/>
        <v/>
      </c>
      <c r="P223" s="13"/>
      <c r="R223" s="106"/>
    </row>
    <row r="224" spans="1:18" x14ac:dyDescent="0.25">
      <c r="A224" s="166">
        <v>383</v>
      </c>
      <c r="B224" t="s">
        <v>2795</v>
      </c>
      <c r="C224" t="s">
        <v>175</v>
      </c>
      <c r="D224" s="54">
        <v>2340</v>
      </c>
      <c r="E224" s="114" t="b">
        <v>1</v>
      </c>
      <c r="F224" s="113">
        <f t="shared" si="288"/>
        <v>1360</v>
      </c>
      <c r="G224" s="54">
        <v>23.6</v>
      </c>
      <c r="H224" s="113">
        <f t="shared" ref="H224:H225" si="329">D224*10%/(1+10%)</f>
        <v>212.72727272727272</v>
      </c>
      <c r="I224" s="113">
        <f t="shared" ref="I224" si="330">IF(M224="YES",D224-K224-G224-H224-L224,D224-K224-G224-H224)</f>
        <v>743.67272727272757</v>
      </c>
      <c r="J224" s="108"/>
      <c r="K224" s="106"/>
      <c r="L224" s="106">
        <f t="shared" si="317"/>
        <v>1360</v>
      </c>
      <c r="M224" s="165" t="s">
        <v>103</v>
      </c>
      <c r="N224" s="165">
        <v>450</v>
      </c>
      <c r="O224" s="112">
        <f t="shared" si="318"/>
        <v>1360</v>
      </c>
      <c r="P224" s="13"/>
      <c r="R224" s="106"/>
    </row>
    <row r="225" spans="1:18" x14ac:dyDescent="0.25">
      <c r="A225" s="166">
        <v>382</v>
      </c>
      <c r="B225" t="s">
        <v>2551</v>
      </c>
      <c r="C225" t="s">
        <v>2553</v>
      </c>
      <c r="D225" s="54">
        <v>478</v>
      </c>
      <c r="E225" s="114" t="b">
        <v>1</v>
      </c>
      <c r="F225" s="113">
        <f t="shared" si="288"/>
        <v>0</v>
      </c>
      <c r="G225" s="54"/>
      <c r="H225" s="113">
        <f t="shared" si="329"/>
        <v>43.454545454545453</v>
      </c>
      <c r="I225" s="113">
        <f t="shared" ref="I225" si="331">IF(M225="YES",D225-K225-G225-H225-L225,D225-K225-G225-H225)</f>
        <v>434.54545454545456</v>
      </c>
      <c r="J225" s="108" t="b">
        <v>1</v>
      </c>
      <c r="K225" s="106"/>
      <c r="L225" s="106">
        <f t="shared" si="317"/>
        <v>1360</v>
      </c>
      <c r="M225" s="165" t="s">
        <v>94</v>
      </c>
      <c r="N225" s="41"/>
      <c r="O225" s="112" t="str">
        <f t="shared" si="318"/>
        <v/>
      </c>
      <c r="P225" s="13"/>
      <c r="R225" s="106"/>
    </row>
    <row r="226" spans="1:18" x14ac:dyDescent="0.25">
      <c r="A226" s="166">
        <v>370</v>
      </c>
      <c r="B226" t="s">
        <v>179</v>
      </c>
      <c r="C226" t="s">
        <v>182</v>
      </c>
      <c r="D226" s="54">
        <v>3414</v>
      </c>
      <c r="E226" s="114" t="b">
        <v>1</v>
      </c>
      <c r="F226" s="113">
        <v>1707</v>
      </c>
      <c r="G226" s="54"/>
      <c r="H226" s="113">
        <f t="shared" ref="H226" si="332">D226*10%/(1+10%)</f>
        <v>310.36363636363637</v>
      </c>
      <c r="I226" s="113">
        <f t="shared" ref="I226" si="333">IF(M226="YES",D226-K226-G226-H226-L226,D226-K226-G226-H226)</f>
        <v>1603.6363636363635</v>
      </c>
      <c r="J226" s="108" t="b">
        <v>1</v>
      </c>
      <c r="K226" s="106">
        <v>1500</v>
      </c>
      <c r="L226" s="106">
        <f t="shared" si="317"/>
        <v>1360</v>
      </c>
      <c r="M226" s="165" t="s">
        <v>94</v>
      </c>
      <c r="N226" s="41"/>
      <c r="O226" s="112">
        <f t="shared" si="318"/>
        <v>1707</v>
      </c>
      <c r="P226" s="13"/>
      <c r="R226" s="106"/>
    </row>
    <row r="227" spans="1:18" x14ac:dyDescent="0.25">
      <c r="A227" s="166">
        <v>355</v>
      </c>
      <c r="B227" t="s">
        <v>131</v>
      </c>
      <c r="C227" t="s">
        <v>134</v>
      </c>
      <c r="D227" s="54">
        <v>2540</v>
      </c>
      <c r="E227" s="114" t="b">
        <v>1</v>
      </c>
      <c r="F227" s="113">
        <f t="shared" si="288"/>
        <v>0</v>
      </c>
      <c r="G227" s="54">
        <v>23.6</v>
      </c>
      <c r="H227" s="113">
        <f t="shared" ref="H227" si="334">D227*10%/(1+10%)</f>
        <v>230.90909090909088</v>
      </c>
      <c r="I227" s="113">
        <f t="shared" ref="I227" si="335">IF(M227="YES",D227-K227-G227-H227-L227,D227-K227-G227-H227)</f>
        <v>925.4909090909091</v>
      </c>
      <c r="J227" s="108" t="b">
        <v>1</v>
      </c>
      <c r="K227" s="106"/>
      <c r="L227" s="106">
        <f t="shared" si="317"/>
        <v>1360</v>
      </c>
      <c r="M227" s="165" t="s">
        <v>103</v>
      </c>
      <c r="N227" s="165">
        <v>450</v>
      </c>
      <c r="O227" s="112" t="str">
        <f t="shared" si="318"/>
        <v/>
      </c>
      <c r="P227" s="13"/>
      <c r="R227" s="106"/>
    </row>
    <row r="228" spans="1:18" x14ac:dyDescent="0.25">
      <c r="A228" s="166">
        <v>346</v>
      </c>
      <c r="B228" t="s">
        <v>2713</v>
      </c>
      <c r="C228" t="s">
        <v>168</v>
      </c>
      <c r="D228" s="54">
        <v>2064</v>
      </c>
      <c r="E228" s="114" t="b">
        <v>1</v>
      </c>
      <c r="F228" s="113">
        <f t="shared" si="288"/>
        <v>850</v>
      </c>
      <c r="G228" s="54"/>
      <c r="H228" s="113">
        <f t="shared" ref="H228" si="336">D228*10%/(1+10%)</f>
        <v>187.63636363636363</v>
      </c>
      <c r="I228" s="113">
        <f t="shared" ref="I228:I231" si="337">IF(M228="YES",D228-K228-G228-H228-L228,D228-K228-G228-H228)</f>
        <v>1026.3636363636365</v>
      </c>
      <c r="J228" s="108"/>
      <c r="K228" s="106">
        <v>850</v>
      </c>
      <c r="L228" s="106">
        <f t="shared" si="317"/>
        <v>1360</v>
      </c>
      <c r="M228" s="165" t="s">
        <v>94</v>
      </c>
      <c r="N228" s="41"/>
      <c r="O228" s="112">
        <f t="shared" si="318"/>
        <v>850</v>
      </c>
      <c r="P228" s="13"/>
      <c r="R228" s="106"/>
    </row>
    <row r="229" spans="1:18" x14ac:dyDescent="0.25">
      <c r="A229" s="166">
        <v>339</v>
      </c>
      <c r="B229" t="s">
        <v>195</v>
      </c>
      <c r="C229" t="s">
        <v>197</v>
      </c>
      <c r="D229" s="54">
        <v>465</v>
      </c>
      <c r="E229" s="114" t="b">
        <v>1</v>
      </c>
      <c r="F229" s="113">
        <f t="shared" si="288"/>
        <v>0</v>
      </c>
      <c r="G229" s="54"/>
      <c r="H229" s="113">
        <f t="shared" ref="H229" si="338">D229*10%/(1+10%)</f>
        <v>42.272727272727266</v>
      </c>
      <c r="I229" s="113">
        <f t="shared" si="337"/>
        <v>422.72727272727275</v>
      </c>
      <c r="J229" s="108" t="b">
        <v>1</v>
      </c>
      <c r="K229" s="106"/>
      <c r="L229" s="106">
        <f t="shared" si="317"/>
        <v>1360</v>
      </c>
      <c r="M229" s="165" t="s">
        <v>94</v>
      </c>
      <c r="N229" s="41"/>
      <c r="O229" s="112" t="str">
        <f t="shared" si="318"/>
        <v/>
      </c>
      <c r="P229" s="13"/>
      <c r="R229" s="106"/>
    </row>
    <row r="230" spans="1:18" x14ac:dyDescent="0.25">
      <c r="A230" s="166">
        <v>337</v>
      </c>
      <c r="B230" t="s">
        <v>187</v>
      </c>
      <c r="C230" t="s">
        <v>190</v>
      </c>
      <c r="D230" s="54">
        <v>475</v>
      </c>
      <c r="E230" s="114" t="b">
        <v>1</v>
      </c>
      <c r="F230" s="113">
        <f t="shared" si="288"/>
        <v>0</v>
      </c>
      <c r="G230" s="54">
        <v>35.51</v>
      </c>
      <c r="H230" s="113">
        <f t="shared" ref="H230" si="339">D230*10%/(1+10%)</f>
        <v>43.18181818181818</v>
      </c>
      <c r="I230" s="113">
        <f t="shared" si="337"/>
        <v>396.30818181818182</v>
      </c>
      <c r="J230" s="108" t="b">
        <v>1</v>
      </c>
      <c r="K230" s="106"/>
      <c r="L230" s="106">
        <f t="shared" si="317"/>
        <v>1360</v>
      </c>
      <c r="M230" s="165" t="s">
        <v>94</v>
      </c>
      <c r="N230" s="41"/>
      <c r="O230" s="112" t="str">
        <f t="shared" si="318"/>
        <v/>
      </c>
      <c r="P230" s="13"/>
      <c r="R230" s="106"/>
    </row>
    <row r="231" spans="1:18" x14ac:dyDescent="0.25">
      <c r="A231" s="166">
        <v>336</v>
      </c>
      <c r="B231" t="s">
        <v>158</v>
      </c>
      <c r="C231" t="s">
        <v>161</v>
      </c>
      <c r="D231" s="54">
        <v>1485</v>
      </c>
      <c r="E231" s="114" t="b">
        <v>1</v>
      </c>
      <c r="F231" s="113">
        <f t="shared" si="288"/>
        <v>0</v>
      </c>
      <c r="G231" s="54"/>
      <c r="H231" s="113">
        <f t="shared" ref="H231" si="340">D231*10%/(1+10%)</f>
        <v>135</v>
      </c>
      <c r="I231" s="113">
        <f t="shared" si="337"/>
        <v>700</v>
      </c>
      <c r="J231" s="108" t="b">
        <v>1</v>
      </c>
      <c r="K231" s="106">
        <v>650</v>
      </c>
      <c r="L231" s="106">
        <f t="shared" si="317"/>
        <v>1360</v>
      </c>
      <c r="M231" s="165" t="s">
        <v>94</v>
      </c>
      <c r="N231" s="41"/>
      <c r="O231" s="112" t="str">
        <f t="shared" si="318"/>
        <v/>
      </c>
      <c r="P231" s="13"/>
      <c r="R231" s="106"/>
    </row>
    <row r="232" spans="1:18" x14ac:dyDescent="0.25">
      <c r="A232" s="166">
        <v>329</v>
      </c>
      <c r="B232" t="s">
        <v>2796</v>
      </c>
      <c r="C232" t="s">
        <v>153</v>
      </c>
      <c r="D232" s="54">
        <v>3414</v>
      </c>
      <c r="E232" s="114" t="b">
        <v>1</v>
      </c>
      <c r="F232" s="113">
        <f t="shared" si="288"/>
        <v>0</v>
      </c>
      <c r="G232" s="54"/>
      <c r="H232" s="113">
        <f t="shared" ref="H232" si="341">D232*10%/(1+10%)</f>
        <v>310.36363636363637</v>
      </c>
      <c r="I232" s="113">
        <f t="shared" ref="I232" si="342">IF(M232="YES",D232-K232-G232-H232-L232,D232-K232-G232-H232)</f>
        <v>1603.6363636363635</v>
      </c>
      <c r="J232" s="108" t="b">
        <v>1</v>
      </c>
      <c r="K232" s="106">
        <v>1500</v>
      </c>
      <c r="L232" s="106">
        <f t="shared" si="317"/>
        <v>1360</v>
      </c>
      <c r="M232" s="165" t="s">
        <v>94</v>
      </c>
      <c r="N232" s="41"/>
      <c r="O232" s="112" t="str">
        <f t="shared" si="318"/>
        <v/>
      </c>
      <c r="P232" s="13"/>
      <c r="R232" s="106"/>
    </row>
    <row r="233" spans="1:18" x14ac:dyDescent="0.25">
      <c r="A233" s="166">
        <v>326</v>
      </c>
      <c r="B233" t="s">
        <v>179</v>
      </c>
      <c r="C233" t="s">
        <v>182</v>
      </c>
      <c r="D233" s="54">
        <v>850</v>
      </c>
      <c r="E233" s="114" t="b">
        <v>1</v>
      </c>
      <c r="F233" s="113">
        <f t="shared" si="288"/>
        <v>0</v>
      </c>
      <c r="G233" s="54">
        <v>23.6</v>
      </c>
      <c r="H233" s="113">
        <f t="shared" ref="H233" si="343">D233*10%/(1+10%)</f>
        <v>77.272727272727266</v>
      </c>
      <c r="I233" s="113">
        <f t="shared" ref="I233" si="344">IF(M233="YES",D233-K233-G233-H233-L233,D233-K233-G233-H233)</f>
        <v>749.12727272727273</v>
      </c>
      <c r="J233" s="108" t="b">
        <v>1</v>
      </c>
      <c r="K233" s="106"/>
      <c r="L233" s="106">
        <f t="shared" si="317"/>
        <v>1360</v>
      </c>
      <c r="M233" s="165" t="s">
        <v>94</v>
      </c>
      <c r="N233" s="41"/>
      <c r="O233" s="112" t="str">
        <f t="shared" si="318"/>
        <v/>
      </c>
      <c r="P233" s="13"/>
      <c r="R233" s="106"/>
    </row>
    <row r="234" spans="1:18" x14ac:dyDescent="0.25">
      <c r="A234" s="166">
        <v>314</v>
      </c>
      <c r="B234" t="s">
        <v>2560</v>
      </c>
      <c r="C234" t="s">
        <v>2562</v>
      </c>
      <c r="D234" s="54">
        <v>2150</v>
      </c>
      <c r="E234" s="114" t="b">
        <v>1</v>
      </c>
      <c r="F234" s="113">
        <f t="shared" si="288"/>
        <v>0</v>
      </c>
      <c r="G234" s="54">
        <v>22.6</v>
      </c>
      <c r="H234" s="113">
        <f t="shared" ref="H234" si="345">D234*10%/(1+10%)</f>
        <v>195.45454545454544</v>
      </c>
      <c r="I234" s="113">
        <f t="shared" ref="I234" si="346">IF(M234="YES",D234-K234-G234-H234-L234,D234-K234-G234-H234)</f>
        <v>1481.9454545454546</v>
      </c>
      <c r="J234" s="108" t="b">
        <v>1</v>
      </c>
      <c r="K234" s="106">
        <v>450</v>
      </c>
      <c r="L234" s="106">
        <f t="shared" si="317"/>
        <v>1360</v>
      </c>
      <c r="M234" s="165" t="s">
        <v>94</v>
      </c>
      <c r="N234" s="41"/>
      <c r="O234" s="112" t="str">
        <f t="shared" si="318"/>
        <v/>
      </c>
      <c r="P234" s="13"/>
      <c r="R234" s="106"/>
    </row>
    <row r="235" spans="1:18" x14ac:dyDescent="0.25">
      <c r="A235" s="166">
        <v>299</v>
      </c>
      <c r="B235" t="s">
        <v>131</v>
      </c>
      <c r="C235" t="s">
        <v>134</v>
      </c>
      <c r="D235" s="54">
        <v>1550</v>
      </c>
      <c r="E235" s="114" t="b">
        <v>1</v>
      </c>
      <c r="F235" s="113">
        <f t="shared" si="288"/>
        <v>0</v>
      </c>
      <c r="G235" s="54"/>
      <c r="H235" s="113">
        <f t="shared" ref="H235" si="347">D235*10%/(1+10%)</f>
        <v>140.90909090909091</v>
      </c>
      <c r="I235" s="113">
        <f t="shared" ref="I235:I236" si="348">IF(M235="YES",D235-K235-G235-H235-L235,D235-K235-G235-H235)</f>
        <v>709.09090909090912</v>
      </c>
      <c r="J235" s="108" t="b">
        <v>1</v>
      </c>
      <c r="K235" s="106">
        <v>700</v>
      </c>
      <c r="L235" s="106">
        <f t="shared" si="317"/>
        <v>1360</v>
      </c>
      <c r="M235" s="165" t="s">
        <v>94</v>
      </c>
      <c r="N235" s="41"/>
      <c r="O235" s="112" t="str">
        <f t="shared" si="318"/>
        <v/>
      </c>
      <c r="P235" s="13"/>
      <c r="R235" s="106"/>
    </row>
    <row r="236" spans="1:18" x14ac:dyDescent="0.25">
      <c r="A236" s="166">
        <v>297</v>
      </c>
      <c r="B236" t="s">
        <v>172</v>
      </c>
      <c r="C236" t="s">
        <v>175</v>
      </c>
      <c r="D236" s="54">
        <v>450</v>
      </c>
      <c r="E236" s="114" t="b">
        <v>1</v>
      </c>
      <c r="F236" s="113">
        <f t="shared" si="288"/>
        <v>0</v>
      </c>
      <c r="G236" s="54">
        <v>28.98</v>
      </c>
      <c r="H236" s="113">
        <f t="shared" ref="H236" si="349">D236*10%/(1+10%)</f>
        <v>40.909090909090907</v>
      </c>
      <c r="I236" s="113">
        <f t="shared" si="348"/>
        <v>380.1109090909091</v>
      </c>
      <c r="J236" s="108" t="b">
        <v>1</v>
      </c>
      <c r="K236" s="106"/>
      <c r="L236" s="106">
        <f t="shared" si="317"/>
        <v>1360</v>
      </c>
      <c r="M236" s="165" t="s">
        <v>94</v>
      </c>
      <c r="N236" s="41"/>
      <c r="O236" s="112" t="str">
        <f t="shared" si="318"/>
        <v/>
      </c>
      <c r="P236" s="13"/>
      <c r="R236" s="106"/>
    </row>
    <row r="237" spans="1:18" x14ac:dyDescent="0.25">
      <c r="A237" s="166">
        <v>283</v>
      </c>
      <c r="B237" t="s">
        <v>2797</v>
      </c>
      <c r="C237" t="s">
        <v>83</v>
      </c>
      <c r="D237" s="54">
        <v>502</v>
      </c>
      <c r="E237" s="114" t="b">
        <v>1</v>
      </c>
      <c r="F237" s="113">
        <f t="shared" si="288"/>
        <v>0</v>
      </c>
      <c r="G237" s="54"/>
      <c r="H237" s="113">
        <f t="shared" ref="H237" si="350">D237*10%/(1+10%)</f>
        <v>45.636363636363633</v>
      </c>
      <c r="I237" s="113">
        <f t="shared" ref="I237:I238" si="351">IF(M237="YES",D237-K237-G237-H237-L237,D237-K237-G237-H237)</f>
        <v>56.363636363636367</v>
      </c>
      <c r="J237" s="108" t="b">
        <v>1</v>
      </c>
      <c r="K237" s="106">
        <v>400</v>
      </c>
      <c r="L237" s="106">
        <f t="shared" si="317"/>
        <v>1360</v>
      </c>
      <c r="M237" s="111" t="s">
        <v>94</v>
      </c>
      <c r="N237" s="13"/>
      <c r="O237" s="112" t="str">
        <f t="shared" si="318"/>
        <v/>
      </c>
      <c r="P237" s="13"/>
      <c r="R237" s="106"/>
    </row>
    <row r="238" spans="1:18" x14ac:dyDescent="0.25">
      <c r="A238" s="166">
        <v>282</v>
      </c>
      <c r="B238" t="s">
        <v>165</v>
      </c>
      <c r="C238" t="s">
        <v>168</v>
      </c>
      <c r="D238" s="54">
        <v>450</v>
      </c>
      <c r="E238" s="114" t="b">
        <v>1</v>
      </c>
      <c r="F238" s="113">
        <f t="shared" si="288"/>
        <v>0</v>
      </c>
      <c r="G238" s="54">
        <v>23.6</v>
      </c>
      <c r="H238" s="113">
        <f t="shared" ref="H238" si="352">D238*10%/(1+10%)</f>
        <v>40.909090909090907</v>
      </c>
      <c r="I238" s="113">
        <f t="shared" si="351"/>
        <v>385.4909090909091</v>
      </c>
      <c r="J238" s="108" t="b">
        <v>1</v>
      </c>
      <c r="K238" s="106"/>
      <c r="L238" s="106">
        <f t="shared" si="317"/>
        <v>1360</v>
      </c>
      <c r="M238" s="111" t="s">
        <v>94</v>
      </c>
      <c r="N238" s="13"/>
      <c r="O238" s="112" t="str">
        <f t="shared" si="318"/>
        <v/>
      </c>
      <c r="P238" s="13"/>
      <c r="R238" s="106"/>
    </row>
    <row r="239" spans="1:18" x14ac:dyDescent="0.25">
      <c r="A239" s="166">
        <v>272</v>
      </c>
      <c r="B239" t="s">
        <v>158</v>
      </c>
      <c r="C239" t="s">
        <v>161</v>
      </c>
      <c r="D239" s="54">
        <v>450</v>
      </c>
      <c r="E239" s="114" t="b">
        <v>1</v>
      </c>
      <c r="F239" s="113">
        <f t="shared" si="288"/>
        <v>0</v>
      </c>
      <c r="G239" s="54"/>
      <c r="H239" s="113">
        <f t="shared" ref="H239" si="353">D239*10%/(1+10%)</f>
        <v>40.909090909090907</v>
      </c>
      <c r="I239" s="113">
        <f t="shared" ref="I239" si="354">IF(M239="YES",D239-K239-G239-H239-L239,D239-K239-G239-H239)</f>
        <v>409.09090909090912</v>
      </c>
      <c r="J239" s="108" t="b">
        <v>1</v>
      </c>
      <c r="K239" s="106"/>
      <c r="L239" s="106">
        <f t="shared" si="317"/>
        <v>1360</v>
      </c>
      <c r="M239" s="111" t="s">
        <v>94</v>
      </c>
      <c r="N239" s="13"/>
      <c r="O239" s="112" t="str">
        <f t="shared" si="318"/>
        <v/>
      </c>
      <c r="P239" s="13"/>
      <c r="R239" s="106"/>
    </row>
    <row r="240" spans="1:18" x14ac:dyDescent="0.25">
      <c r="A240" s="166">
        <v>265</v>
      </c>
      <c r="B240" t="s">
        <v>2796</v>
      </c>
      <c r="C240" t="s">
        <v>153</v>
      </c>
      <c r="D240" s="54">
        <v>800</v>
      </c>
      <c r="E240" s="114" t="b">
        <v>1</v>
      </c>
      <c r="F240" s="113">
        <f t="shared" si="288"/>
        <v>0</v>
      </c>
      <c r="G240" s="54"/>
      <c r="H240" s="113">
        <f t="shared" ref="H240" si="355">D240*10%/(1+10%)</f>
        <v>72.72727272727272</v>
      </c>
      <c r="I240" s="113">
        <f t="shared" ref="I240" si="356">IF(M240="YES",D240-K240-G240-H240-L240,D240-K240-G240-H240)</f>
        <v>727.27272727272725</v>
      </c>
      <c r="J240" s="108" t="b">
        <v>1</v>
      </c>
      <c r="K240" s="106"/>
      <c r="L240" s="106">
        <f t="shared" si="317"/>
        <v>1360</v>
      </c>
      <c r="M240" s="111" t="s">
        <v>94</v>
      </c>
      <c r="N240" s="13"/>
      <c r="O240" s="112" t="str">
        <f t="shared" si="318"/>
        <v/>
      </c>
      <c r="P240" s="13"/>
      <c r="R240" s="106"/>
    </row>
    <row r="241" spans="1:18" x14ac:dyDescent="0.25">
      <c r="A241" s="166">
        <v>220</v>
      </c>
      <c r="B241" t="s">
        <v>146</v>
      </c>
      <c r="C241" t="s">
        <v>2798</v>
      </c>
      <c r="D241" s="54">
        <v>450</v>
      </c>
      <c r="E241" s="114" t="b">
        <v>1</v>
      </c>
      <c r="F241" s="113">
        <f t="shared" si="288"/>
        <v>0</v>
      </c>
      <c r="G241" s="54">
        <v>0</v>
      </c>
      <c r="H241" s="113">
        <f t="shared" ref="H241" si="357">D241*10%/(1+10%)</f>
        <v>40.909090909090907</v>
      </c>
      <c r="I241" s="113">
        <f t="shared" ref="I241" si="358">IF(M241="YES",D241-K241-G241-H241-L241,D241-K241-G241-H241)</f>
        <v>409.09090909090912</v>
      </c>
      <c r="J241" s="108" t="b">
        <v>1</v>
      </c>
      <c r="K241" s="106"/>
      <c r="L241" s="106">
        <f t="shared" si="317"/>
        <v>1360</v>
      </c>
      <c r="M241" s="111" t="s">
        <v>94</v>
      </c>
      <c r="N241" s="13"/>
      <c r="O241" s="112" t="str">
        <f t="shared" si="318"/>
        <v/>
      </c>
      <c r="P241" s="13"/>
      <c r="R241" s="106"/>
    </row>
    <row r="242" spans="1:18" x14ac:dyDescent="0.25">
      <c r="A242" s="166">
        <v>209</v>
      </c>
      <c r="B242" t="s">
        <v>2560</v>
      </c>
      <c r="C242" t="s">
        <v>2562</v>
      </c>
      <c r="D242" s="54">
        <v>271</v>
      </c>
      <c r="E242" s="114" t="b">
        <v>1</v>
      </c>
      <c r="F242" s="113">
        <f t="shared" si="288"/>
        <v>0</v>
      </c>
      <c r="G242" s="54">
        <v>0</v>
      </c>
      <c r="H242" s="113">
        <f t="shared" ref="H242" si="359">D242*10%/(1+10%)</f>
        <v>24.636363636363637</v>
      </c>
      <c r="I242" s="113">
        <f t="shared" ref="I242" si="360">IF(M242="YES",D242-K242-G242-H242-L242,D242-K242-G242-H242)</f>
        <v>126.36363636363636</v>
      </c>
      <c r="J242" s="108" t="b">
        <v>1</v>
      </c>
      <c r="K242" s="106">
        <v>120</v>
      </c>
      <c r="L242" s="106">
        <f t="shared" si="317"/>
        <v>1360</v>
      </c>
      <c r="M242" s="111" t="s">
        <v>94</v>
      </c>
      <c r="N242" s="13"/>
      <c r="O242" s="112" t="str">
        <f t="shared" si="318"/>
        <v/>
      </c>
      <c r="P242" s="13"/>
      <c r="R242" s="106"/>
    </row>
    <row r="243" spans="1:18" x14ac:dyDescent="0.25">
      <c r="A243" s="166">
        <v>189</v>
      </c>
      <c r="B243" t="s">
        <v>2799</v>
      </c>
      <c r="C243" t="s">
        <v>2800</v>
      </c>
      <c r="D243" s="54">
        <v>2050</v>
      </c>
      <c r="E243" s="114" t="b">
        <v>0</v>
      </c>
      <c r="F243" s="113">
        <f t="shared" si="288"/>
        <v>0</v>
      </c>
      <c r="G243" s="54">
        <v>23.6</v>
      </c>
      <c r="H243" s="113">
        <f t="shared" ref="H243" si="361">D243*10%/(1+10%)</f>
        <v>186.36363636363635</v>
      </c>
      <c r="I243" s="113">
        <f t="shared" ref="I243" si="362">IF(M243="YES",D243-K243-G243-H243-L243,D243-K243-G243-H243)</f>
        <v>480.03636363636383</v>
      </c>
      <c r="J243" s="108"/>
      <c r="K243" s="106"/>
      <c r="L243" s="106">
        <f t="shared" si="317"/>
        <v>1360</v>
      </c>
      <c r="M243" s="111" t="s">
        <v>103</v>
      </c>
      <c r="N243" s="111">
        <v>450</v>
      </c>
      <c r="O243" s="112" t="str">
        <f t="shared" si="318"/>
        <v/>
      </c>
      <c r="P243" s="13"/>
      <c r="R243" s="106"/>
    </row>
    <row r="244" spans="1:18" x14ac:dyDescent="0.25">
      <c r="A244" s="166">
        <v>177</v>
      </c>
      <c r="B244" t="s">
        <v>138</v>
      </c>
      <c r="C244" t="s">
        <v>141</v>
      </c>
      <c r="D244" s="54">
        <v>2562</v>
      </c>
      <c r="E244" s="114" t="b">
        <v>1</v>
      </c>
      <c r="F244" s="113">
        <f t="shared" si="288"/>
        <v>0</v>
      </c>
      <c r="G244" s="54">
        <v>0</v>
      </c>
      <c r="H244" s="113">
        <f t="shared" ref="H244" si="363">D244*10%/(1+10%)</f>
        <v>232.90909090909088</v>
      </c>
      <c r="I244" s="113">
        <f t="shared" ref="I244" si="364">IF(M244="YES",D244-K244-G244-H244-L244,D244-K244-G244-H244)</f>
        <v>1129.090909090909</v>
      </c>
      <c r="J244" s="108" t="b">
        <v>1</v>
      </c>
      <c r="K244" s="106">
        <v>1200</v>
      </c>
      <c r="L244" s="106">
        <f t="shared" si="317"/>
        <v>1360</v>
      </c>
      <c r="M244" s="111" t="s">
        <v>94</v>
      </c>
      <c r="N244" s="13"/>
      <c r="O244" s="112" t="str">
        <f t="shared" si="318"/>
        <v/>
      </c>
      <c r="P244" s="13"/>
      <c r="R244" s="106"/>
    </row>
    <row r="245" spans="1:18" x14ac:dyDescent="0.25">
      <c r="A245" s="166">
        <v>174</v>
      </c>
      <c r="B245" t="s">
        <v>2556</v>
      </c>
      <c r="C245" t="s">
        <v>2801</v>
      </c>
      <c r="D245" s="54">
        <v>480</v>
      </c>
      <c r="E245" s="114" t="b">
        <v>1</v>
      </c>
      <c r="F245" s="113">
        <f t="shared" si="288"/>
        <v>0</v>
      </c>
      <c r="G245" s="54">
        <v>0</v>
      </c>
      <c r="H245" s="113">
        <f t="shared" ref="H245" si="365">D245*10%/(1+10%)</f>
        <v>43.636363636363633</v>
      </c>
      <c r="I245" s="113">
        <f t="shared" ref="I245" si="366">IF(M245="YES",D245-K245-G245-H245-L245,D245-K245-G245-H245)</f>
        <v>412.76363636363635</v>
      </c>
      <c r="J245" s="108" t="b">
        <v>1</v>
      </c>
      <c r="K245" s="106">
        <v>23.6</v>
      </c>
      <c r="L245" s="106">
        <f t="shared" si="317"/>
        <v>1360</v>
      </c>
      <c r="M245" s="111" t="s">
        <v>94</v>
      </c>
      <c r="N245" s="13"/>
      <c r="O245" s="112" t="str">
        <f t="shared" si="318"/>
        <v/>
      </c>
      <c r="P245" s="13"/>
      <c r="R245" s="106"/>
    </row>
    <row r="246" spans="1:18" x14ac:dyDescent="0.25">
      <c r="A246" s="166">
        <v>142</v>
      </c>
      <c r="B246" t="s">
        <v>2755</v>
      </c>
      <c r="C246" t="s">
        <v>91</v>
      </c>
      <c r="D246" s="54">
        <v>2150</v>
      </c>
      <c r="E246" s="114" t="b">
        <v>1</v>
      </c>
      <c r="F246" s="113">
        <f t="shared" si="288"/>
        <v>1360</v>
      </c>
      <c r="G246" s="54">
        <v>23.6</v>
      </c>
      <c r="H246" s="113">
        <f t="shared" ref="H246" si="367">D246*10%/(1+10%)</f>
        <v>195.45454545454544</v>
      </c>
      <c r="I246" s="113">
        <f t="shared" ref="I246" si="368">IF(M246="YES",D246-K246-G246-H246-L246,D246-K246-G246-H246)</f>
        <v>570.9454545454546</v>
      </c>
      <c r="J246" s="108" t="b">
        <v>0</v>
      </c>
      <c r="K246" s="106"/>
      <c r="L246" s="106">
        <f t="shared" si="317"/>
        <v>1360</v>
      </c>
      <c r="M246" s="111" t="s">
        <v>103</v>
      </c>
      <c r="N246" s="111">
        <v>450</v>
      </c>
      <c r="O246" s="112">
        <f t="shared" si="318"/>
        <v>1360</v>
      </c>
      <c r="P246" s="13"/>
      <c r="R246" s="106"/>
    </row>
    <row r="247" spans="1:18" x14ac:dyDescent="0.25">
      <c r="A247" s="166" t="s">
        <v>2802</v>
      </c>
      <c r="B247" t="s">
        <v>2560</v>
      </c>
      <c r="C247" t="s">
        <v>2562</v>
      </c>
      <c r="D247" s="54">
        <v>450</v>
      </c>
      <c r="E247" s="114" t="b">
        <v>1</v>
      </c>
      <c r="F247" s="113">
        <f t="shared" si="288"/>
        <v>0</v>
      </c>
      <c r="G247" s="54">
        <v>23.6</v>
      </c>
      <c r="H247" s="113">
        <f t="shared" ref="H247" si="369">D247*10%/(1+10%)</f>
        <v>40.909090909090907</v>
      </c>
      <c r="I247" s="113">
        <f t="shared" ref="I247:I248" si="370">IF(M247="YES",D247-K247-G247-H247-L247,D247-K247-G247-H247)</f>
        <v>385.4909090909091</v>
      </c>
      <c r="J247" s="108" t="b">
        <v>1</v>
      </c>
      <c r="K247" s="106"/>
      <c r="L247" s="106">
        <f t="shared" si="317"/>
        <v>1360</v>
      </c>
      <c r="M247" s="111" t="s">
        <v>94</v>
      </c>
      <c r="N247" s="13"/>
      <c r="O247" s="112" t="str">
        <f t="shared" si="318"/>
        <v/>
      </c>
      <c r="P247" s="13"/>
    </row>
    <row r="248" spans="1:18" x14ac:dyDescent="0.25">
      <c r="A248" s="166" t="s">
        <v>2803</v>
      </c>
      <c r="B248" t="s">
        <v>131</v>
      </c>
      <c r="C248" t="s">
        <v>134</v>
      </c>
      <c r="D248" s="54">
        <f>450+1404</f>
        <v>1854</v>
      </c>
      <c r="E248" s="114" t="b">
        <v>1</v>
      </c>
      <c r="F248" s="113">
        <f t="shared" si="288"/>
        <v>0</v>
      </c>
      <c r="G248" s="54"/>
      <c r="H248" s="113">
        <f t="shared" ref="H248" si="371">D248*10%/(1+10%)</f>
        <v>168.54545454545453</v>
      </c>
      <c r="I248" s="113">
        <f t="shared" si="370"/>
        <v>1035.4545454545455</v>
      </c>
      <c r="J248" s="108" t="b">
        <v>1</v>
      </c>
      <c r="K248" s="106">
        <v>650</v>
      </c>
      <c r="L248" s="106">
        <f t="shared" si="317"/>
        <v>1360</v>
      </c>
      <c r="M248" s="111" t="s">
        <v>94</v>
      </c>
      <c r="N248" s="13"/>
      <c r="O248" s="112" t="str">
        <f t="shared" si="318"/>
        <v/>
      </c>
      <c r="P248" s="13"/>
    </row>
    <row r="249" spans="1:18" x14ac:dyDescent="0.25">
      <c r="A249" s="166" t="s">
        <v>122</v>
      </c>
      <c r="B249" t="s">
        <v>123</v>
      </c>
      <c r="C249" t="s">
        <v>126</v>
      </c>
      <c r="D249" s="54">
        <v>1464</v>
      </c>
      <c r="E249" s="114" t="b">
        <v>1</v>
      </c>
      <c r="F249" s="113">
        <f t="shared" ref="F249:F251" si="372">IF(J249=TRUE,0,IF(AND(E249=TRUE,M249="YES"),L249,IF(E249=TRUE,K249,0)))</f>
        <v>0</v>
      </c>
      <c r="G249" s="54"/>
      <c r="H249" s="113">
        <f t="shared" ref="H249" si="373">D249*10%/(1+10%)</f>
        <v>133.09090909090909</v>
      </c>
      <c r="I249" s="113">
        <f t="shared" ref="I249:I250" si="374">IF(M249="YES",D249-K249-G249-H249-L249,D249-K249-G249-H249)</f>
        <v>680.90909090909088</v>
      </c>
      <c r="J249" s="108" t="b">
        <v>1</v>
      </c>
      <c r="K249" s="106">
        <v>650</v>
      </c>
      <c r="L249" s="106">
        <f t="shared" si="317"/>
        <v>1360</v>
      </c>
      <c r="M249" s="111" t="s">
        <v>94</v>
      </c>
      <c r="N249" s="13"/>
      <c r="O249" s="112" t="str">
        <f t="shared" si="318"/>
        <v/>
      </c>
      <c r="P249" s="13"/>
    </row>
    <row r="250" spans="1:18" x14ac:dyDescent="0.25">
      <c r="A250" s="166" t="s">
        <v>113</v>
      </c>
      <c r="B250" t="s">
        <v>2790</v>
      </c>
      <c r="C250" t="s">
        <v>117</v>
      </c>
      <c r="D250" s="54">
        <v>2172</v>
      </c>
      <c r="E250" s="114" t="b">
        <v>1</v>
      </c>
      <c r="F250" s="113">
        <f t="shared" si="372"/>
        <v>0</v>
      </c>
      <c r="G250" s="54"/>
      <c r="H250" s="113">
        <f t="shared" ref="H250" si="375">D250*10%/(1+10%)</f>
        <v>197.45454545454547</v>
      </c>
      <c r="I250" s="113">
        <f t="shared" si="374"/>
        <v>1324.5454545454545</v>
      </c>
      <c r="J250" s="108" t="b">
        <v>1</v>
      </c>
      <c r="K250" s="106">
        <v>650</v>
      </c>
      <c r="L250" s="106">
        <f t="shared" si="317"/>
        <v>1360</v>
      </c>
      <c r="M250" s="111" t="s">
        <v>94</v>
      </c>
      <c r="N250" s="13"/>
      <c r="O250" s="112" t="str">
        <f t="shared" si="318"/>
        <v/>
      </c>
      <c r="P250" s="13"/>
    </row>
    <row r="251" spans="1:18" x14ac:dyDescent="0.25">
      <c r="A251" s="166" t="s">
        <v>80</v>
      </c>
      <c r="B251" t="s">
        <v>2797</v>
      </c>
      <c r="C251" t="s">
        <v>83</v>
      </c>
      <c r="D251" s="54">
        <v>2150</v>
      </c>
      <c r="E251" s="114" t="b">
        <v>1</v>
      </c>
      <c r="F251" s="113">
        <f t="shared" si="372"/>
        <v>1360</v>
      </c>
      <c r="G251" s="54"/>
      <c r="H251" s="113">
        <f t="shared" ref="H251" si="376">D251*10%/(1+10%)</f>
        <v>195.45454545454544</v>
      </c>
      <c r="I251" s="113">
        <f t="shared" ref="I251" si="377">IF(M251="YES",D251-K251-G251-H251-L251,D251-K251-G251-H251)</f>
        <v>594.5454545454545</v>
      </c>
      <c r="J251" s="108"/>
      <c r="K251" s="106"/>
      <c r="L251" s="106">
        <f t="shared" si="317"/>
        <v>1360</v>
      </c>
      <c r="M251" s="111" t="s">
        <v>103</v>
      </c>
      <c r="N251" s="111">
        <v>650</v>
      </c>
      <c r="O251" s="112">
        <f t="shared" si="318"/>
        <v>1360</v>
      </c>
      <c r="P251" s="13"/>
    </row>
    <row r="252" spans="1:18" x14ac:dyDescent="0.25">
      <c r="A252" s="166" t="s">
        <v>2804</v>
      </c>
      <c r="B252" t="s">
        <v>97</v>
      </c>
      <c r="C252" t="s">
        <v>100</v>
      </c>
      <c r="D252" s="54">
        <v>1037</v>
      </c>
      <c r="E252" s="114" t="b">
        <v>1</v>
      </c>
      <c r="F252" s="113">
        <f t="shared" ref="F252:F254" si="378">IF(J252=TRUE,0,IF(AND(E252=TRUE,M252="YES"),L252,IF(E252=TRUE,K252,0)))</f>
        <v>0</v>
      </c>
      <c r="G252" s="54"/>
      <c r="H252" s="113">
        <f t="shared" ref="H252" si="379">D252*10%/(1+10%)</f>
        <v>94.272727272727266</v>
      </c>
      <c r="I252" s="113">
        <f t="shared" ref="I252" si="380">IF(M252="YES",D252-K252-G252-H252-L252,D252-K252-G252-H252)</f>
        <v>542.72727272727275</v>
      </c>
      <c r="J252" s="108" t="b">
        <v>1</v>
      </c>
      <c r="K252" s="106">
        <v>400</v>
      </c>
      <c r="L252" s="106">
        <f>IF(D252+N252&gt;=1600,1360,1360)</f>
        <v>1360</v>
      </c>
      <c r="M252" s="111" t="s">
        <v>94</v>
      </c>
      <c r="N252" s="13"/>
      <c r="O252" s="112" t="str">
        <f t="shared" si="318"/>
        <v/>
      </c>
      <c r="P252" s="13"/>
    </row>
    <row r="253" spans="1:18" x14ac:dyDescent="0.25">
      <c r="A253" s="166" t="s">
        <v>87</v>
      </c>
      <c r="B253" t="s">
        <v>88</v>
      </c>
      <c r="C253" t="s">
        <v>91</v>
      </c>
      <c r="D253" s="54">
        <v>1464</v>
      </c>
      <c r="E253" s="114" t="b">
        <v>1</v>
      </c>
      <c r="F253" s="113">
        <f t="shared" si="378"/>
        <v>0</v>
      </c>
      <c r="G253" s="54">
        <v>23.6</v>
      </c>
      <c r="H253" s="113">
        <f t="shared" ref="H253" si="381">D253*10%/(1+10%)</f>
        <v>133.09090909090909</v>
      </c>
      <c r="I253" s="113">
        <f t="shared" ref="I253" si="382">IF(M253="YES",D253-K253-G253-H253-L253,D253-K253-G253-H253)</f>
        <v>657.30909090909086</v>
      </c>
      <c r="J253" s="108" t="b">
        <v>1</v>
      </c>
      <c r="K253" s="106">
        <v>650</v>
      </c>
      <c r="L253" s="106">
        <f t="shared" si="317"/>
        <v>1360</v>
      </c>
      <c r="M253" s="111" t="s">
        <v>94</v>
      </c>
      <c r="N253" s="13"/>
      <c r="O253" s="112" t="str">
        <f t="shared" si="318"/>
        <v/>
      </c>
      <c r="P253" s="13"/>
    </row>
    <row r="254" spans="1:18" x14ac:dyDescent="0.25">
      <c r="A254" s="166" t="s">
        <v>80</v>
      </c>
      <c r="B254" t="s">
        <v>2797</v>
      </c>
      <c r="C254" t="s">
        <v>83</v>
      </c>
      <c r="D254" s="54">
        <v>650</v>
      </c>
      <c r="E254" s="114" t="b">
        <v>1</v>
      </c>
      <c r="F254" s="54">
        <f t="shared" si="378"/>
        <v>0</v>
      </c>
      <c r="G254" s="54">
        <v>23.52</v>
      </c>
      <c r="H254" s="113">
        <f t="shared" ref="H254" si="383">D254*10%/(1+10%)</f>
        <v>59.090909090909086</v>
      </c>
      <c r="I254" s="113">
        <f t="shared" ref="I254" si="384">IF(M254="YES",D254-K254-G254-H254-L254,D254-K254-G254-H254)</f>
        <v>543.86909090909091</v>
      </c>
      <c r="J254" s="108" t="b">
        <v>1</v>
      </c>
      <c r="K254" s="106">
        <v>23.52</v>
      </c>
      <c r="L254" s="106">
        <f t="shared" si="317"/>
        <v>1360</v>
      </c>
      <c r="M254" s="111" t="s">
        <v>94</v>
      </c>
      <c r="N254" s="13"/>
      <c r="O254" s="112" t="str">
        <f t="shared" si="318"/>
        <v/>
      </c>
      <c r="P254" s="13"/>
    </row>
    <row r="255" spans="1:18" x14ac:dyDescent="0.25">
      <c r="A255" s="166"/>
      <c r="J255" s="107"/>
      <c r="L255" s="106">
        <f t="shared" si="317"/>
        <v>1360</v>
      </c>
    </row>
    <row r="256" spans="1:18" x14ac:dyDescent="0.25">
      <c r="A256" s="166"/>
      <c r="J256" s="107"/>
      <c r="L256" s="106">
        <f t="shared" si="317"/>
        <v>1360</v>
      </c>
    </row>
    <row r="257" spans="1:12" x14ac:dyDescent="0.25">
      <c r="A257" s="166"/>
      <c r="J257" s="107"/>
      <c r="L257" s="106">
        <f t="shared" si="317"/>
        <v>1360</v>
      </c>
    </row>
    <row r="258" spans="1:12" x14ac:dyDescent="0.25">
      <c r="A258" s="166"/>
      <c r="J258" s="107"/>
      <c r="L258" s="106">
        <f t="shared" si="317"/>
        <v>1360</v>
      </c>
    </row>
    <row r="259" spans="1:12" x14ac:dyDescent="0.25">
      <c r="A259" s="166"/>
      <c r="J259" s="107"/>
      <c r="L259" s="106">
        <f t="shared" si="317"/>
        <v>1360</v>
      </c>
    </row>
    <row r="260" spans="1:12" x14ac:dyDescent="0.25">
      <c r="A260" s="166"/>
      <c r="J260" s="107"/>
      <c r="L260" s="106">
        <f t="shared" si="317"/>
        <v>1360</v>
      </c>
    </row>
    <row r="261" spans="1:12" x14ac:dyDescent="0.25">
      <c r="A261" s="166"/>
      <c r="J261" s="107"/>
      <c r="L261" s="106">
        <f t="shared" si="317"/>
        <v>1360</v>
      </c>
    </row>
    <row r="262" spans="1:12" x14ac:dyDescent="0.25">
      <c r="A262" s="166"/>
      <c r="J262" s="107"/>
      <c r="L262" s="106">
        <f t="shared" si="317"/>
        <v>1360</v>
      </c>
    </row>
    <row r="263" spans="1:12" x14ac:dyDescent="0.25">
      <c r="A263" s="166"/>
      <c r="J263" s="107"/>
      <c r="L263" s="106">
        <f t="shared" si="317"/>
        <v>1360</v>
      </c>
    </row>
    <row r="264" spans="1:12" x14ac:dyDescent="0.25">
      <c r="A264" s="166"/>
      <c r="J264" s="107"/>
      <c r="L264" s="106">
        <f t="shared" si="317"/>
        <v>1360</v>
      </c>
    </row>
    <row r="265" spans="1:12" x14ac:dyDescent="0.25">
      <c r="A265" s="166"/>
      <c r="J265" s="107"/>
      <c r="L265" s="106">
        <f t="shared" si="317"/>
        <v>1360</v>
      </c>
    </row>
    <row r="266" spans="1:12" x14ac:dyDescent="0.25">
      <c r="A266" s="166"/>
      <c r="J266" s="107"/>
      <c r="L266" s="106">
        <f t="shared" si="317"/>
        <v>1360</v>
      </c>
    </row>
    <row r="267" spans="1:12" x14ac:dyDescent="0.25">
      <c r="A267" s="166"/>
      <c r="J267" s="107"/>
      <c r="L267" s="106">
        <f t="shared" si="317"/>
        <v>1360</v>
      </c>
    </row>
    <row r="268" spans="1:12" x14ac:dyDescent="0.25">
      <c r="A268" s="166"/>
      <c r="J268" s="107"/>
      <c r="L268" s="106">
        <f t="shared" ref="L268:L275" si="385">IF(D268+N268&gt;=1600,1360,1360)</f>
        <v>1360</v>
      </c>
    </row>
    <row r="269" spans="1:12" x14ac:dyDescent="0.25">
      <c r="A269" s="166"/>
      <c r="J269" s="107"/>
      <c r="L269" s="106">
        <f t="shared" si="385"/>
        <v>1360</v>
      </c>
    </row>
    <row r="270" spans="1:12" x14ac:dyDescent="0.25">
      <c r="A270" s="166"/>
      <c r="J270" s="107"/>
      <c r="L270" s="106">
        <f t="shared" si="385"/>
        <v>1360</v>
      </c>
    </row>
    <row r="271" spans="1:12" x14ac:dyDescent="0.25">
      <c r="A271" s="166"/>
      <c r="J271" s="107"/>
      <c r="L271" s="106">
        <f t="shared" si="385"/>
        <v>1360</v>
      </c>
    </row>
    <row r="272" spans="1:12" x14ac:dyDescent="0.25">
      <c r="A272" s="166"/>
      <c r="J272" s="107"/>
      <c r="L272" s="106">
        <f t="shared" si="385"/>
        <v>1360</v>
      </c>
    </row>
    <row r="273" spans="1:12" x14ac:dyDescent="0.25">
      <c r="A273" s="166"/>
      <c r="J273" s="107"/>
      <c r="L273" s="106">
        <f t="shared" si="385"/>
        <v>1360</v>
      </c>
    </row>
    <row r="274" spans="1:12" x14ac:dyDescent="0.25">
      <c r="A274" s="166"/>
      <c r="J274" s="107"/>
      <c r="L274" s="106">
        <f t="shared" si="385"/>
        <v>1360</v>
      </c>
    </row>
    <row r="275" spans="1:12" x14ac:dyDescent="0.25">
      <c r="A275" s="166"/>
      <c r="J275" s="107"/>
      <c r="L275" s="106">
        <f t="shared" si="385"/>
        <v>1360</v>
      </c>
    </row>
    <row r="276" spans="1:12" x14ac:dyDescent="0.25">
      <c r="A276" s="166"/>
      <c r="J276" s="107"/>
    </row>
    <row r="277" spans="1:12" x14ac:dyDescent="0.25">
      <c r="A277" s="166"/>
      <c r="J277" s="107"/>
    </row>
    <row r="278" spans="1:12" x14ac:dyDescent="0.25">
      <c r="A278" s="166"/>
      <c r="J278" s="107"/>
    </row>
    <row r="279" spans="1:12" x14ac:dyDescent="0.25">
      <c r="A279" s="166"/>
      <c r="J279" s="107"/>
    </row>
    <row r="280" spans="1:12" x14ac:dyDescent="0.25">
      <c r="A280" s="166"/>
      <c r="J280" s="107"/>
    </row>
    <row r="281" spans="1:12" x14ac:dyDescent="0.25">
      <c r="A281" s="166"/>
      <c r="J281" s="107"/>
    </row>
    <row r="282" spans="1:12" x14ac:dyDescent="0.25">
      <c r="A282" s="166"/>
      <c r="J282" s="107"/>
    </row>
    <row r="283" spans="1:12" x14ac:dyDescent="0.25">
      <c r="A283" s="166"/>
      <c r="J283" s="107"/>
    </row>
    <row r="284" spans="1:12" x14ac:dyDescent="0.25">
      <c r="A284" s="166"/>
      <c r="J284" s="107"/>
    </row>
    <row r="285" spans="1:12" x14ac:dyDescent="0.25">
      <c r="A285" s="166"/>
      <c r="J285" s="107"/>
    </row>
    <row r="286" spans="1:12" x14ac:dyDescent="0.25">
      <c r="A286" s="166"/>
      <c r="J286" s="107"/>
    </row>
    <row r="287" spans="1:12" x14ac:dyDescent="0.25">
      <c r="A287" s="166"/>
      <c r="J287" s="107"/>
    </row>
    <row r="288" spans="1:12" x14ac:dyDescent="0.25">
      <c r="A288" s="166"/>
      <c r="J288" s="107"/>
    </row>
    <row r="289" spans="1:10" x14ac:dyDescent="0.25">
      <c r="A289" s="166"/>
      <c r="J289" s="107"/>
    </row>
    <row r="290" spans="1:10" x14ac:dyDescent="0.25">
      <c r="A290" s="166"/>
      <c r="J290" s="107"/>
    </row>
    <row r="291" spans="1:10" x14ac:dyDescent="0.25">
      <c r="A291" s="166"/>
      <c r="J291" s="107"/>
    </row>
    <row r="292" spans="1:10" x14ac:dyDescent="0.25">
      <c r="A292" s="166"/>
      <c r="J292" s="107"/>
    </row>
    <row r="293" spans="1:10" x14ac:dyDescent="0.25">
      <c r="A293" s="166"/>
      <c r="J293" s="107"/>
    </row>
    <row r="294" spans="1:10" x14ac:dyDescent="0.25">
      <c r="A294" s="166"/>
      <c r="J294" s="107"/>
    </row>
    <row r="295" spans="1:10" x14ac:dyDescent="0.25">
      <c r="A295" s="166"/>
      <c r="J295" s="107"/>
    </row>
    <row r="296" spans="1:10" ht="15.75" thickBot="1" x14ac:dyDescent="0.3">
      <c r="A296" s="167"/>
      <c r="B296" s="37"/>
      <c r="C296" s="37"/>
      <c r="D296" s="37"/>
      <c r="E296" s="37"/>
      <c r="F296" s="37"/>
      <c r="G296" s="37"/>
      <c r="H296" s="37"/>
      <c r="I296" s="37"/>
      <c r="J296" s="110"/>
    </row>
  </sheetData>
  <mergeCells count="4">
    <mergeCell ref="M2:N2"/>
    <mergeCell ref="O2:P2"/>
    <mergeCell ref="M1:N1"/>
    <mergeCell ref="O1:P1"/>
  </mergeCells>
  <conditionalFormatting sqref="A2:J254">
    <cfRule type="expression" dxfId="9" priority="1">
      <formula>$J2=OR("","FALSE")</formula>
    </cfRule>
    <cfRule type="expression" dxfId="8" priority="2">
      <formula>$J2=TRUE</formula>
    </cfRule>
  </conditionalFormatting>
  <pageMargins left="0.7" right="0.7"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STDInvoice">
                <anchor moveWithCells="1" sizeWithCells="1">
                  <from>
                    <xdr:col>10</xdr:col>
                    <xdr:colOff>76200</xdr:colOff>
                    <xdr:row>0</xdr:row>
                    <xdr:rowOff>47625</xdr:rowOff>
                  </from>
                  <to>
                    <xdr:col>10</xdr:col>
                    <xdr:colOff>952500</xdr:colOff>
                    <xdr:row>0</xdr:row>
                    <xdr:rowOff>314325</xdr:rowOff>
                  </to>
                </anchor>
              </controlPr>
            </control>
          </mc:Choice>
        </mc:AlternateContent>
        <mc:AlternateContent xmlns:mc="http://schemas.openxmlformats.org/markup-compatibility/2006">
          <mc:Choice Requires="x14">
            <control shapeId="2081" r:id="rId5" name="Button 33">
              <controlPr defaultSize="0" print="0" autoFill="0" autoPict="0" macro="[0]!ABCInvoice">
                <anchor moveWithCells="1" sizeWithCells="1">
                  <from>
                    <xdr:col>11</xdr:col>
                    <xdr:colOff>38100</xdr:colOff>
                    <xdr:row>0</xdr:row>
                    <xdr:rowOff>47625</xdr:rowOff>
                  </from>
                  <to>
                    <xdr:col>11</xdr:col>
                    <xdr:colOff>895350</xdr:colOff>
                    <xdr:row>0</xdr:row>
                    <xdr:rowOff>314325</xdr:rowOff>
                  </to>
                </anchor>
              </controlPr>
            </control>
          </mc:Choice>
        </mc:AlternateContent>
        <mc:AlternateContent xmlns:mc="http://schemas.openxmlformats.org/markup-compatibility/2006">
          <mc:Choice Requires="x14">
            <control shapeId="2224" r:id="rId6" name="Check Box 176">
              <controlPr defaultSize="0" autoFill="0" autoLine="0" autoPict="0">
                <anchor moveWithCells="1">
                  <from>
                    <xdr:col>9</xdr:col>
                    <xdr:colOff>0</xdr:colOff>
                    <xdr:row>253</xdr:row>
                    <xdr:rowOff>0</xdr:rowOff>
                  </from>
                  <to>
                    <xdr:col>9</xdr:col>
                    <xdr:colOff>295275</xdr:colOff>
                    <xdr:row>254</xdr:row>
                    <xdr:rowOff>47625</xdr:rowOff>
                  </to>
                </anchor>
              </controlPr>
            </control>
          </mc:Choice>
        </mc:AlternateContent>
        <mc:AlternateContent xmlns:mc="http://schemas.openxmlformats.org/markup-compatibility/2006">
          <mc:Choice Requires="x14">
            <control shapeId="2225" r:id="rId7" name="Check Box 177">
              <controlPr defaultSize="0" autoFill="0" autoLine="0" autoPict="0">
                <anchor moveWithCells="1">
                  <from>
                    <xdr:col>4</xdr:col>
                    <xdr:colOff>0</xdr:colOff>
                    <xdr:row>253</xdr:row>
                    <xdr:rowOff>0</xdr:rowOff>
                  </from>
                  <to>
                    <xdr:col>4</xdr:col>
                    <xdr:colOff>295275</xdr:colOff>
                    <xdr:row>254</xdr:row>
                    <xdr:rowOff>47625</xdr:rowOff>
                  </to>
                </anchor>
              </controlPr>
            </control>
          </mc:Choice>
        </mc:AlternateContent>
        <mc:AlternateContent xmlns:mc="http://schemas.openxmlformats.org/markup-compatibility/2006">
          <mc:Choice Requires="x14">
            <control shapeId="2298" r:id="rId8" name="Check Box 250">
              <controlPr defaultSize="0" autoFill="0" autoLine="0" autoPict="0">
                <anchor moveWithCells="1">
                  <from>
                    <xdr:col>9</xdr:col>
                    <xdr:colOff>0</xdr:colOff>
                    <xdr:row>252</xdr:row>
                    <xdr:rowOff>0</xdr:rowOff>
                  </from>
                  <to>
                    <xdr:col>9</xdr:col>
                    <xdr:colOff>295275</xdr:colOff>
                    <xdr:row>253</xdr:row>
                    <xdr:rowOff>47625</xdr:rowOff>
                  </to>
                </anchor>
              </controlPr>
            </control>
          </mc:Choice>
        </mc:AlternateContent>
        <mc:AlternateContent xmlns:mc="http://schemas.openxmlformats.org/markup-compatibility/2006">
          <mc:Choice Requires="x14">
            <control shapeId="2299" r:id="rId9" name="Check Box 251">
              <controlPr defaultSize="0" autoFill="0" autoLine="0" autoPict="0">
                <anchor moveWithCells="1">
                  <from>
                    <xdr:col>4</xdr:col>
                    <xdr:colOff>0</xdr:colOff>
                    <xdr:row>252</xdr:row>
                    <xdr:rowOff>0</xdr:rowOff>
                  </from>
                  <to>
                    <xdr:col>4</xdr:col>
                    <xdr:colOff>295275</xdr:colOff>
                    <xdr:row>253</xdr:row>
                    <xdr:rowOff>47625</xdr:rowOff>
                  </to>
                </anchor>
              </controlPr>
            </control>
          </mc:Choice>
        </mc:AlternateContent>
        <mc:AlternateContent xmlns:mc="http://schemas.openxmlformats.org/markup-compatibility/2006">
          <mc:Choice Requires="x14">
            <control shapeId="2312" r:id="rId10" name="Check Box 264">
              <controlPr defaultSize="0" autoFill="0" autoLine="0" autoPict="0">
                <anchor moveWithCells="1">
                  <from>
                    <xdr:col>9</xdr:col>
                    <xdr:colOff>0</xdr:colOff>
                    <xdr:row>251</xdr:row>
                    <xdr:rowOff>0</xdr:rowOff>
                  </from>
                  <to>
                    <xdr:col>9</xdr:col>
                    <xdr:colOff>295275</xdr:colOff>
                    <xdr:row>252</xdr:row>
                    <xdr:rowOff>47625</xdr:rowOff>
                  </to>
                </anchor>
              </controlPr>
            </control>
          </mc:Choice>
        </mc:AlternateContent>
        <mc:AlternateContent xmlns:mc="http://schemas.openxmlformats.org/markup-compatibility/2006">
          <mc:Choice Requires="x14">
            <control shapeId="2313" r:id="rId11" name="Check Box 265">
              <controlPr defaultSize="0" autoFill="0" autoLine="0" autoPict="0">
                <anchor moveWithCells="1">
                  <from>
                    <xdr:col>4</xdr:col>
                    <xdr:colOff>0</xdr:colOff>
                    <xdr:row>251</xdr:row>
                    <xdr:rowOff>0</xdr:rowOff>
                  </from>
                  <to>
                    <xdr:col>4</xdr:col>
                    <xdr:colOff>295275</xdr:colOff>
                    <xdr:row>252</xdr:row>
                    <xdr:rowOff>47625</xdr:rowOff>
                  </to>
                </anchor>
              </controlPr>
            </control>
          </mc:Choice>
        </mc:AlternateContent>
        <mc:AlternateContent xmlns:mc="http://schemas.openxmlformats.org/markup-compatibility/2006">
          <mc:Choice Requires="x14">
            <control shapeId="2332" r:id="rId12" name="Check Box 284">
              <controlPr defaultSize="0" autoFill="0" autoLine="0" autoPict="0">
                <anchor moveWithCells="1">
                  <from>
                    <xdr:col>9</xdr:col>
                    <xdr:colOff>0</xdr:colOff>
                    <xdr:row>250</xdr:row>
                    <xdr:rowOff>0</xdr:rowOff>
                  </from>
                  <to>
                    <xdr:col>9</xdr:col>
                    <xdr:colOff>295275</xdr:colOff>
                    <xdr:row>251</xdr:row>
                    <xdr:rowOff>47625</xdr:rowOff>
                  </to>
                </anchor>
              </controlPr>
            </control>
          </mc:Choice>
        </mc:AlternateContent>
        <mc:AlternateContent xmlns:mc="http://schemas.openxmlformats.org/markup-compatibility/2006">
          <mc:Choice Requires="x14">
            <control shapeId="2333" r:id="rId13" name="Check Box 285">
              <controlPr defaultSize="0" autoFill="0" autoLine="0" autoPict="0">
                <anchor moveWithCells="1">
                  <from>
                    <xdr:col>4</xdr:col>
                    <xdr:colOff>0</xdr:colOff>
                    <xdr:row>250</xdr:row>
                    <xdr:rowOff>0</xdr:rowOff>
                  </from>
                  <to>
                    <xdr:col>4</xdr:col>
                    <xdr:colOff>295275</xdr:colOff>
                    <xdr:row>251</xdr:row>
                    <xdr:rowOff>47625</xdr:rowOff>
                  </to>
                </anchor>
              </controlPr>
            </control>
          </mc:Choice>
        </mc:AlternateContent>
        <mc:AlternateContent xmlns:mc="http://schemas.openxmlformats.org/markup-compatibility/2006">
          <mc:Choice Requires="x14">
            <control shapeId="2364" r:id="rId14" name="Check Box 316">
              <controlPr defaultSize="0" autoFill="0" autoLine="0" autoPict="0">
                <anchor moveWithCells="1">
                  <from>
                    <xdr:col>9</xdr:col>
                    <xdr:colOff>0</xdr:colOff>
                    <xdr:row>249</xdr:row>
                    <xdr:rowOff>0</xdr:rowOff>
                  </from>
                  <to>
                    <xdr:col>9</xdr:col>
                    <xdr:colOff>295275</xdr:colOff>
                    <xdr:row>250</xdr:row>
                    <xdr:rowOff>47625</xdr:rowOff>
                  </to>
                </anchor>
              </controlPr>
            </control>
          </mc:Choice>
        </mc:AlternateContent>
        <mc:AlternateContent xmlns:mc="http://schemas.openxmlformats.org/markup-compatibility/2006">
          <mc:Choice Requires="x14">
            <control shapeId="2365" r:id="rId15" name="Check Box 317">
              <controlPr defaultSize="0" autoFill="0" autoLine="0" autoPict="0">
                <anchor moveWithCells="1">
                  <from>
                    <xdr:col>4</xdr:col>
                    <xdr:colOff>0</xdr:colOff>
                    <xdr:row>249</xdr:row>
                    <xdr:rowOff>0</xdr:rowOff>
                  </from>
                  <to>
                    <xdr:col>4</xdr:col>
                    <xdr:colOff>295275</xdr:colOff>
                    <xdr:row>250</xdr:row>
                    <xdr:rowOff>47625</xdr:rowOff>
                  </to>
                </anchor>
              </controlPr>
            </control>
          </mc:Choice>
        </mc:AlternateContent>
        <mc:AlternateContent xmlns:mc="http://schemas.openxmlformats.org/markup-compatibility/2006">
          <mc:Choice Requires="x14">
            <control shapeId="2370" r:id="rId16" name="Check Box 322">
              <controlPr defaultSize="0" autoFill="0" autoLine="0" autoPict="0">
                <anchor moveWithCells="1">
                  <from>
                    <xdr:col>9</xdr:col>
                    <xdr:colOff>0</xdr:colOff>
                    <xdr:row>248</xdr:row>
                    <xdr:rowOff>0</xdr:rowOff>
                  </from>
                  <to>
                    <xdr:col>9</xdr:col>
                    <xdr:colOff>295275</xdr:colOff>
                    <xdr:row>249</xdr:row>
                    <xdr:rowOff>47625</xdr:rowOff>
                  </to>
                </anchor>
              </controlPr>
            </control>
          </mc:Choice>
        </mc:AlternateContent>
        <mc:AlternateContent xmlns:mc="http://schemas.openxmlformats.org/markup-compatibility/2006">
          <mc:Choice Requires="x14">
            <control shapeId="2371" r:id="rId17" name="Check Box 323">
              <controlPr defaultSize="0" autoFill="0" autoLine="0" autoPict="0">
                <anchor moveWithCells="1">
                  <from>
                    <xdr:col>4</xdr:col>
                    <xdr:colOff>0</xdr:colOff>
                    <xdr:row>248</xdr:row>
                    <xdr:rowOff>0</xdr:rowOff>
                  </from>
                  <to>
                    <xdr:col>4</xdr:col>
                    <xdr:colOff>295275</xdr:colOff>
                    <xdr:row>249</xdr:row>
                    <xdr:rowOff>47625</xdr:rowOff>
                  </to>
                </anchor>
              </controlPr>
            </control>
          </mc:Choice>
        </mc:AlternateContent>
        <mc:AlternateContent xmlns:mc="http://schemas.openxmlformats.org/markup-compatibility/2006">
          <mc:Choice Requires="x14">
            <control shapeId="2392" r:id="rId18" name="Check Box 344">
              <controlPr defaultSize="0" autoFill="0" autoLine="0" autoPict="0">
                <anchor moveWithCells="1">
                  <from>
                    <xdr:col>9</xdr:col>
                    <xdr:colOff>0</xdr:colOff>
                    <xdr:row>247</xdr:row>
                    <xdr:rowOff>0</xdr:rowOff>
                  </from>
                  <to>
                    <xdr:col>9</xdr:col>
                    <xdr:colOff>295275</xdr:colOff>
                    <xdr:row>248</xdr:row>
                    <xdr:rowOff>47625</xdr:rowOff>
                  </to>
                </anchor>
              </controlPr>
            </control>
          </mc:Choice>
        </mc:AlternateContent>
        <mc:AlternateContent xmlns:mc="http://schemas.openxmlformats.org/markup-compatibility/2006">
          <mc:Choice Requires="x14">
            <control shapeId="2393" r:id="rId19" name="Check Box 345">
              <controlPr defaultSize="0" autoFill="0" autoLine="0" autoPict="0">
                <anchor moveWithCells="1">
                  <from>
                    <xdr:col>4</xdr:col>
                    <xdr:colOff>0</xdr:colOff>
                    <xdr:row>247</xdr:row>
                    <xdr:rowOff>0</xdr:rowOff>
                  </from>
                  <to>
                    <xdr:col>4</xdr:col>
                    <xdr:colOff>295275</xdr:colOff>
                    <xdr:row>248</xdr:row>
                    <xdr:rowOff>47625</xdr:rowOff>
                  </to>
                </anchor>
              </controlPr>
            </control>
          </mc:Choice>
        </mc:AlternateContent>
        <mc:AlternateContent xmlns:mc="http://schemas.openxmlformats.org/markup-compatibility/2006">
          <mc:Choice Requires="x14">
            <control shapeId="2398" r:id="rId20" name="Check Box 350">
              <controlPr defaultSize="0" autoFill="0" autoLine="0" autoPict="0">
                <anchor moveWithCells="1">
                  <from>
                    <xdr:col>9</xdr:col>
                    <xdr:colOff>0</xdr:colOff>
                    <xdr:row>246</xdr:row>
                    <xdr:rowOff>0</xdr:rowOff>
                  </from>
                  <to>
                    <xdr:col>9</xdr:col>
                    <xdr:colOff>295275</xdr:colOff>
                    <xdr:row>247</xdr:row>
                    <xdr:rowOff>47625</xdr:rowOff>
                  </to>
                </anchor>
              </controlPr>
            </control>
          </mc:Choice>
        </mc:AlternateContent>
        <mc:AlternateContent xmlns:mc="http://schemas.openxmlformats.org/markup-compatibility/2006">
          <mc:Choice Requires="x14">
            <control shapeId="2399" r:id="rId21" name="Check Box 351">
              <controlPr defaultSize="0" autoFill="0" autoLine="0" autoPict="0">
                <anchor moveWithCells="1">
                  <from>
                    <xdr:col>4</xdr:col>
                    <xdr:colOff>0</xdr:colOff>
                    <xdr:row>246</xdr:row>
                    <xdr:rowOff>0</xdr:rowOff>
                  </from>
                  <to>
                    <xdr:col>4</xdr:col>
                    <xdr:colOff>295275</xdr:colOff>
                    <xdr:row>247</xdr:row>
                    <xdr:rowOff>47625</xdr:rowOff>
                  </to>
                </anchor>
              </controlPr>
            </control>
          </mc:Choice>
        </mc:AlternateContent>
        <mc:AlternateContent xmlns:mc="http://schemas.openxmlformats.org/markup-compatibility/2006">
          <mc:Choice Requires="x14">
            <control shapeId="2424" r:id="rId22" name="Check Box 376">
              <controlPr defaultSize="0" autoFill="0" autoLine="0" autoPict="0">
                <anchor moveWithCells="1">
                  <from>
                    <xdr:col>9</xdr:col>
                    <xdr:colOff>0</xdr:colOff>
                    <xdr:row>245</xdr:row>
                    <xdr:rowOff>0</xdr:rowOff>
                  </from>
                  <to>
                    <xdr:col>9</xdr:col>
                    <xdr:colOff>295275</xdr:colOff>
                    <xdr:row>246</xdr:row>
                    <xdr:rowOff>47625</xdr:rowOff>
                  </to>
                </anchor>
              </controlPr>
            </control>
          </mc:Choice>
        </mc:AlternateContent>
        <mc:AlternateContent xmlns:mc="http://schemas.openxmlformats.org/markup-compatibility/2006">
          <mc:Choice Requires="x14">
            <control shapeId="2425" r:id="rId23" name="Check Box 377">
              <controlPr defaultSize="0" autoFill="0" autoLine="0" autoPict="0">
                <anchor moveWithCells="1">
                  <from>
                    <xdr:col>4</xdr:col>
                    <xdr:colOff>0</xdr:colOff>
                    <xdr:row>245</xdr:row>
                    <xdr:rowOff>0</xdr:rowOff>
                  </from>
                  <to>
                    <xdr:col>4</xdr:col>
                    <xdr:colOff>295275</xdr:colOff>
                    <xdr:row>246</xdr:row>
                    <xdr:rowOff>47625</xdr:rowOff>
                  </to>
                </anchor>
              </controlPr>
            </control>
          </mc:Choice>
        </mc:AlternateContent>
        <mc:AlternateContent xmlns:mc="http://schemas.openxmlformats.org/markup-compatibility/2006">
          <mc:Choice Requires="x14">
            <control shapeId="2486" r:id="rId24" name="Check Box 438">
              <controlPr defaultSize="0" autoFill="0" autoLine="0" autoPict="0">
                <anchor moveWithCells="1">
                  <from>
                    <xdr:col>9</xdr:col>
                    <xdr:colOff>0</xdr:colOff>
                    <xdr:row>244</xdr:row>
                    <xdr:rowOff>0</xdr:rowOff>
                  </from>
                  <to>
                    <xdr:col>9</xdr:col>
                    <xdr:colOff>295275</xdr:colOff>
                    <xdr:row>245</xdr:row>
                    <xdr:rowOff>47625</xdr:rowOff>
                  </to>
                </anchor>
              </controlPr>
            </control>
          </mc:Choice>
        </mc:AlternateContent>
        <mc:AlternateContent xmlns:mc="http://schemas.openxmlformats.org/markup-compatibility/2006">
          <mc:Choice Requires="x14">
            <control shapeId="2487" r:id="rId25" name="Check Box 439">
              <controlPr defaultSize="0" autoFill="0" autoLine="0" autoPict="0">
                <anchor moveWithCells="1">
                  <from>
                    <xdr:col>4</xdr:col>
                    <xdr:colOff>0</xdr:colOff>
                    <xdr:row>244</xdr:row>
                    <xdr:rowOff>0</xdr:rowOff>
                  </from>
                  <to>
                    <xdr:col>4</xdr:col>
                    <xdr:colOff>295275</xdr:colOff>
                    <xdr:row>245</xdr:row>
                    <xdr:rowOff>47625</xdr:rowOff>
                  </to>
                </anchor>
              </controlPr>
            </control>
          </mc:Choice>
        </mc:AlternateContent>
        <mc:AlternateContent xmlns:mc="http://schemas.openxmlformats.org/markup-compatibility/2006">
          <mc:Choice Requires="x14">
            <control shapeId="2494" r:id="rId26" name="Check Box 446">
              <controlPr defaultSize="0" autoFill="0" autoLine="0" autoPict="0">
                <anchor moveWithCells="1">
                  <from>
                    <xdr:col>9</xdr:col>
                    <xdr:colOff>0</xdr:colOff>
                    <xdr:row>243</xdr:row>
                    <xdr:rowOff>0</xdr:rowOff>
                  </from>
                  <to>
                    <xdr:col>9</xdr:col>
                    <xdr:colOff>295275</xdr:colOff>
                    <xdr:row>244</xdr:row>
                    <xdr:rowOff>47625</xdr:rowOff>
                  </to>
                </anchor>
              </controlPr>
            </control>
          </mc:Choice>
        </mc:AlternateContent>
        <mc:AlternateContent xmlns:mc="http://schemas.openxmlformats.org/markup-compatibility/2006">
          <mc:Choice Requires="x14">
            <control shapeId="2495" r:id="rId27" name="Check Box 447">
              <controlPr defaultSize="0" autoFill="0" autoLine="0" autoPict="0">
                <anchor moveWithCells="1">
                  <from>
                    <xdr:col>4</xdr:col>
                    <xdr:colOff>0</xdr:colOff>
                    <xdr:row>243</xdr:row>
                    <xdr:rowOff>0</xdr:rowOff>
                  </from>
                  <to>
                    <xdr:col>4</xdr:col>
                    <xdr:colOff>295275</xdr:colOff>
                    <xdr:row>244</xdr:row>
                    <xdr:rowOff>47625</xdr:rowOff>
                  </to>
                </anchor>
              </controlPr>
            </control>
          </mc:Choice>
        </mc:AlternateContent>
        <mc:AlternateContent xmlns:mc="http://schemas.openxmlformats.org/markup-compatibility/2006">
          <mc:Choice Requires="x14">
            <control shapeId="2518" r:id="rId28" name="Check Box 470">
              <controlPr defaultSize="0" autoFill="0" autoLine="0" autoPict="0">
                <anchor moveWithCells="1">
                  <from>
                    <xdr:col>9</xdr:col>
                    <xdr:colOff>0</xdr:colOff>
                    <xdr:row>242</xdr:row>
                    <xdr:rowOff>0</xdr:rowOff>
                  </from>
                  <to>
                    <xdr:col>9</xdr:col>
                    <xdr:colOff>295275</xdr:colOff>
                    <xdr:row>243</xdr:row>
                    <xdr:rowOff>47625</xdr:rowOff>
                  </to>
                </anchor>
              </controlPr>
            </control>
          </mc:Choice>
        </mc:AlternateContent>
        <mc:AlternateContent xmlns:mc="http://schemas.openxmlformats.org/markup-compatibility/2006">
          <mc:Choice Requires="x14">
            <control shapeId="2519" r:id="rId29" name="Check Box 471">
              <controlPr defaultSize="0" autoFill="0" autoLine="0" autoPict="0">
                <anchor moveWithCells="1">
                  <from>
                    <xdr:col>4</xdr:col>
                    <xdr:colOff>0</xdr:colOff>
                    <xdr:row>242</xdr:row>
                    <xdr:rowOff>0</xdr:rowOff>
                  </from>
                  <to>
                    <xdr:col>4</xdr:col>
                    <xdr:colOff>295275</xdr:colOff>
                    <xdr:row>243</xdr:row>
                    <xdr:rowOff>47625</xdr:rowOff>
                  </to>
                </anchor>
              </controlPr>
            </control>
          </mc:Choice>
        </mc:AlternateContent>
        <mc:AlternateContent xmlns:mc="http://schemas.openxmlformats.org/markup-compatibility/2006">
          <mc:Choice Requires="x14">
            <control shapeId="2526" r:id="rId30" name="Check Box 478">
              <controlPr defaultSize="0" autoFill="0" autoLine="0" autoPict="0">
                <anchor moveWithCells="1">
                  <from>
                    <xdr:col>9</xdr:col>
                    <xdr:colOff>0</xdr:colOff>
                    <xdr:row>242</xdr:row>
                    <xdr:rowOff>0</xdr:rowOff>
                  </from>
                  <to>
                    <xdr:col>9</xdr:col>
                    <xdr:colOff>295275</xdr:colOff>
                    <xdr:row>243</xdr:row>
                    <xdr:rowOff>47625</xdr:rowOff>
                  </to>
                </anchor>
              </controlPr>
            </control>
          </mc:Choice>
        </mc:AlternateContent>
        <mc:AlternateContent xmlns:mc="http://schemas.openxmlformats.org/markup-compatibility/2006">
          <mc:Choice Requires="x14">
            <control shapeId="2558" r:id="rId31" name="Check Box 510">
              <controlPr defaultSize="0" autoFill="0" autoLine="0" autoPict="0">
                <anchor moveWithCells="1">
                  <from>
                    <xdr:col>9</xdr:col>
                    <xdr:colOff>0</xdr:colOff>
                    <xdr:row>241</xdr:row>
                    <xdr:rowOff>0</xdr:rowOff>
                  </from>
                  <to>
                    <xdr:col>9</xdr:col>
                    <xdr:colOff>295275</xdr:colOff>
                    <xdr:row>242</xdr:row>
                    <xdr:rowOff>47625</xdr:rowOff>
                  </to>
                </anchor>
              </controlPr>
            </control>
          </mc:Choice>
        </mc:AlternateContent>
        <mc:AlternateContent xmlns:mc="http://schemas.openxmlformats.org/markup-compatibility/2006">
          <mc:Choice Requires="x14">
            <control shapeId="2559" r:id="rId32" name="Check Box 511">
              <controlPr defaultSize="0" autoFill="0" autoLine="0" autoPict="0">
                <anchor moveWithCells="1">
                  <from>
                    <xdr:col>4</xdr:col>
                    <xdr:colOff>0</xdr:colOff>
                    <xdr:row>241</xdr:row>
                    <xdr:rowOff>0</xdr:rowOff>
                  </from>
                  <to>
                    <xdr:col>4</xdr:col>
                    <xdr:colOff>295275</xdr:colOff>
                    <xdr:row>242</xdr:row>
                    <xdr:rowOff>47625</xdr:rowOff>
                  </to>
                </anchor>
              </controlPr>
            </control>
          </mc:Choice>
        </mc:AlternateContent>
        <mc:AlternateContent xmlns:mc="http://schemas.openxmlformats.org/markup-compatibility/2006">
          <mc:Choice Requires="x14">
            <control shapeId="2578" r:id="rId33" name="Check Box 530">
              <controlPr defaultSize="0" autoFill="0" autoLine="0" autoPict="0">
                <anchor moveWithCells="1">
                  <from>
                    <xdr:col>9</xdr:col>
                    <xdr:colOff>0</xdr:colOff>
                    <xdr:row>240</xdr:row>
                    <xdr:rowOff>0</xdr:rowOff>
                  </from>
                  <to>
                    <xdr:col>9</xdr:col>
                    <xdr:colOff>295275</xdr:colOff>
                    <xdr:row>241</xdr:row>
                    <xdr:rowOff>47625</xdr:rowOff>
                  </to>
                </anchor>
              </controlPr>
            </control>
          </mc:Choice>
        </mc:AlternateContent>
        <mc:AlternateContent xmlns:mc="http://schemas.openxmlformats.org/markup-compatibility/2006">
          <mc:Choice Requires="x14">
            <control shapeId="2579" r:id="rId34" name="Check Box 531">
              <controlPr defaultSize="0" autoFill="0" autoLine="0" autoPict="0">
                <anchor moveWithCells="1">
                  <from>
                    <xdr:col>4</xdr:col>
                    <xdr:colOff>0</xdr:colOff>
                    <xdr:row>240</xdr:row>
                    <xdr:rowOff>0</xdr:rowOff>
                  </from>
                  <to>
                    <xdr:col>4</xdr:col>
                    <xdr:colOff>295275</xdr:colOff>
                    <xdr:row>241</xdr:row>
                    <xdr:rowOff>47625</xdr:rowOff>
                  </to>
                </anchor>
              </controlPr>
            </control>
          </mc:Choice>
        </mc:AlternateContent>
        <mc:AlternateContent xmlns:mc="http://schemas.openxmlformats.org/markup-compatibility/2006">
          <mc:Choice Requires="x14">
            <control shapeId="2668" r:id="rId35" name="Check Box 620">
              <controlPr defaultSize="0" autoFill="0" autoLine="0" autoPict="0">
                <anchor moveWithCells="1">
                  <from>
                    <xdr:col>9</xdr:col>
                    <xdr:colOff>0</xdr:colOff>
                    <xdr:row>239</xdr:row>
                    <xdr:rowOff>0</xdr:rowOff>
                  </from>
                  <to>
                    <xdr:col>9</xdr:col>
                    <xdr:colOff>295275</xdr:colOff>
                    <xdr:row>240</xdr:row>
                    <xdr:rowOff>47625</xdr:rowOff>
                  </to>
                </anchor>
              </controlPr>
            </control>
          </mc:Choice>
        </mc:AlternateContent>
        <mc:AlternateContent xmlns:mc="http://schemas.openxmlformats.org/markup-compatibility/2006">
          <mc:Choice Requires="x14">
            <control shapeId="2669" r:id="rId36" name="Check Box 621">
              <controlPr defaultSize="0" autoFill="0" autoLine="0" autoPict="0">
                <anchor moveWithCells="1">
                  <from>
                    <xdr:col>4</xdr:col>
                    <xdr:colOff>0</xdr:colOff>
                    <xdr:row>239</xdr:row>
                    <xdr:rowOff>0</xdr:rowOff>
                  </from>
                  <to>
                    <xdr:col>4</xdr:col>
                    <xdr:colOff>295275</xdr:colOff>
                    <xdr:row>240</xdr:row>
                    <xdr:rowOff>47625</xdr:rowOff>
                  </to>
                </anchor>
              </controlPr>
            </control>
          </mc:Choice>
        </mc:AlternateContent>
        <mc:AlternateContent xmlns:mc="http://schemas.openxmlformats.org/markup-compatibility/2006">
          <mc:Choice Requires="x14">
            <control shapeId="2682" r:id="rId37" name="Check Box 634">
              <controlPr defaultSize="0" autoFill="0" autoLine="0" autoPict="0">
                <anchor moveWithCells="1">
                  <from>
                    <xdr:col>9</xdr:col>
                    <xdr:colOff>0</xdr:colOff>
                    <xdr:row>238</xdr:row>
                    <xdr:rowOff>0</xdr:rowOff>
                  </from>
                  <to>
                    <xdr:col>9</xdr:col>
                    <xdr:colOff>295275</xdr:colOff>
                    <xdr:row>239</xdr:row>
                    <xdr:rowOff>47625</xdr:rowOff>
                  </to>
                </anchor>
              </controlPr>
            </control>
          </mc:Choice>
        </mc:AlternateContent>
        <mc:AlternateContent xmlns:mc="http://schemas.openxmlformats.org/markup-compatibility/2006">
          <mc:Choice Requires="x14">
            <control shapeId="2683" r:id="rId38" name="Check Box 635">
              <controlPr defaultSize="0" autoFill="0" autoLine="0" autoPict="0">
                <anchor moveWithCells="1">
                  <from>
                    <xdr:col>4</xdr:col>
                    <xdr:colOff>0</xdr:colOff>
                    <xdr:row>238</xdr:row>
                    <xdr:rowOff>0</xdr:rowOff>
                  </from>
                  <to>
                    <xdr:col>4</xdr:col>
                    <xdr:colOff>295275</xdr:colOff>
                    <xdr:row>239</xdr:row>
                    <xdr:rowOff>47625</xdr:rowOff>
                  </to>
                </anchor>
              </controlPr>
            </control>
          </mc:Choice>
        </mc:AlternateContent>
        <mc:AlternateContent xmlns:mc="http://schemas.openxmlformats.org/markup-compatibility/2006">
          <mc:Choice Requires="x14">
            <control shapeId="2702" r:id="rId39" name="Check Box 654">
              <controlPr defaultSize="0" autoFill="0" autoLine="0" autoPict="0">
                <anchor moveWithCells="1">
                  <from>
                    <xdr:col>9</xdr:col>
                    <xdr:colOff>0</xdr:colOff>
                    <xdr:row>237</xdr:row>
                    <xdr:rowOff>0</xdr:rowOff>
                  </from>
                  <to>
                    <xdr:col>9</xdr:col>
                    <xdr:colOff>295275</xdr:colOff>
                    <xdr:row>238</xdr:row>
                    <xdr:rowOff>47625</xdr:rowOff>
                  </to>
                </anchor>
              </controlPr>
            </control>
          </mc:Choice>
        </mc:AlternateContent>
        <mc:AlternateContent xmlns:mc="http://schemas.openxmlformats.org/markup-compatibility/2006">
          <mc:Choice Requires="x14">
            <control shapeId="2703" r:id="rId40" name="Check Box 655">
              <controlPr defaultSize="0" autoFill="0" autoLine="0" autoPict="0">
                <anchor moveWithCells="1">
                  <from>
                    <xdr:col>4</xdr:col>
                    <xdr:colOff>0</xdr:colOff>
                    <xdr:row>237</xdr:row>
                    <xdr:rowOff>0</xdr:rowOff>
                  </from>
                  <to>
                    <xdr:col>4</xdr:col>
                    <xdr:colOff>295275</xdr:colOff>
                    <xdr:row>238</xdr:row>
                    <xdr:rowOff>47625</xdr:rowOff>
                  </to>
                </anchor>
              </controlPr>
            </control>
          </mc:Choice>
        </mc:AlternateContent>
        <mc:AlternateContent xmlns:mc="http://schemas.openxmlformats.org/markup-compatibility/2006">
          <mc:Choice Requires="x14">
            <control shapeId="2704" r:id="rId41" name="Check Box 656">
              <controlPr defaultSize="0" autoFill="0" autoLine="0" autoPict="0">
                <anchor moveWithCells="1">
                  <from>
                    <xdr:col>9</xdr:col>
                    <xdr:colOff>0</xdr:colOff>
                    <xdr:row>236</xdr:row>
                    <xdr:rowOff>0</xdr:rowOff>
                  </from>
                  <to>
                    <xdr:col>9</xdr:col>
                    <xdr:colOff>295275</xdr:colOff>
                    <xdr:row>237</xdr:row>
                    <xdr:rowOff>47625</xdr:rowOff>
                  </to>
                </anchor>
              </controlPr>
            </control>
          </mc:Choice>
        </mc:AlternateContent>
        <mc:AlternateContent xmlns:mc="http://schemas.openxmlformats.org/markup-compatibility/2006">
          <mc:Choice Requires="x14">
            <control shapeId="2705" r:id="rId42" name="Check Box 657">
              <controlPr defaultSize="0" autoFill="0" autoLine="0" autoPict="0">
                <anchor moveWithCells="1">
                  <from>
                    <xdr:col>4</xdr:col>
                    <xdr:colOff>0</xdr:colOff>
                    <xdr:row>236</xdr:row>
                    <xdr:rowOff>0</xdr:rowOff>
                  </from>
                  <to>
                    <xdr:col>4</xdr:col>
                    <xdr:colOff>295275</xdr:colOff>
                    <xdr:row>237</xdr:row>
                    <xdr:rowOff>47625</xdr:rowOff>
                  </to>
                </anchor>
              </controlPr>
            </control>
          </mc:Choice>
        </mc:AlternateContent>
        <mc:AlternateContent xmlns:mc="http://schemas.openxmlformats.org/markup-compatibility/2006">
          <mc:Choice Requires="x14">
            <control shapeId="2732" r:id="rId43" name="Check Box 684">
              <controlPr defaultSize="0" autoFill="0" autoLine="0" autoPict="0">
                <anchor moveWithCells="1">
                  <from>
                    <xdr:col>9</xdr:col>
                    <xdr:colOff>0</xdr:colOff>
                    <xdr:row>235</xdr:row>
                    <xdr:rowOff>0</xdr:rowOff>
                  </from>
                  <to>
                    <xdr:col>9</xdr:col>
                    <xdr:colOff>295275</xdr:colOff>
                    <xdr:row>236</xdr:row>
                    <xdr:rowOff>47625</xdr:rowOff>
                  </to>
                </anchor>
              </controlPr>
            </control>
          </mc:Choice>
        </mc:AlternateContent>
        <mc:AlternateContent xmlns:mc="http://schemas.openxmlformats.org/markup-compatibility/2006">
          <mc:Choice Requires="x14">
            <control shapeId="2733" r:id="rId44" name="Check Box 685">
              <controlPr defaultSize="0" autoFill="0" autoLine="0" autoPict="0">
                <anchor moveWithCells="1">
                  <from>
                    <xdr:col>4</xdr:col>
                    <xdr:colOff>0</xdr:colOff>
                    <xdr:row>235</xdr:row>
                    <xdr:rowOff>0</xdr:rowOff>
                  </from>
                  <to>
                    <xdr:col>4</xdr:col>
                    <xdr:colOff>295275</xdr:colOff>
                    <xdr:row>236</xdr:row>
                    <xdr:rowOff>47625</xdr:rowOff>
                  </to>
                </anchor>
              </controlPr>
            </control>
          </mc:Choice>
        </mc:AlternateContent>
        <mc:AlternateContent xmlns:mc="http://schemas.openxmlformats.org/markup-compatibility/2006">
          <mc:Choice Requires="x14">
            <control shapeId="2736" r:id="rId45" name="Check Box 688">
              <controlPr defaultSize="0" autoFill="0" autoLine="0" autoPict="0">
                <anchor moveWithCells="1">
                  <from>
                    <xdr:col>9</xdr:col>
                    <xdr:colOff>0</xdr:colOff>
                    <xdr:row>234</xdr:row>
                    <xdr:rowOff>0</xdr:rowOff>
                  </from>
                  <to>
                    <xdr:col>9</xdr:col>
                    <xdr:colOff>295275</xdr:colOff>
                    <xdr:row>235</xdr:row>
                    <xdr:rowOff>47625</xdr:rowOff>
                  </to>
                </anchor>
              </controlPr>
            </control>
          </mc:Choice>
        </mc:AlternateContent>
        <mc:AlternateContent xmlns:mc="http://schemas.openxmlformats.org/markup-compatibility/2006">
          <mc:Choice Requires="x14">
            <control shapeId="2737" r:id="rId46" name="Check Box 689">
              <controlPr defaultSize="0" autoFill="0" autoLine="0" autoPict="0">
                <anchor moveWithCells="1">
                  <from>
                    <xdr:col>4</xdr:col>
                    <xdr:colOff>0</xdr:colOff>
                    <xdr:row>234</xdr:row>
                    <xdr:rowOff>0</xdr:rowOff>
                  </from>
                  <to>
                    <xdr:col>4</xdr:col>
                    <xdr:colOff>295275</xdr:colOff>
                    <xdr:row>235</xdr:row>
                    <xdr:rowOff>47625</xdr:rowOff>
                  </to>
                </anchor>
              </controlPr>
            </control>
          </mc:Choice>
        </mc:AlternateContent>
        <mc:AlternateContent xmlns:mc="http://schemas.openxmlformats.org/markup-compatibility/2006">
          <mc:Choice Requires="x14">
            <control shapeId="2766" r:id="rId47" name="Check Box 718">
              <controlPr defaultSize="0" autoFill="0" autoLine="0" autoPict="0">
                <anchor moveWithCells="1">
                  <from>
                    <xdr:col>9</xdr:col>
                    <xdr:colOff>0</xdr:colOff>
                    <xdr:row>233</xdr:row>
                    <xdr:rowOff>0</xdr:rowOff>
                  </from>
                  <to>
                    <xdr:col>9</xdr:col>
                    <xdr:colOff>295275</xdr:colOff>
                    <xdr:row>234</xdr:row>
                    <xdr:rowOff>47625</xdr:rowOff>
                  </to>
                </anchor>
              </controlPr>
            </control>
          </mc:Choice>
        </mc:AlternateContent>
        <mc:AlternateContent xmlns:mc="http://schemas.openxmlformats.org/markup-compatibility/2006">
          <mc:Choice Requires="x14">
            <control shapeId="2767" r:id="rId48" name="Check Box 719">
              <controlPr defaultSize="0" autoFill="0" autoLine="0" autoPict="0">
                <anchor moveWithCells="1">
                  <from>
                    <xdr:col>4</xdr:col>
                    <xdr:colOff>0</xdr:colOff>
                    <xdr:row>233</xdr:row>
                    <xdr:rowOff>0</xdr:rowOff>
                  </from>
                  <to>
                    <xdr:col>4</xdr:col>
                    <xdr:colOff>295275</xdr:colOff>
                    <xdr:row>234</xdr:row>
                    <xdr:rowOff>47625</xdr:rowOff>
                  </to>
                </anchor>
              </controlPr>
            </control>
          </mc:Choice>
        </mc:AlternateContent>
        <mc:AlternateContent xmlns:mc="http://schemas.openxmlformats.org/markup-compatibility/2006">
          <mc:Choice Requires="x14">
            <control shapeId="2792" r:id="rId49" name="Check Box 744">
              <controlPr defaultSize="0" autoFill="0" autoLine="0" autoPict="0">
                <anchor moveWithCells="1">
                  <from>
                    <xdr:col>9</xdr:col>
                    <xdr:colOff>0</xdr:colOff>
                    <xdr:row>232</xdr:row>
                    <xdr:rowOff>0</xdr:rowOff>
                  </from>
                  <to>
                    <xdr:col>9</xdr:col>
                    <xdr:colOff>295275</xdr:colOff>
                    <xdr:row>233</xdr:row>
                    <xdr:rowOff>47625</xdr:rowOff>
                  </to>
                </anchor>
              </controlPr>
            </control>
          </mc:Choice>
        </mc:AlternateContent>
        <mc:AlternateContent xmlns:mc="http://schemas.openxmlformats.org/markup-compatibility/2006">
          <mc:Choice Requires="x14">
            <control shapeId="2793" r:id="rId50" name="Check Box 745">
              <controlPr defaultSize="0" autoFill="0" autoLine="0" autoPict="0">
                <anchor moveWithCells="1">
                  <from>
                    <xdr:col>4</xdr:col>
                    <xdr:colOff>0</xdr:colOff>
                    <xdr:row>232</xdr:row>
                    <xdr:rowOff>0</xdr:rowOff>
                  </from>
                  <to>
                    <xdr:col>4</xdr:col>
                    <xdr:colOff>295275</xdr:colOff>
                    <xdr:row>233</xdr:row>
                    <xdr:rowOff>47625</xdr:rowOff>
                  </to>
                </anchor>
              </controlPr>
            </control>
          </mc:Choice>
        </mc:AlternateContent>
        <mc:AlternateContent xmlns:mc="http://schemas.openxmlformats.org/markup-compatibility/2006">
          <mc:Choice Requires="x14">
            <control shapeId="2800" r:id="rId51" name="Check Box 752">
              <controlPr defaultSize="0" autoFill="0" autoLine="0" autoPict="0">
                <anchor moveWithCells="1">
                  <from>
                    <xdr:col>9</xdr:col>
                    <xdr:colOff>0</xdr:colOff>
                    <xdr:row>231</xdr:row>
                    <xdr:rowOff>0</xdr:rowOff>
                  </from>
                  <to>
                    <xdr:col>9</xdr:col>
                    <xdr:colOff>295275</xdr:colOff>
                    <xdr:row>232</xdr:row>
                    <xdr:rowOff>47625</xdr:rowOff>
                  </to>
                </anchor>
              </controlPr>
            </control>
          </mc:Choice>
        </mc:AlternateContent>
        <mc:AlternateContent xmlns:mc="http://schemas.openxmlformats.org/markup-compatibility/2006">
          <mc:Choice Requires="x14">
            <control shapeId="2801" r:id="rId52" name="Check Box 753">
              <controlPr defaultSize="0" autoFill="0" autoLine="0" autoPict="0">
                <anchor moveWithCells="1">
                  <from>
                    <xdr:col>4</xdr:col>
                    <xdr:colOff>0</xdr:colOff>
                    <xdr:row>231</xdr:row>
                    <xdr:rowOff>0</xdr:rowOff>
                  </from>
                  <to>
                    <xdr:col>4</xdr:col>
                    <xdr:colOff>295275</xdr:colOff>
                    <xdr:row>232</xdr:row>
                    <xdr:rowOff>47625</xdr:rowOff>
                  </to>
                </anchor>
              </controlPr>
            </control>
          </mc:Choice>
        </mc:AlternateContent>
        <mc:AlternateContent xmlns:mc="http://schemas.openxmlformats.org/markup-compatibility/2006">
          <mc:Choice Requires="x14">
            <control shapeId="2814" r:id="rId53" name="Check Box 766">
              <controlPr defaultSize="0" autoFill="0" autoLine="0" autoPict="0">
                <anchor moveWithCells="1">
                  <from>
                    <xdr:col>9</xdr:col>
                    <xdr:colOff>0</xdr:colOff>
                    <xdr:row>230</xdr:row>
                    <xdr:rowOff>0</xdr:rowOff>
                  </from>
                  <to>
                    <xdr:col>9</xdr:col>
                    <xdr:colOff>295275</xdr:colOff>
                    <xdr:row>231</xdr:row>
                    <xdr:rowOff>47625</xdr:rowOff>
                  </to>
                </anchor>
              </controlPr>
            </control>
          </mc:Choice>
        </mc:AlternateContent>
        <mc:AlternateContent xmlns:mc="http://schemas.openxmlformats.org/markup-compatibility/2006">
          <mc:Choice Requires="x14">
            <control shapeId="2815" r:id="rId54" name="Check Box 767">
              <controlPr defaultSize="0" autoFill="0" autoLine="0" autoPict="0">
                <anchor moveWithCells="1">
                  <from>
                    <xdr:col>4</xdr:col>
                    <xdr:colOff>0</xdr:colOff>
                    <xdr:row>230</xdr:row>
                    <xdr:rowOff>0</xdr:rowOff>
                  </from>
                  <to>
                    <xdr:col>4</xdr:col>
                    <xdr:colOff>295275</xdr:colOff>
                    <xdr:row>231</xdr:row>
                    <xdr:rowOff>47625</xdr:rowOff>
                  </to>
                </anchor>
              </controlPr>
            </control>
          </mc:Choice>
        </mc:AlternateContent>
        <mc:AlternateContent xmlns:mc="http://schemas.openxmlformats.org/markup-compatibility/2006">
          <mc:Choice Requires="x14">
            <control shapeId="2816" r:id="rId55" name="Check Box 768">
              <controlPr defaultSize="0" autoFill="0" autoLine="0" autoPict="0">
                <anchor moveWithCells="1">
                  <from>
                    <xdr:col>9</xdr:col>
                    <xdr:colOff>0</xdr:colOff>
                    <xdr:row>229</xdr:row>
                    <xdr:rowOff>0</xdr:rowOff>
                  </from>
                  <to>
                    <xdr:col>9</xdr:col>
                    <xdr:colOff>295275</xdr:colOff>
                    <xdr:row>230</xdr:row>
                    <xdr:rowOff>47625</xdr:rowOff>
                  </to>
                </anchor>
              </controlPr>
            </control>
          </mc:Choice>
        </mc:AlternateContent>
        <mc:AlternateContent xmlns:mc="http://schemas.openxmlformats.org/markup-compatibility/2006">
          <mc:Choice Requires="x14">
            <control shapeId="2817" r:id="rId56" name="Check Box 769">
              <controlPr defaultSize="0" autoFill="0" autoLine="0" autoPict="0">
                <anchor moveWithCells="1">
                  <from>
                    <xdr:col>4</xdr:col>
                    <xdr:colOff>0</xdr:colOff>
                    <xdr:row>229</xdr:row>
                    <xdr:rowOff>0</xdr:rowOff>
                  </from>
                  <to>
                    <xdr:col>4</xdr:col>
                    <xdr:colOff>295275</xdr:colOff>
                    <xdr:row>230</xdr:row>
                    <xdr:rowOff>47625</xdr:rowOff>
                  </to>
                </anchor>
              </controlPr>
            </control>
          </mc:Choice>
        </mc:AlternateContent>
        <mc:AlternateContent xmlns:mc="http://schemas.openxmlformats.org/markup-compatibility/2006">
          <mc:Choice Requires="x14">
            <control shapeId="2820" r:id="rId57" name="Check Box 772">
              <controlPr defaultSize="0" autoFill="0" autoLine="0" autoPict="0">
                <anchor moveWithCells="1">
                  <from>
                    <xdr:col>9</xdr:col>
                    <xdr:colOff>0</xdr:colOff>
                    <xdr:row>228</xdr:row>
                    <xdr:rowOff>0</xdr:rowOff>
                  </from>
                  <to>
                    <xdr:col>9</xdr:col>
                    <xdr:colOff>295275</xdr:colOff>
                    <xdr:row>229</xdr:row>
                    <xdr:rowOff>47625</xdr:rowOff>
                  </to>
                </anchor>
              </controlPr>
            </control>
          </mc:Choice>
        </mc:AlternateContent>
        <mc:AlternateContent xmlns:mc="http://schemas.openxmlformats.org/markup-compatibility/2006">
          <mc:Choice Requires="x14">
            <control shapeId="2821" r:id="rId58" name="Check Box 773">
              <controlPr defaultSize="0" autoFill="0" autoLine="0" autoPict="0">
                <anchor moveWithCells="1">
                  <from>
                    <xdr:col>4</xdr:col>
                    <xdr:colOff>0</xdr:colOff>
                    <xdr:row>228</xdr:row>
                    <xdr:rowOff>0</xdr:rowOff>
                  </from>
                  <to>
                    <xdr:col>4</xdr:col>
                    <xdr:colOff>295275</xdr:colOff>
                    <xdr:row>229</xdr:row>
                    <xdr:rowOff>47625</xdr:rowOff>
                  </to>
                </anchor>
              </controlPr>
            </control>
          </mc:Choice>
        </mc:AlternateContent>
        <mc:AlternateContent xmlns:mc="http://schemas.openxmlformats.org/markup-compatibility/2006">
          <mc:Choice Requires="x14">
            <control shapeId="2834" r:id="rId59" name="Check Box 786">
              <controlPr defaultSize="0" autoFill="0" autoLine="0" autoPict="0">
                <anchor moveWithCells="1">
                  <from>
                    <xdr:col>9</xdr:col>
                    <xdr:colOff>0</xdr:colOff>
                    <xdr:row>227</xdr:row>
                    <xdr:rowOff>0</xdr:rowOff>
                  </from>
                  <to>
                    <xdr:col>9</xdr:col>
                    <xdr:colOff>295275</xdr:colOff>
                    <xdr:row>228</xdr:row>
                    <xdr:rowOff>47625</xdr:rowOff>
                  </to>
                </anchor>
              </controlPr>
            </control>
          </mc:Choice>
        </mc:AlternateContent>
        <mc:AlternateContent xmlns:mc="http://schemas.openxmlformats.org/markup-compatibility/2006">
          <mc:Choice Requires="x14">
            <control shapeId="2835" r:id="rId60" name="Check Box 787">
              <controlPr defaultSize="0" autoFill="0" autoLine="0" autoPict="0">
                <anchor moveWithCells="1">
                  <from>
                    <xdr:col>4</xdr:col>
                    <xdr:colOff>0</xdr:colOff>
                    <xdr:row>227</xdr:row>
                    <xdr:rowOff>0</xdr:rowOff>
                  </from>
                  <to>
                    <xdr:col>4</xdr:col>
                    <xdr:colOff>295275</xdr:colOff>
                    <xdr:row>228</xdr:row>
                    <xdr:rowOff>47625</xdr:rowOff>
                  </to>
                </anchor>
              </controlPr>
            </control>
          </mc:Choice>
        </mc:AlternateContent>
        <mc:AlternateContent xmlns:mc="http://schemas.openxmlformats.org/markup-compatibility/2006">
          <mc:Choice Requires="x14">
            <control shapeId="2839" r:id="rId61" name="Check Box 791">
              <controlPr defaultSize="0" autoFill="0" autoLine="0" autoPict="0">
                <anchor moveWithCells="1">
                  <from>
                    <xdr:col>4</xdr:col>
                    <xdr:colOff>0</xdr:colOff>
                    <xdr:row>227</xdr:row>
                    <xdr:rowOff>0</xdr:rowOff>
                  </from>
                  <to>
                    <xdr:col>4</xdr:col>
                    <xdr:colOff>295275</xdr:colOff>
                    <xdr:row>228</xdr:row>
                    <xdr:rowOff>47625</xdr:rowOff>
                  </to>
                </anchor>
              </controlPr>
            </control>
          </mc:Choice>
        </mc:AlternateContent>
        <mc:AlternateContent xmlns:mc="http://schemas.openxmlformats.org/markup-compatibility/2006">
          <mc:Choice Requires="x14">
            <control shapeId="2852" r:id="rId62" name="Check Box 804">
              <controlPr defaultSize="0" autoFill="0" autoLine="0" autoPict="0">
                <anchor moveWithCells="1">
                  <from>
                    <xdr:col>9</xdr:col>
                    <xdr:colOff>0</xdr:colOff>
                    <xdr:row>226</xdr:row>
                    <xdr:rowOff>0</xdr:rowOff>
                  </from>
                  <to>
                    <xdr:col>9</xdr:col>
                    <xdr:colOff>295275</xdr:colOff>
                    <xdr:row>227</xdr:row>
                    <xdr:rowOff>47625</xdr:rowOff>
                  </to>
                </anchor>
              </controlPr>
            </control>
          </mc:Choice>
        </mc:AlternateContent>
        <mc:AlternateContent xmlns:mc="http://schemas.openxmlformats.org/markup-compatibility/2006">
          <mc:Choice Requires="x14">
            <control shapeId="2853" r:id="rId63" name="Check Box 805">
              <controlPr defaultSize="0" autoFill="0" autoLine="0" autoPict="0">
                <anchor moveWithCells="1">
                  <from>
                    <xdr:col>4</xdr:col>
                    <xdr:colOff>0</xdr:colOff>
                    <xdr:row>226</xdr:row>
                    <xdr:rowOff>0</xdr:rowOff>
                  </from>
                  <to>
                    <xdr:col>4</xdr:col>
                    <xdr:colOff>295275</xdr:colOff>
                    <xdr:row>227</xdr:row>
                    <xdr:rowOff>47625</xdr:rowOff>
                  </to>
                </anchor>
              </controlPr>
            </control>
          </mc:Choice>
        </mc:AlternateContent>
        <mc:AlternateContent xmlns:mc="http://schemas.openxmlformats.org/markup-compatibility/2006">
          <mc:Choice Requires="x14">
            <control shapeId="2884" r:id="rId64" name="Check Box 836">
              <controlPr defaultSize="0" autoFill="0" autoLine="0" autoPict="0">
                <anchor moveWithCells="1">
                  <from>
                    <xdr:col>9</xdr:col>
                    <xdr:colOff>0</xdr:colOff>
                    <xdr:row>225</xdr:row>
                    <xdr:rowOff>0</xdr:rowOff>
                  </from>
                  <to>
                    <xdr:col>9</xdr:col>
                    <xdr:colOff>295275</xdr:colOff>
                    <xdr:row>226</xdr:row>
                    <xdr:rowOff>47625</xdr:rowOff>
                  </to>
                </anchor>
              </controlPr>
            </control>
          </mc:Choice>
        </mc:AlternateContent>
        <mc:AlternateContent xmlns:mc="http://schemas.openxmlformats.org/markup-compatibility/2006">
          <mc:Choice Requires="x14">
            <control shapeId="2885" r:id="rId65" name="Check Box 837">
              <controlPr defaultSize="0" autoFill="0" autoLine="0" autoPict="0">
                <anchor moveWithCells="1">
                  <from>
                    <xdr:col>4</xdr:col>
                    <xdr:colOff>0</xdr:colOff>
                    <xdr:row>225</xdr:row>
                    <xdr:rowOff>0</xdr:rowOff>
                  </from>
                  <to>
                    <xdr:col>4</xdr:col>
                    <xdr:colOff>295275</xdr:colOff>
                    <xdr:row>226</xdr:row>
                    <xdr:rowOff>47625</xdr:rowOff>
                  </to>
                </anchor>
              </controlPr>
            </control>
          </mc:Choice>
        </mc:AlternateContent>
        <mc:AlternateContent xmlns:mc="http://schemas.openxmlformats.org/markup-compatibility/2006">
          <mc:Choice Requires="x14">
            <control shapeId="2904" r:id="rId66" name="Check Box 856">
              <controlPr defaultSize="0" autoFill="0" autoLine="0" autoPict="0">
                <anchor moveWithCells="1">
                  <from>
                    <xdr:col>9</xdr:col>
                    <xdr:colOff>0</xdr:colOff>
                    <xdr:row>224</xdr:row>
                    <xdr:rowOff>0</xdr:rowOff>
                  </from>
                  <to>
                    <xdr:col>9</xdr:col>
                    <xdr:colOff>295275</xdr:colOff>
                    <xdr:row>225</xdr:row>
                    <xdr:rowOff>47625</xdr:rowOff>
                  </to>
                </anchor>
              </controlPr>
            </control>
          </mc:Choice>
        </mc:AlternateContent>
        <mc:AlternateContent xmlns:mc="http://schemas.openxmlformats.org/markup-compatibility/2006">
          <mc:Choice Requires="x14">
            <control shapeId="2905" r:id="rId67" name="Check Box 857">
              <controlPr defaultSize="0" autoFill="0" autoLine="0" autoPict="0">
                <anchor moveWithCells="1">
                  <from>
                    <xdr:col>4</xdr:col>
                    <xdr:colOff>0</xdr:colOff>
                    <xdr:row>224</xdr:row>
                    <xdr:rowOff>0</xdr:rowOff>
                  </from>
                  <to>
                    <xdr:col>4</xdr:col>
                    <xdr:colOff>295275</xdr:colOff>
                    <xdr:row>225</xdr:row>
                    <xdr:rowOff>47625</xdr:rowOff>
                  </to>
                </anchor>
              </controlPr>
            </control>
          </mc:Choice>
        </mc:AlternateContent>
        <mc:AlternateContent xmlns:mc="http://schemas.openxmlformats.org/markup-compatibility/2006">
          <mc:Choice Requires="x14">
            <control shapeId="2906" r:id="rId68" name="Check Box 858">
              <controlPr defaultSize="0" autoFill="0" autoLine="0" autoPict="0">
                <anchor moveWithCells="1">
                  <from>
                    <xdr:col>9</xdr:col>
                    <xdr:colOff>0</xdr:colOff>
                    <xdr:row>223</xdr:row>
                    <xdr:rowOff>0</xdr:rowOff>
                  </from>
                  <to>
                    <xdr:col>9</xdr:col>
                    <xdr:colOff>295275</xdr:colOff>
                    <xdr:row>224</xdr:row>
                    <xdr:rowOff>47625</xdr:rowOff>
                  </to>
                </anchor>
              </controlPr>
            </control>
          </mc:Choice>
        </mc:AlternateContent>
        <mc:AlternateContent xmlns:mc="http://schemas.openxmlformats.org/markup-compatibility/2006">
          <mc:Choice Requires="x14">
            <control shapeId="2907" r:id="rId69" name="Check Box 859">
              <controlPr defaultSize="0" autoFill="0" autoLine="0" autoPict="0">
                <anchor moveWithCells="1">
                  <from>
                    <xdr:col>4</xdr:col>
                    <xdr:colOff>0</xdr:colOff>
                    <xdr:row>223</xdr:row>
                    <xdr:rowOff>0</xdr:rowOff>
                  </from>
                  <to>
                    <xdr:col>4</xdr:col>
                    <xdr:colOff>295275</xdr:colOff>
                    <xdr:row>224</xdr:row>
                    <xdr:rowOff>47625</xdr:rowOff>
                  </to>
                </anchor>
              </controlPr>
            </control>
          </mc:Choice>
        </mc:AlternateContent>
        <mc:AlternateContent xmlns:mc="http://schemas.openxmlformats.org/markup-compatibility/2006">
          <mc:Choice Requires="x14">
            <control shapeId="2918" r:id="rId70" name="Check Box 870">
              <controlPr defaultSize="0" autoFill="0" autoLine="0" autoPict="0">
                <anchor moveWithCells="1">
                  <from>
                    <xdr:col>9</xdr:col>
                    <xdr:colOff>0</xdr:colOff>
                    <xdr:row>223</xdr:row>
                    <xdr:rowOff>0</xdr:rowOff>
                  </from>
                  <to>
                    <xdr:col>9</xdr:col>
                    <xdr:colOff>295275</xdr:colOff>
                    <xdr:row>224</xdr:row>
                    <xdr:rowOff>47625</xdr:rowOff>
                  </to>
                </anchor>
              </controlPr>
            </control>
          </mc:Choice>
        </mc:AlternateContent>
        <mc:AlternateContent xmlns:mc="http://schemas.openxmlformats.org/markup-compatibility/2006">
          <mc:Choice Requires="x14">
            <control shapeId="2930" r:id="rId71" name="Check Box 882">
              <controlPr defaultSize="0" autoFill="0" autoLine="0" autoPict="0">
                <anchor moveWithCells="1">
                  <from>
                    <xdr:col>9</xdr:col>
                    <xdr:colOff>0</xdr:colOff>
                    <xdr:row>222</xdr:row>
                    <xdr:rowOff>0</xdr:rowOff>
                  </from>
                  <to>
                    <xdr:col>9</xdr:col>
                    <xdr:colOff>295275</xdr:colOff>
                    <xdr:row>223</xdr:row>
                    <xdr:rowOff>47625</xdr:rowOff>
                  </to>
                </anchor>
              </controlPr>
            </control>
          </mc:Choice>
        </mc:AlternateContent>
        <mc:AlternateContent xmlns:mc="http://schemas.openxmlformats.org/markup-compatibility/2006">
          <mc:Choice Requires="x14">
            <control shapeId="2931" r:id="rId72" name="Check Box 883">
              <controlPr defaultSize="0" autoFill="0" autoLine="0" autoPict="0">
                <anchor moveWithCells="1">
                  <from>
                    <xdr:col>4</xdr:col>
                    <xdr:colOff>0</xdr:colOff>
                    <xdr:row>222</xdr:row>
                    <xdr:rowOff>0</xdr:rowOff>
                  </from>
                  <to>
                    <xdr:col>4</xdr:col>
                    <xdr:colOff>295275</xdr:colOff>
                    <xdr:row>223</xdr:row>
                    <xdr:rowOff>47625</xdr:rowOff>
                  </to>
                </anchor>
              </controlPr>
            </control>
          </mc:Choice>
        </mc:AlternateContent>
        <mc:AlternateContent xmlns:mc="http://schemas.openxmlformats.org/markup-compatibility/2006">
          <mc:Choice Requires="x14">
            <control shapeId="2936" r:id="rId73" name="Check Box 888">
              <controlPr defaultSize="0" autoFill="0" autoLine="0" autoPict="0">
                <anchor moveWithCells="1">
                  <from>
                    <xdr:col>9</xdr:col>
                    <xdr:colOff>0</xdr:colOff>
                    <xdr:row>221</xdr:row>
                    <xdr:rowOff>0</xdr:rowOff>
                  </from>
                  <to>
                    <xdr:col>9</xdr:col>
                    <xdr:colOff>295275</xdr:colOff>
                    <xdr:row>222</xdr:row>
                    <xdr:rowOff>47625</xdr:rowOff>
                  </to>
                </anchor>
              </controlPr>
            </control>
          </mc:Choice>
        </mc:AlternateContent>
        <mc:AlternateContent xmlns:mc="http://schemas.openxmlformats.org/markup-compatibility/2006">
          <mc:Choice Requires="x14">
            <control shapeId="2937" r:id="rId74" name="Check Box 889">
              <controlPr defaultSize="0" autoFill="0" autoLine="0" autoPict="0">
                <anchor moveWithCells="1">
                  <from>
                    <xdr:col>4</xdr:col>
                    <xdr:colOff>0</xdr:colOff>
                    <xdr:row>221</xdr:row>
                    <xdr:rowOff>0</xdr:rowOff>
                  </from>
                  <to>
                    <xdr:col>4</xdr:col>
                    <xdr:colOff>295275</xdr:colOff>
                    <xdr:row>222</xdr:row>
                    <xdr:rowOff>47625</xdr:rowOff>
                  </to>
                </anchor>
              </controlPr>
            </control>
          </mc:Choice>
        </mc:AlternateContent>
        <mc:AlternateContent xmlns:mc="http://schemas.openxmlformats.org/markup-compatibility/2006">
          <mc:Choice Requires="x14">
            <control shapeId="2944" r:id="rId75" name="Check Box 896">
              <controlPr defaultSize="0" autoFill="0" autoLine="0" autoPict="0">
                <anchor moveWithCells="1">
                  <from>
                    <xdr:col>9</xdr:col>
                    <xdr:colOff>0</xdr:colOff>
                    <xdr:row>220</xdr:row>
                    <xdr:rowOff>0</xdr:rowOff>
                  </from>
                  <to>
                    <xdr:col>9</xdr:col>
                    <xdr:colOff>295275</xdr:colOff>
                    <xdr:row>221</xdr:row>
                    <xdr:rowOff>47625</xdr:rowOff>
                  </to>
                </anchor>
              </controlPr>
            </control>
          </mc:Choice>
        </mc:AlternateContent>
        <mc:AlternateContent xmlns:mc="http://schemas.openxmlformats.org/markup-compatibility/2006">
          <mc:Choice Requires="x14">
            <control shapeId="2945" r:id="rId76" name="Check Box 897">
              <controlPr defaultSize="0" autoFill="0" autoLine="0" autoPict="0">
                <anchor moveWithCells="1">
                  <from>
                    <xdr:col>4</xdr:col>
                    <xdr:colOff>0</xdr:colOff>
                    <xdr:row>220</xdr:row>
                    <xdr:rowOff>0</xdr:rowOff>
                  </from>
                  <to>
                    <xdr:col>4</xdr:col>
                    <xdr:colOff>295275</xdr:colOff>
                    <xdr:row>221</xdr:row>
                    <xdr:rowOff>47625</xdr:rowOff>
                  </to>
                </anchor>
              </controlPr>
            </control>
          </mc:Choice>
        </mc:AlternateContent>
        <mc:AlternateContent xmlns:mc="http://schemas.openxmlformats.org/markup-compatibility/2006">
          <mc:Choice Requires="x14">
            <control shapeId="2978" r:id="rId77" name="Check Box 930">
              <controlPr defaultSize="0" autoFill="0" autoLine="0" autoPict="0">
                <anchor moveWithCells="1">
                  <from>
                    <xdr:col>9</xdr:col>
                    <xdr:colOff>0</xdr:colOff>
                    <xdr:row>219</xdr:row>
                    <xdr:rowOff>0</xdr:rowOff>
                  </from>
                  <to>
                    <xdr:col>9</xdr:col>
                    <xdr:colOff>295275</xdr:colOff>
                    <xdr:row>220</xdr:row>
                    <xdr:rowOff>47625</xdr:rowOff>
                  </to>
                </anchor>
              </controlPr>
            </control>
          </mc:Choice>
        </mc:AlternateContent>
        <mc:AlternateContent xmlns:mc="http://schemas.openxmlformats.org/markup-compatibility/2006">
          <mc:Choice Requires="x14">
            <control shapeId="2979" r:id="rId78" name="Check Box 931">
              <controlPr defaultSize="0" autoFill="0" autoLine="0" autoPict="0">
                <anchor moveWithCells="1">
                  <from>
                    <xdr:col>4</xdr:col>
                    <xdr:colOff>0</xdr:colOff>
                    <xdr:row>219</xdr:row>
                    <xdr:rowOff>0</xdr:rowOff>
                  </from>
                  <to>
                    <xdr:col>4</xdr:col>
                    <xdr:colOff>295275</xdr:colOff>
                    <xdr:row>220</xdr:row>
                    <xdr:rowOff>47625</xdr:rowOff>
                  </to>
                </anchor>
              </controlPr>
            </control>
          </mc:Choice>
        </mc:AlternateContent>
        <mc:AlternateContent xmlns:mc="http://schemas.openxmlformats.org/markup-compatibility/2006">
          <mc:Choice Requires="x14">
            <control shapeId="3010" r:id="rId79" name="Check Box 962">
              <controlPr defaultSize="0" autoFill="0" autoLine="0" autoPict="0">
                <anchor moveWithCells="1">
                  <from>
                    <xdr:col>9</xdr:col>
                    <xdr:colOff>0</xdr:colOff>
                    <xdr:row>218</xdr:row>
                    <xdr:rowOff>0</xdr:rowOff>
                  </from>
                  <to>
                    <xdr:col>9</xdr:col>
                    <xdr:colOff>295275</xdr:colOff>
                    <xdr:row>219</xdr:row>
                    <xdr:rowOff>47625</xdr:rowOff>
                  </to>
                </anchor>
              </controlPr>
            </control>
          </mc:Choice>
        </mc:AlternateContent>
        <mc:AlternateContent xmlns:mc="http://schemas.openxmlformats.org/markup-compatibility/2006">
          <mc:Choice Requires="x14">
            <control shapeId="3011" r:id="rId80" name="Check Box 963">
              <controlPr defaultSize="0" autoFill="0" autoLine="0" autoPict="0">
                <anchor moveWithCells="1">
                  <from>
                    <xdr:col>4</xdr:col>
                    <xdr:colOff>0</xdr:colOff>
                    <xdr:row>218</xdr:row>
                    <xdr:rowOff>0</xdr:rowOff>
                  </from>
                  <to>
                    <xdr:col>4</xdr:col>
                    <xdr:colOff>295275</xdr:colOff>
                    <xdr:row>219</xdr:row>
                    <xdr:rowOff>47625</xdr:rowOff>
                  </to>
                </anchor>
              </controlPr>
            </control>
          </mc:Choice>
        </mc:AlternateContent>
        <mc:AlternateContent xmlns:mc="http://schemas.openxmlformats.org/markup-compatibility/2006">
          <mc:Choice Requires="x14">
            <control shapeId="3030" r:id="rId81" name="Check Box 982">
              <controlPr defaultSize="0" autoFill="0" autoLine="0" autoPict="0">
                <anchor moveWithCells="1">
                  <from>
                    <xdr:col>9</xdr:col>
                    <xdr:colOff>0</xdr:colOff>
                    <xdr:row>217</xdr:row>
                    <xdr:rowOff>0</xdr:rowOff>
                  </from>
                  <to>
                    <xdr:col>9</xdr:col>
                    <xdr:colOff>295275</xdr:colOff>
                    <xdr:row>218</xdr:row>
                    <xdr:rowOff>47625</xdr:rowOff>
                  </to>
                </anchor>
              </controlPr>
            </control>
          </mc:Choice>
        </mc:AlternateContent>
        <mc:AlternateContent xmlns:mc="http://schemas.openxmlformats.org/markup-compatibility/2006">
          <mc:Choice Requires="x14">
            <control shapeId="3031" r:id="rId82" name="Check Box 983">
              <controlPr defaultSize="0" autoFill="0" autoLine="0" autoPict="0">
                <anchor moveWithCells="1">
                  <from>
                    <xdr:col>4</xdr:col>
                    <xdr:colOff>0</xdr:colOff>
                    <xdr:row>217</xdr:row>
                    <xdr:rowOff>0</xdr:rowOff>
                  </from>
                  <to>
                    <xdr:col>4</xdr:col>
                    <xdr:colOff>295275</xdr:colOff>
                    <xdr:row>218</xdr:row>
                    <xdr:rowOff>47625</xdr:rowOff>
                  </to>
                </anchor>
              </controlPr>
            </control>
          </mc:Choice>
        </mc:AlternateContent>
        <mc:AlternateContent xmlns:mc="http://schemas.openxmlformats.org/markup-compatibility/2006">
          <mc:Choice Requires="x14">
            <control shapeId="3038" r:id="rId83" name="Check Box 990">
              <controlPr defaultSize="0" autoFill="0" autoLine="0" autoPict="0">
                <anchor moveWithCells="1">
                  <from>
                    <xdr:col>9</xdr:col>
                    <xdr:colOff>0</xdr:colOff>
                    <xdr:row>216</xdr:row>
                    <xdr:rowOff>0</xdr:rowOff>
                  </from>
                  <to>
                    <xdr:col>9</xdr:col>
                    <xdr:colOff>295275</xdr:colOff>
                    <xdr:row>217</xdr:row>
                    <xdr:rowOff>47625</xdr:rowOff>
                  </to>
                </anchor>
              </controlPr>
            </control>
          </mc:Choice>
        </mc:AlternateContent>
        <mc:AlternateContent xmlns:mc="http://schemas.openxmlformats.org/markup-compatibility/2006">
          <mc:Choice Requires="x14">
            <control shapeId="3039" r:id="rId84" name="Check Box 991">
              <controlPr defaultSize="0" autoFill="0" autoLine="0" autoPict="0">
                <anchor moveWithCells="1">
                  <from>
                    <xdr:col>4</xdr:col>
                    <xdr:colOff>0</xdr:colOff>
                    <xdr:row>216</xdr:row>
                    <xdr:rowOff>0</xdr:rowOff>
                  </from>
                  <to>
                    <xdr:col>4</xdr:col>
                    <xdr:colOff>295275</xdr:colOff>
                    <xdr:row>217</xdr:row>
                    <xdr:rowOff>47625</xdr:rowOff>
                  </to>
                </anchor>
              </controlPr>
            </control>
          </mc:Choice>
        </mc:AlternateContent>
        <mc:AlternateContent xmlns:mc="http://schemas.openxmlformats.org/markup-compatibility/2006">
          <mc:Choice Requires="x14">
            <control shapeId="3050" r:id="rId85" name="Check Box 1002">
              <controlPr defaultSize="0" autoFill="0" autoLine="0" autoPict="0">
                <anchor moveWithCells="1">
                  <from>
                    <xdr:col>9</xdr:col>
                    <xdr:colOff>0</xdr:colOff>
                    <xdr:row>215</xdr:row>
                    <xdr:rowOff>0</xdr:rowOff>
                  </from>
                  <to>
                    <xdr:col>9</xdr:col>
                    <xdr:colOff>295275</xdr:colOff>
                    <xdr:row>216</xdr:row>
                    <xdr:rowOff>47625</xdr:rowOff>
                  </to>
                </anchor>
              </controlPr>
            </control>
          </mc:Choice>
        </mc:AlternateContent>
        <mc:AlternateContent xmlns:mc="http://schemas.openxmlformats.org/markup-compatibility/2006">
          <mc:Choice Requires="x14">
            <control shapeId="3051" r:id="rId86" name="Check Box 1003">
              <controlPr defaultSize="0" autoFill="0" autoLine="0" autoPict="0">
                <anchor moveWithCells="1">
                  <from>
                    <xdr:col>4</xdr:col>
                    <xdr:colOff>0</xdr:colOff>
                    <xdr:row>215</xdr:row>
                    <xdr:rowOff>0</xdr:rowOff>
                  </from>
                  <to>
                    <xdr:col>4</xdr:col>
                    <xdr:colOff>295275</xdr:colOff>
                    <xdr:row>216</xdr:row>
                    <xdr:rowOff>47625</xdr:rowOff>
                  </to>
                </anchor>
              </controlPr>
            </control>
          </mc:Choice>
        </mc:AlternateContent>
        <mc:AlternateContent xmlns:mc="http://schemas.openxmlformats.org/markup-compatibility/2006">
          <mc:Choice Requires="x14">
            <control shapeId="3062" r:id="rId87" name="Check Box 1014">
              <controlPr defaultSize="0" autoFill="0" autoLine="0" autoPict="0">
                <anchor moveWithCells="1">
                  <from>
                    <xdr:col>9</xdr:col>
                    <xdr:colOff>0</xdr:colOff>
                    <xdr:row>214</xdr:row>
                    <xdr:rowOff>0</xdr:rowOff>
                  </from>
                  <to>
                    <xdr:col>9</xdr:col>
                    <xdr:colOff>295275</xdr:colOff>
                    <xdr:row>215</xdr:row>
                    <xdr:rowOff>47625</xdr:rowOff>
                  </to>
                </anchor>
              </controlPr>
            </control>
          </mc:Choice>
        </mc:AlternateContent>
        <mc:AlternateContent xmlns:mc="http://schemas.openxmlformats.org/markup-compatibility/2006">
          <mc:Choice Requires="x14">
            <control shapeId="3063" r:id="rId88" name="Check Box 1015">
              <controlPr defaultSize="0" autoFill="0" autoLine="0" autoPict="0">
                <anchor moveWithCells="1">
                  <from>
                    <xdr:col>4</xdr:col>
                    <xdr:colOff>0</xdr:colOff>
                    <xdr:row>214</xdr:row>
                    <xdr:rowOff>0</xdr:rowOff>
                  </from>
                  <to>
                    <xdr:col>4</xdr:col>
                    <xdr:colOff>295275</xdr:colOff>
                    <xdr:row>215</xdr:row>
                    <xdr:rowOff>47625</xdr:rowOff>
                  </to>
                </anchor>
              </controlPr>
            </control>
          </mc:Choice>
        </mc:AlternateContent>
        <mc:AlternateContent xmlns:mc="http://schemas.openxmlformats.org/markup-compatibility/2006">
          <mc:Choice Requires="x14">
            <control shapeId="13146124" r:id="rId89" name="Check Box 1036">
              <controlPr defaultSize="0" autoFill="0" autoLine="0" autoPict="0">
                <anchor moveWithCells="1">
                  <from>
                    <xdr:col>9</xdr:col>
                    <xdr:colOff>0</xdr:colOff>
                    <xdr:row>213</xdr:row>
                    <xdr:rowOff>0</xdr:rowOff>
                  </from>
                  <to>
                    <xdr:col>9</xdr:col>
                    <xdr:colOff>295275</xdr:colOff>
                    <xdr:row>214</xdr:row>
                    <xdr:rowOff>47625</xdr:rowOff>
                  </to>
                </anchor>
              </controlPr>
            </control>
          </mc:Choice>
        </mc:AlternateContent>
        <mc:AlternateContent xmlns:mc="http://schemas.openxmlformats.org/markup-compatibility/2006">
          <mc:Choice Requires="x14">
            <control shapeId="13146125" r:id="rId90" name="Check Box 1037">
              <controlPr defaultSize="0" autoFill="0" autoLine="0" autoPict="0">
                <anchor moveWithCells="1">
                  <from>
                    <xdr:col>4</xdr:col>
                    <xdr:colOff>0</xdr:colOff>
                    <xdr:row>213</xdr:row>
                    <xdr:rowOff>0</xdr:rowOff>
                  </from>
                  <to>
                    <xdr:col>4</xdr:col>
                    <xdr:colOff>295275</xdr:colOff>
                    <xdr:row>214</xdr:row>
                    <xdr:rowOff>47625</xdr:rowOff>
                  </to>
                </anchor>
              </controlPr>
            </control>
          </mc:Choice>
        </mc:AlternateContent>
        <mc:AlternateContent xmlns:mc="http://schemas.openxmlformats.org/markup-compatibility/2006">
          <mc:Choice Requires="x14">
            <control shapeId="13146138" r:id="rId91" name="Check Box 1050">
              <controlPr defaultSize="0" autoFill="0" autoLine="0" autoPict="0">
                <anchor moveWithCells="1">
                  <from>
                    <xdr:col>9</xdr:col>
                    <xdr:colOff>0</xdr:colOff>
                    <xdr:row>212</xdr:row>
                    <xdr:rowOff>0</xdr:rowOff>
                  </from>
                  <to>
                    <xdr:col>9</xdr:col>
                    <xdr:colOff>295275</xdr:colOff>
                    <xdr:row>213</xdr:row>
                    <xdr:rowOff>47625</xdr:rowOff>
                  </to>
                </anchor>
              </controlPr>
            </control>
          </mc:Choice>
        </mc:AlternateContent>
        <mc:AlternateContent xmlns:mc="http://schemas.openxmlformats.org/markup-compatibility/2006">
          <mc:Choice Requires="x14">
            <control shapeId="13146139" r:id="rId92" name="Check Box 1051">
              <controlPr defaultSize="0" autoFill="0" autoLine="0" autoPict="0">
                <anchor moveWithCells="1">
                  <from>
                    <xdr:col>4</xdr:col>
                    <xdr:colOff>0</xdr:colOff>
                    <xdr:row>212</xdr:row>
                    <xdr:rowOff>0</xdr:rowOff>
                  </from>
                  <to>
                    <xdr:col>4</xdr:col>
                    <xdr:colOff>295275</xdr:colOff>
                    <xdr:row>213</xdr:row>
                    <xdr:rowOff>47625</xdr:rowOff>
                  </to>
                </anchor>
              </controlPr>
            </control>
          </mc:Choice>
        </mc:AlternateContent>
        <mc:AlternateContent xmlns:mc="http://schemas.openxmlformats.org/markup-compatibility/2006">
          <mc:Choice Requires="x14">
            <control shapeId="13146170" r:id="rId93" name="Check Box 1082">
              <controlPr defaultSize="0" autoFill="0" autoLine="0" autoPict="0">
                <anchor moveWithCells="1">
                  <from>
                    <xdr:col>9</xdr:col>
                    <xdr:colOff>0</xdr:colOff>
                    <xdr:row>211</xdr:row>
                    <xdr:rowOff>0</xdr:rowOff>
                  </from>
                  <to>
                    <xdr:col>9</xdr:col>
                    <xdr:colOff>295275</xdr:colOff>
                    <xdr:row>212</xdr:row>
                    <xdr:rowOff>47625</xdr:rowOff>
                  </to>
                </anchor>
              </controlPr>
            </control>
          </mc:Choice>
        </mc:AlternateContent>
        <mc:AlternateContent xmlns:mc="http://schemas.openxmlformats.org/markup-compatibility/2006">
          <mc:Choice Requires="x14">
            <control shapeId="13146171" r:id="rId94" name="Check Box 1083">
              <controlPr defaultSize="0" autoFill="0" autoLine="0" autoPict="0">
                <anchor moveWithCells="1">
                  <from>
                    <xdr:col>4</xdr:col>
                    <xdr:colOff>0</xdr:colOff>
                    <xdr:row>211</xdr:row>
                    <xdr:rowOff>0</xdr:rowOff>
                  </from>
                  <to>
                    <xdr:col>4</xdr:col>
                    <xdr:colOff>295275</xdr:colOff>
                    <xdr:row>212</xdr:row>
                    <xdr:rowOff>47625</xdr:rowOff>
                  </to>
                </anchor>
              </controlPr>
            </control>
          </mc:Choice>
        </mc:AlternateContent>
        <mc:AlternateContent xmlns:mc="http://schemas.openxmlformats.org/markup-compatibility/2006">
          <mc:Choice Requires="x14">
            <control shapeId="13146172" r:id="rId95" name="Check Box 1084">
              <controlPr defaultSize="0" autoFill="0" autoLine="0" autoPict="0">
                <anchor moveWithCells="1">
                  <from>
                    <xdr:col>9</xdr:col>
                    <xdr:colOff>0</xdr:colOff>
                    <xdr:row>210</xdr:row>
                    <xdr:rowOff>0</xdr:rowOff>
                  </from>
                  <to>
                    <xdr:col>9</xdr:col>
                    <xdr:colOff>295275</xdr:colOff>
                    <xdr:row>211</xdr:row>
                    <xdr:rowOff>47625</xdr:rowOff>
                  </to>
                </anchor>
              </controlPr>
            </control>
          </mc:Choice>
        </mc:AlternateContent>
        <mc:AlternateContent xmlns:mc="http://schemas.openxmlformats.org/markup-compatibility/2006">
          <mc:Choice Requires="x14">
            <control shapeId="13146173" r:id="rId96" name="Check Box 1085">
              <controlPr defaultSize="0" autoFill="0" autoLine="0" autoPict="0">
                <anchor moveWithCells="1">
                  <from>
                    <xdr:col>4</xdr:col>
                    <xdr:colOff>0</xdr:colOff>
                    <xdr:row>210</xdr:row>
                    <xdr:rowOff>0</xdr:rowOff>
                  </from>
                  <to>
                    <xdr:col>4</xdr:col>
                    <xdr:colOff>295275</xdr:colOff>
                    <xdr:row>211</xdr:row>
                    <xdr:rowOff>47625</xdr:rowOff>
                  </to>
                </anchor>
              </controlPr>
            </control>
          </mc:Choice>
        </mc:AlternateContent>
        <mc:AlternateContent xmlns:mc="http://schemas.openxmlformats.org/markup-compatibility/2006">
          <mc:Choice Requires="x14">
            <control shapeId="13146174" r:id="rId97" name="Check Box 1086">
              <controlPr defaultSize="0" autoFill="0" autoLine="0" autoPict="0">
                <anchor moveWithCells="1">
                  <from>
                    <xdr:col>9</xdr:col>
                    <xdr:colOff>0</xdr:colOff>
                    <xdr:row>209</xdr:row>
                    <xdr:rowOff>0</xdr:rowOff>
                  </from>
                  <to>
                    <xdr:col>9</xdr:col>
                    <xdr:colOff>295275</xdr:colOff>
                    <xdr:row>210</xdr:row>
                    <xdr:rowOff>47625</xdr:rowOff>
                  </to>
                </anchor>
              </controlPr>
            </control>
          </mc:Choice>
        </mc:AlternateContent>
        <mc:AlternateContent xmlns:mc="http://schemas.openxmlformats.org/markup-compatibility/2006">
          <mc:Choice Requires="x14">
            <control shapeId="13146175" r:id="rId98" name="Check Box 1087">
              <controlPr defaultSize="0" autoFill="0" autoLine="0" autoPict="0">
                <anchor moveWithCells="1">
                  <from>
                    <xdr:col>4</xdr:col>
                    <xdr:colOff>0</xdr:colOff>
                    <xdr:row>209</xdr:row>
                    <xdr:rowOff>0</xdr:rowOff>
                  </from>
                  <to>
                    <xdr:col>4</xdr:col>
                    <xdr:colOff>295275</xdr:colOff>
                    <xdr:row>210</xdr:row>
                    <xdr:rowOff>47625</xdr:rowOff>
                  </to>
                </anchor>
              </controlPr>
            </control>
          </mc:Choice>
        </mc:AlternateContent>
        <mc:AlternateContent xmlns:mc="http://schemas.openxmlformats.org/markup-compatibility/2006">
          <mc:Choice Requires="x14">
            <control shapeId="13146210" r:id="rId99" name="Check Box 1122">
              <controlPr defaultSize="0" autoFill="0" autoLine="0" autoPict="0">
                <anchor moveWithCells="1">
                  <from>
                    <xdr:col>9</xdr:col>
                    <xdr:colOff>0</xdr:colOff>
                    <xdr:row>208</xdr:row>
                    <xdr:rowOff>0</xdr:rowOff>
                  </from>
                  <to>
                    <xdr:col>9</xdr:col>
                    <xdr:colOff>295275</xdr:colOff>
                    <xdr:row>209</xdr:row>
                    <xdr:rowOff>47625</xdr:rowOff>
                  </to>
                </anchor>
              </controlPr>
            </control>
          </mc:Choice>
        </mc:AlternateContent>
        <mc:AlternateContent xmlns:mc="http://schemas.openxmlformats.org/markup-compatibility/2006">
          <mc:Choice Requires="x14">
            <control shapeId="13146211" r:id="rId100" name="Check Box 1123">
              <controlPr defaultSize="0" autoFill="0" autoLine="0" autoPict="0">
                <anchor moveWithCells="1">
                  <from>
                    <xdr:col>4</xdr:col>
                    <xdr:colOff>0</xdr:colOff>
                    <xdr:row>208</xdr:row>
                    <xdr:rowOff>0</xdr:rowOff>
                  </from>
                  <to>
                    <xdr:col>4</xdr:col>
                    <xdr:colOff>295275</xdr:colOff>
                    <xdr:row>209</xdr:row>
                    <xdr:rowOff>47625</xdr:rowOff>
                  </to>
                </anchor>
              </controlPr>
            </control>
          </mc:Choice>
        </mc:AlternateContent>
        <mc:AlternateContent xmlns:mc="http://schemas.openxmlformats.org/markup-compatibility/2006">
          <mc:Choice Requires="x14">
            <control shapeId="13146212" r:id="rId101" name="Check Box 1124">
              <controlPr defaultSize="0" autoFill="0" autoLine="0" autoPict="0">
                <anchor moveWithCells="1">
                  <from>
                    <xdr:col>9</xdr:col>
                    <xdr:colOff>0</xdr:colOff>
                    <xdr:row>207</xdr:row>
                    <xdr:rowOff>0</xdr:rowOff>
                  </from>
                  <to>
                    <xdr:col>9</xdr:col>
                    <xdr:colOff>295275</xdr:colOff>
                    <xdr:row>208</xdr:row>
                    <xdr:rowOff>47625</xdr:rowOff>
                  </to>
                </anchor>
              </controlPr>
            </control>
          </mc:Choice>
        </mc:AlternateContent>
        <mc:AlternateContent xmlns:mc="http://schemas.openxmlformats.org/markup-compatibility/2006">
          <mc:Choice Requires="x14">
            <control shapeId="13146213" r:id="rId102" name="Check Box 1125">
              <controlPr defaultSize="0" autoFill="0" autoLine="0" autoPict="0">
                <anchor moveWithCells="1">
                  <from>
                    <xdr:col>4</xdr:col>
                    <xdr:colOff>0</xdr:colOff>
                    <xdr:row>207</xdr:row>
                    <xdr:rowOff>0</xdr:rowOff>
                  </from>
                  <to>
                    <xdr:col>4</xdr:col>
                    <xdr:colOff>295275</xdr:colOff>
                    <xdr:row>208</xdr:row>
                    <xdr:rowOff>47625</xdr:rowOff>
                  </to>
                </anchor>
              </controlPr>
            </control>
          </mc:Choice>
        </mc:AlternateContent>
        <mc:AlternateContent xmlns:mc="http://schemas.openxmlformats.org/markup-compatibility/2006">
          <mc:Choice Requires="x14">
            <control shapeId="13146248" r:id="rId103" name="Check Box 1160">
              <controlPr defaultSize="0" autoFill="0" autoLine="0" autoPict="0">
                <anchor moveWithCells="1">
                  <from>
                    <xdr:col>9</xdr:col>
                    <xdr:colOff>0</xdr:colOff>
                    <xdr:row>206</xdr:row>
                    <xdr:rowOff>0</xdr:rowOff>
                  </from>
                  <to>
                    <xdr:col>9</xdr:col>
                    <xdr:colOff>295275</xdr:colOff>
                    <xdr:row>207</xdr:row>
                    <xdr:rowOff>47625</xdr:rowOff>
                  </to>
                </anchor>
              </controlPr>
            </control>
          </mc:Choice>
        </mc:AlternateContent>
        <mc:AlternateContent xmlns:mc="http://schemas.openxmlformats.org/markup-compatibility/2006">
          <mc:Choice Requires="x14">
            <control shapeId="13146249" r:id="rId104" name="Check Box 1161">
              <controlPr defaultSize="0" autoFill="0" autoLine="0" autoPict="0">
                <anchor moveWithCells="1">
                  <from>
                    <xdr:col>4</xdr:col>
                    <xdr:colOff>0</xdr:colOff>
                    <xdr:row>206</xdr:row>
                    <xdr:rowOff>0</xdr:rowOff>
                  </from>
                  <to>
                    <xdr:col>4</xdr:col>
                    <xdr:colOff>295275</xdr:colOff>
                    <xdr:row>207</xdr:row>
                    <xdr:rowOff>47625</xdr:rowOff>
                  </to>
                </anchor>
              </controlPr>
            </control>
          </mc:Choice>
        </mc:AlternateContent>
        <mc:AlternateContent xmlns:mc="http://schemas.openxmlformats.org/markup-compatibility/2006">
          <mc:Choice Requires="x14">
            <control shapeId="13146250" r:id="rId105" name="Check Box 1162">
              <controlPr defaultSize="0" autoFill="0" autoLine="0" autoPict="0">
                <anchor moveWithCells="1">
                  <from>
                    <xdr:col>9</xdr:col>
                    <xdr:colOff>0</xdr:colOff>
                    <xdr:row>206</xdr:row>
                    <xdr:rowOff>0</xdr:rowOff>
                  </from>
                  <to>
                    <xdr:col>9</xdr:col>
                    <xdr:colOff>295275</xdr:colOff>
                    <xdr:row>207</xdr:row>
                    <xdr:rowOff>47625</xdr:rowOff>
                  </to>
                </anchor>
              </controlPr>
            </control>
          </mc:Choice>
        </mc:AlternateContent>
        <mc:AlternateContent xmlns:mc="http://schemas.openxmlformats.org/markup-compatibility/2006">
          <mc:Choice Requires="x14">
            <control shapeId="13146252" r:id="rId106" name="Check Box 1164">
              <controlPr defaultSize="0" autoFill="0" autoLine="0" autoPict="0">
                <anchor moveWithCells="1">
                  <from>
                    <xdr:col>9</xdr:col>
                    <xdr:colOff>0</xdr:colOff>
                    <xdr:row>206</xdr:row>
                    <xdr:rowOff>0</xdr:rowOff>
                  </from>
                  <to>
                    <xdr:col>9</xdr:col>
                    <xdr:colOff>295275</xdr:colOff>
                    <xdr:row>207</xdr:row>
                    <xdr:rowOff>47625</xdr:rowOff>
                  </to>
                </anchor>
              </controlPr>
            </control>
          </mc:Choice>
        </mc:AlternateContent>
        <mc:AlternateContent xmlns:mc="http://schemas.openxmlformats.org/markup-compatibility/2006">
          <mc:Choice Requires="x14">
            <control shapeId="13146256" r:id="rId107" name="Check Box 1168">
              <controlPr defaultSize="0" autoFill="0" autoLine="0" autoPict="0">
                <anchor moveWithCells="1">
                  <from>
                    <xdr:col>9</xdr:col>
                    <xdr:colOff>0</xdr:colOff>
                    <xdr:row>206</xdr:row>
                    <xdr:rowOff>0</xdr:rowOff>
                  </from>
                  <to>
                    <xdr:col>9</xdr:col>
                    <xdr:colOff>295275</xdr:colOff>
                    <xdr:row>207</xdr:row>
                    <xdr:rowOff>47625</xdr:rowOff>
                  </to>
                </anchor>
              </controlPr>
            </control>
          </mc:Choice>
        </mc:AlternateContent>
        <mc:AlternateContent xmlns:mc="http://schemas.openxmlformats.org/markup-compatibility/2006">
          <mc:Choice Requires="x14">
            <control shapeId="13146268" r:id="rId108" name="Check Box 1180">
              <controlPr defaultSize="0" autoFill="0" autoLine="0" autoPict="0">
                <anchor moveWithCells="1">
                  <from>
                    <xdr:col>9</xdr:col>
                    <xdr:colOff>0</xdr:colOff>
                    <xdr:row>205</xdr:row>
                    <xdr:rowOff>0</xdr:rowOff>
                  </from>
                  <to>
                    <xdr:col>9</xdr:col>
                    <xdr:colOff>295275</xdr:colOff>
                    <xdr:row>206</xdr:row>
                    <xdr:rowOff>47625</xdr:rowOff>
                  </to>
                </anchor>
              </controlPr>
            </control>
          </mc:Choice>
        </mc:AlternateContent>
        <mc:AlternateContent xmlns:mc="http://schemas.openxmlformats.org/markup-compatibility/2006">
          <mc:Choice Requires="x14">
            <control shapeId="13146269" r:id="rId109" name="Check Box 1181">
              <controlPr defaultSize="0" autoFill="0" autoLine="0" autoPict="0">
                <anchor moveWithCells="1">
                  <from>
                    <xdr:col>4</xdr:col>
                    <xdr:colOff>0</xdr:colOff>
                    <xdr:row>205</xdr:row>
                    <xdr:rowOff>0</xdr:rowOff>
                  </from>
                  <to>
                    <xdr:col>4</xdr:col>
                    <xdr:colOff>295275</xdr:colOff>
                    <xdr:row>206</xdr:row>
                    <xdr:rowOff>47625</xdr:rowOff>
                  </to>
                </anchor>
              </controlPr>
            </control>
          </mc:Choice>
        </mc:AlternateContent>
        <mc:AlternateContent xmlns:mc="http://schemas.openxmlformats.org/markup-compatibility/2006">
          <mc:Choice Requires="x14">
            <control shapeId="13146280" r:id="rId110" name="Check Box 1192">
              <controlPr defaultSize="0" autoFill="0" autoLine="0" autoPict="0">
                <anchor moveWithCells="1">
                  <from>
                    <xdr:col>9</xdr:col>
                    <xdr:colOff>0</xdr:colOff>
                    <xdr:row>204</xdr:row>
                    <xdr:rowOff>0</xdr:rowOff>
                  </from>
                  <to>
                    <xdr:col>9</xdr:col>
                    <xdr:colOff>295275</xdr:colOff>
                    <xdr:row>205</xdr:row>
                    <xdr:rowOff>47625</xdr:rowOff>
                  </to>
                </anchor>
              </controlPr>
            </control>
          </mc:Choice>
        </mc:AlternateContent>
        <mc:AlternateContent xmlns:mc="http://schemas.openxmlformats.org/markup-compatibility/2006">
          <mc:Choice Requires="x14">
            <control shapeId="13146281" r:id="rId111" name="Check Box 1193">
              <controlPr defaultSize="0" autoFill="0" autoLine="0" autoPict="0">
                <anchor moveWithCells="1">
                  <from>
                    <xdr:col>4</xdr:col>
                    <xdr:colOff>0</xdr:colOff>
                    <xdr:row>204</xdr:row>
                    <xdr:rowOff>0</xdr:rowOff>
                  </from>
                  <to>
                    <xdr:col>4</xdr:col>
                    <xdr:colOff>295275</xdr:colOff>
                    <xdr:row>205</xdr:row>
                    <xdr:rowOff>47625</xdr:rowOff>
                  </to>
                </anchor>
              </controlPr>
            </control>
          </mc:Choice>
        </mc:AlternateContent>
        <mc:AlternateContent xmlns:mc="http://schemas.openxmlformats.org/markup-compatibility/2006">
          <mc:Choice Requires="x14">
            <control shapeId="13146282" r:id="rId112" name="Check Box 1194">
              <controlPr defaultSize="0" autoFill="0" autoLine="0" autoPict="0">
                <anchor moveWithCells="1">
                  <from>
                    <xdr:col>9</xdr:col>
                    <xdr:colOff>0</xdr:colOff>
                    <xdr:row>203</xdr:row>
                    <xdr:rowOff>0</xdr:rowOff>
                  </from>
                  <to>
                    <xdr:col>9</xdr:col>
                    <xdr:colOff>295275</xdr:colOff>
                    <xdr:row>204</xdr:row>
                    <xdr:rowOff>47625</xdr:rowOff>
                  </to>
                </anchor>
              </controlPr>
            </control>
          </mc:Choice>
        </mc:AlternateContent>
        <mc:AlternateContent xmlns:mc="http://schemas.openxmlformats.org/markup-compatibility/2006">
          <mc:Choice Requires="x14">
            <control shapeId="13146283" r:id="rId113" name="Check Box 1195">
              <controlPr defaultSize="0" autoFill="0" autoLine="0" autoPict="0">
                <anchor moveWithCells="1">
                  <from>
                    <xdr:col>4</xdr:col>
                    <xdr:colOff>0</xdr:colOff>
                    <xdr:row>203</xdr:row>
                    <xdr:rowOff>0</xdr:rowOff>
                  </from>
                  <to>
                    <xdr:col>4</xdr:col>
                    <xdr:colOff>295275</xdr:colOff>
                    <xdr:row>204</xdr:row>
                    <xdr:rowOff>47625</xdr:rowOff>
                  </to>
                </anchor>
              </controlPr>
            </control>
          </mc:Choice>
        </mc:AlternateContent>
        <mc:AlternateContent xmlns:mc="http://schemas.openxmlformats.org/markup-compatibility/2006">
          <mc:Choice Requires="x14">
            <control shapeId="13146292" r:id="rId114" name="Check Box 1204">
              <controlPr defaultSize="0" autoFill="0" autoLine="0" autoPict="0">
                <anchor moveWithCells="1">
                  <from>
                    <xdr:col>9</xdr:col>
                    <xdr:colOff>0</xdr:colOff>
                    <xdr:row>202</xdr:row>
                    <xdr:rowOff>0</xdr:rowOff>
                  </from>
                  <to>
                    <xdr:col>9</xdr:col>
                    <xdr:colOff>295275</xdr:colOff>
                    <xdr:row>203</xdr:row>
                    <xdr:rowOff>47625</xdr:rowOff>
                  </to>
                </anchor>
              </controlPr>
            </control>
          </mc:Choice>
        </mc:AlternateContent>
        <mc:AlternateContent xmlns:mc="http://schemas.openxmlformats.org/markup-compatibility/2006">
          <mc:Choice Requires="x14">
            <control shapeId="13146293" r:id="rId115" name="Check Box 1205">
              <controlPr defaultSize="0" autoFill="0" autoLine="0" autoPict="0">
                <anchor moveWithCells="1">
                  <from>
                    <xdr:col>4</xdr:col>
                    <xdr:colOff>0</xdr:colOff>
                    <xdr:row>202</xdr:row>
                    <xdr:rowOff>0</xdr:rowOff>
                  </from>
                  <to>
                    <xdr:col>4</xdr:col>
                    <xdr:colOff>295275</xdr:colOff>
                    <xdr:row>203</xdr:row>
                    <xdr:rowOff>47625</xdr:rowOff>
                  </to>
                </anchor>
              </controlPr>
            </control>
          </mc:Choice>
        </mc:AlternateContent>
        <mc:AlternateContent xmlns:mc="http://schemas.openxmlformats.org/markup-compatibility/2006">
          <mc:Choice Requires="x14">
            <control shapeId="13146300" r:id="rId116" name="Check Box 1212">
              <controlPr defaultSize="0" autoFill="0" autoLine="0" autoPict="0">
                <anchor moveWithCells="1">
                  <from>
                    <xdr:col>9</xdr:col>
                    <xdr:colOff>0</xdr:colOff>
                    <xdr:row>201</xdr:row>
                    <xdr:rowOff>0</xdr:rowOff>
                  </from>
                  <to>
                    <xdr:col>9</xdr:col>
                    <xdr:colOff>295275</xdr:colOff>
                    <xdr:row>202</xdr:row>
                    <xdr:rowOff>47625</xdr:rowOff>
                  </to>
                </anchor>
              </controlPr>
            </control>
          </mc:Choice>
        </mc:AlternateContent>
        <mc:AlternateContent xmlns:mc="http://schemas.openxmlformats.org/markup-compatibility/2006">
          <mc:Choice Requires="x14">
            <control shapeId="13146301" r:id="rId117" name="Check Box 1213">
              <controlPr defaultSize="0" autoFill="0" autoLine="0" autoPict="0">
                <anchor moveWithCells="1">
                  <from>
                    <xdr:col>4</xdr:col>
                    <xdr:colOff>0</xdr:colOff>
                    <xdr:row>201</xdr:row>
                    <xdr:rowOff>0</xdr:rowOff>
                  </from>
                  <to>
                    <xdr:col>4</xdr:col>
                    <xdr:colOff>295275</xdr:colOff>
                    <xdr:row>202</xdr:row>
                    <xdr:rowOff>47625</xdr:rowOff>
                  </to>
                </anchor>
              </controlPr>
            </control>
          </mc:Choice>
        </mc:AlternateContent>
        <mc:AlternateContent xmlns:mc="http://schemas.openxmlformats.org/markup-compatibility/2006">
          <mc:Choice Requires="x14">
            <control shapeId="13146310" r:id="rId118" name="Check Box 1222">
              <controlPr defaultSize="0" autoFill="0" autoLine="0" autoPict="0">
                <anchor moveWithCells="1">
                  <from>
                    <xdr:col>9</xdr:col>
                    <xdr:colOff>0</xdr:colOff>
                    <xdr:row>200</xdr:row>
                    <xdr:rowOff>0</xdr:rowOff>
                  </from>
                  <to>
                    <xdr:col>9</xdr:col>
                    <xdr:colOff>295275</xdr:colOff>
                    <xdr:row>201</xdr:row>
                    <xdr:rowOff>47625</xdr:rowOff>
                  </to>
                </anchor>
              </controlPr>
            </control>
          </mc:Choice>
        </mc:AlternateContent>
        <mc:AlternateContent xmlns:mc="http://schemas.openxmlformats.org/markup-compatibility/2006">
          <mc:Choice Requires="x14">
            <control shapeId="13146311" r:id="rId119" name="Check Box 1223">
              <controlPr defaultSize="0" autoFill="0" autoLine="0" autoPict="0">
                <anchor moveWithCells="1">
                  <from>
                    <xdr:col>4</xdr:col>
                    <xdr:colOff>0</xdr:colOff>
                    <xdr:row>200</xdr:row>
                    <xdr:rowOff>0</xdr:rowOff>
                  </from>
                  <to>
                    <xdr:col>4</xdr:col>
                    <xdr:colOff>295275</xdr:colOff>
                    <xdr:row>201</xdr:row>
                    <xdr:rowOff>47625</xdr:rowOff>
                  </to>
                </anchor>
              </controlPr>
            </control>
          </mc:Choice>
        </mc:AlternateContent>
        <mc:AlternateContent xmlns:mc="http://schemas.openxmlformats.org/markup-compatibility/2006">
          <mc:Choice Requires="x14">
            <control shapeId="13146312" r:id="rId120" name="Check Box 1224">
              <controlPr defaultSize="0" autoFill="0" autoLine="0" autoPict="0">
                <anchor moveWithCells="1">
                  <from>
                    <xdr:col>9</xdr:col>
                    <xdr:colOff>0</xdr:colOff>
                    <xdr:row>199</xdr:row>
                    <xdr:rowOff>0</xdr:rowOff>
                  </from>
                  <to>
                    <xdr:col>9</xdr:col>
                    <xdr:colOff>295275</xdr:colOff>
                    <xdr:row>200</xdr:row>
                    <xdr:rowOff>47625</xdr:rowOff>
                  </to>
                </anchor>
              </controlPr>
            </control>
          </mc:Choice>
        </mc:AlternateContent>
        <mc:AlternateContent xmlns:mc="http://schemas.openxmlformats.org/markup-compatibility/2006">
          <mc:Choice Requires="x14">
            <control shapeId="13146313" r:id="rId121" name="Check Box 1225">
              <controlPr defaultSize="0" autoFill="0" autoLine="0" autoPict="0">
                <anchor moveWithCells="1">
                  <from>
                    <xdr:col>4</xdr:col>
                    <xdr:colOff>0</xdr:colOff>
                    <xdr:row>199</xdr:row>
                    <xdr:rowOff>0</xdr:rowOff>
                  </from>
                  <to>
                    <xdr:col>4</xdr:col>
                    <xdr:colOff>295275</xdr:colOff>
                    <xdr:row>200</xdr:row>
                    <xdr:rowOff>47625</xdr:rowOff>
                  </to>
                </anchor>
              </controlPr>
            </control>
          </mc:Choice>
        </mc:AlternateContent>
        <mc:AlternateContent xmlns:mc="http://schemas.openxmlformats.org/markup-compatibility/2006">
          <mc:Choice Requires="x14">
            <control shapeId="13146328" r:id="rId122" name="Check Box 1240">
              <controlPr defaultSize="0" autoFill="0" autoLine="0" autoPict="0">
                <anchor moveWithCells="1">
                  <from>
                    <xdr:col>9</xdr:col>
                    <xdr:colOff>0</xdr:colOff>
                    <xdr:row>198</xdr:row>
                    <xdr:rowOff>0</xdr:rowOff>
                  </from>
                  <to>
                    <xdr:col>9</xdr:col>
                    <xdr:colOff>295275</xdr:colOff>
                    <xdr:row>199</xdr:row>
                    <xdr:rowOff>47625</xdr:rowOff>
                  </to>
                </anchor>
              </controlPr>
            </control>
          </mc:Choice>
        </mc:AlternateContent>
        <mc:AlternateContent xmlns:mc="http://schemas.openxmlformats.org/markup-compatibility/2006">
          <mc:Choice Requires="x14">
            <control shapeId="13146329" r:id="rId123" name="Check Box 1241">
              <controlPr defaultSize="0" autoFill="0" autoLine="0" autoPict="0">
                <anchor moveWithCells="1">
                  <from>
                    <xdr:col>4</xdr:col>
                    <xdr:colOff>0</xdr:colOff>
                    <xdr:row>198</xdr:row>
                    <xdr:rowOff>0</xdr:rowOff>
                  </from>
                  <to>
                    <xdr:col>4</xdr:col>
                    <xdr:colOff>295275</xdr:colOff>
                    <xdr:row>199</xdr:row>
                    <xdr:rowOff>47625</xdr:rowOff>
                  </to>
                </anchor>
              </controlPr>
            </control>
          </mc:Choice>
        </mc:AlternateContent>
        <mc:AlternateContent xmlns:mc="http://schemas.openxmlformats.org/markup-compatibility/2006">
          <mc:Choice Requires="x14">
            <control shapeId="13146336" r:id="rId124" name="Check Box 1248">
              <controlPr defaultSize="0" autoFill="0" autoLine="0" autoPict="0">
                <anchor moveWithCells="1">
                  <from>
                    <xdr:col>9</xdr:col>
                    <xdr:colOff>0</xdr:colOff>
                    <xdr:row>197</xdr:row>
                    <xdr:rowOff>0</xdr:rowOff>
                  </from>
                  <to>
                    <xdr:col>9</xdr:col>
                    <xdr:colOff>295275</xdr:colOff>
                    <xdr:row>198</xdr:row>
                    <xdr:rowOff>47625</xdr:rowOff>
                  </to>
                </anchor>
              </controlPr>
            </control>
          </mc:Choice>
        </mc:AlternateContent>
        <mc:AlternateContent xmlns:mc="http://schemas.openxmlformats.org/markup-compatibility/2006">
          <mc:Choice Requires="x14">
            <control shapeId="13146337" r:id="rId125" name="Check Box 1249">
              <controlPr defaultSize="0" autoFill="0" autoLine="0" autoPict="0">
                <anchor moveWithCells="1">
                  <from>
                    <xdr:col>4</xdr:col>
                    <xdr:colOff>0</xdr:colOff>
                    <xdr:row>197</xdr:row>
                    <xdr:rowOff>0</xdr:rowOff>
                  </from>
                  <to>
                    <xdr:col>4</xdr:col>
                    <xdr:colOff>295275</xdr:colOff>
                    <xdr:row>198</xdr:row>
                    <xdr:rowOff>47625</xdr:rowOff>
                  </to>
                </anchor>
              </controlPr>
            </control>
          </mc:Choice>
        </mc:AlternateContent>
        <mc:AlternateContent xmlns:mc="http://schemas.openxmlformats.org/markup-compatibility/2006">
          <mc:Choice Requires="x14">
            <control shapeId="13146346" r:id="rId126" name="Check Box 1258">
              <controlPr defaultSize="0" autoFill="0" autoLine="0" autoPict="0">
                <anchor moveWithCells="1">
                  <from>
                    <xdr:col>9</xdr:col>
                    <xdr:colOff>0</xdr:colOff>
                    <xdr:row>196</xdr:row>
                    <xdr:rowOff>0</xdr:rowOff>
                  </from>
                  <to>
                    <xdr:col>9</xdr:col>
                    <xdr:colOff>295275</xdr:colOff>
                    <xdr:row>197</xdr:row>
                    <xdr:rowOff>47625</xdr:rowOff>
                  </to>
                </anchor>
              </controlPr>
            </control>
          </mc:Choice>
        </mc:AlternateContent>
        <mc:AlternateContent xmlns:mc="http://schemas.openxmlformats.org/markup-compatibility/2006">
          <mc:Choice Requires="x14">
            <control shapeId="13146347" r:id="rId127" name="Check Box 1259">
              <controlPr defaultSize="0" autoFill="0" autoLine="0" autoPict="0">
                <anchor moveWithCells="1">
                  <from>
                    <xdr:col>4</xdr:col>
                    <xdr:colOff>0</xdr:colOff>
                    <xdr:row>196</xdr:row>
                    <xdr:rowOff>0</xdr:rowOff>
                  </from>
                  <to>
                    <xdr:col>4</xdr:col>
                    <xdr:colOff>295275</xdr:colOff>
                    <xdr:row>197</xdr:row>
                    <xdr:rowOff>47625</xdr:rowOff>
                  </to>
                </anchor>
              </controlPr>
            </control>
          </mc:Choice>
        </mc:AlternateContent>
        <mc:AlternateContent xmlns:mc="http://schemas.openxmlformats.org/markup-compatibility/2006">
          <mc:Choice Requires="x14">
            <control shapeId="13146352" r:id="rId128" name="Check Box 1264">
              <controlPr defaultSize="0" autoFill="0" autoLine="0" autoPict="0">
                <anchor moveWithCells="1">
                  <from>
                    <xdr:col>9</xdr:col>
                    <xdr:colOff>0</xdr:colOff>
                    <xdr:row>196</xdr:row>
                    <xdr:rowOff>0</xdr:rowOff>
                  </from>
                  <to>
                    <xdr:col>9</xdr:col>
                    <xdr:colOff>295275</xdr:colOff>
                    <xdr:row>197</xdr:row>
                    <xdr:rowOff>47625</xdr:rowOff>
                  </to>
                </anchor>
              </controlPr>
            </control>
          </mc:Choice>
        </mc:AlternateContent>
        <mc:AlternateContent xmlns:mc="http://schemas.openxmlformats.org/markup-compatibility/2006">
          <mc:Choice Requires="x14">
            <control shapeId="13146354" r:id="rId129" name="Check Box 1266">
              <controlPr defaultSize="0" autoFill="0" autoLine="0" autoPict="0">
                <anchor moveWithCells="1">
                  <from>
                    <xdr:col>9</xdr:col>
                    <xdr:colOff>0</xdr:colOff>
                    <xdr:row>195</xdr:row>
                    <xdr:rowOff>0</xdr:rowOff>
                  </from>
                  <to>
                    <xdr:col>9</xdr:col>
                    <xdr:colOff>295275</xdr:colOff>
                    <xdr:row>196</xdr:row>
                    <xdr:rowOff>66675</xdr:rowOff>
                  </to>
                </anchor>
              </controlPr>
            </control>
          </mc:Choice>
        </mc:AlternateContent>
        <mc:AlternateContent xmlns:mc="http://schemas.openxmlformats.org/markup-compatibility/2006">
          <mc:Choice Requires="x14">
            <control shapeId="13146355" r:id="rId130" name="Check Box 1267">
              <controlPr defaultSize="0" autoFill="0" autoLine="0" autoPict="0">
                <anchor moveWithCells="1">
                  <from>
                    <xdr:col>4</xdr:col>
                    <xdr:colOff>0</xdr:colOff>
                    <xdr:row>195</xdr:row>
                    <xdr:rowOff>0</xdr:rowOff>
                  </from>
                  <to>
                    <xdr:col>4</xdr:col>
                    <xdr:colOff>295275</xdr:colOff>
                    <xdr:row>196</xdr:row>
                    <xdr:rowOff>66675</xdr:rowOff>
                  </to>
                </anchor>
              </controlPr>
            </control>
          </mc:Choice>
        </mc:AlternateContent>
        <mc:AlternateContent xmlns:mc="http://schemas.openxmlformats.org/markup-compatibility/2006">
          <mc:Choice Requires="x14">
            <control shapeId="13146366" r:id="rId131" name="Check Box 1278">
              <controlPr defaultSize="0" autoFill="0" autoLine="0" autoPict="0">
                <anchor moveWithCells="1">
                  <from>
                    <xdr:col>9</xdr:col>
                    <xdr:colOff>0</xdr:colOff>
                    <xdr:row>194</xdr:row>
                    <xdr:rowOff>0</xdr:rowOff>
                  </from>
                  <to>
                    <xdr:col>9</xdr:col>
                    <xdr:colOff>295275</xdr:colOff>
                    <xdr:row>195</xdr:row>
                    <xdr:rowOff>66675</xdr:rowOff>
                  </to>
                </anchor>
              </controlPr>
            </control>
          </mc:Choice>
        </mc:AlternateContent>
        <mc:AlternateContent xmlns:mc="http://schemas.openxmlformats.org/markup-compatibility/2006">
          <mc:Choice Requires="x14">
            <control shapeId="13146367" r:id="rId132" name="Check Box 1279">
              <controlPr defaultSize="0" autoFill="0" autoLine="0" autoPict="0">
                <anchor moveWithCells="1">
                  <from>
                    <xdr:col>4</xdr:col>
                    <xdr:colOff>0</xdr:colOff>
                    <xdr:row>194</xdr:row>
                    <xdr:rowOff>0</xdr:rowOff>
                  </from>
                  <to>
                    <xdr:col>4</xdr:col>
                    <xdr:colOff>295275</xdr:colOff>
                    <xdr:row>195</xdr:row>
                    <xdr:rowOff>66675</xdr:rowOff>
                  </to>
                </anchor>
              </controlPr>
            </control>
          </mc:Choice>
        </mc:AlternateContent>
        <mc:AlternateContent xmlns:mc="http://schemas.openxmlformats.org/markup-compatibility/2006">
          <mc:Choice Requires="x14">
            <control shapeId="13146370" r:id="rId133" name="Check Box 1282">
              <controlPr defaultSize="0" autoFill="0" autoLine="0" autoPict="0">
                <anchor moveWithCells="1">
                  <from>
                    <xdr:col>9</xdr:col>
                    <xdr:colOff>0</xdr:colOff>
                    <xdr:row>193</xdr:row>
                    <xdr:rowOff>0</xdr:rowOff>
                  </from>
                  <to>
                    <xdr:col>9</xdr:col>
                    <xdr:colOff>295275</xdr:colOff>
                    <xdr:row>194</xdr:row>
                    <xdr:rowOff>47625</xdr:rowOff>
                  </to>
                </anchor>
              </controlPr>
            </control>
          </mc:Choice>
        </mc:AlternateContent>
        <mc:AlternateContent xmlns:mc="http://schemas.openxmlformats.org/markup-compatibility/2006">
          <mc:Choice Requires="x14">
            <control shapeId="13146371" r:id="rId134" name="Check Box 1283">
              <controlPr defaultSize="0" autoFill="0" autoLine="0" autoPict="0">
                <anchor moveWithCells="1">
                  <from>
                    <xdr:col>4</xdr:col>
                    <xdr:colOff>0</xdr:colOff>
                    <xdr:row>193</xdr:row>
                    <xdr:rowOff>0</xdr:rowOff>
                  </from>
                  <to>
                    <xdr:col>4</xdr:col>
                    <xdr:colOff>295275</xdr:colOff>
                    <xdr:row>194</xdr:row>
                    <xdr:rowOff>47625</xdr:rowOff>
                  </to>
                </anchor>
              </controlPr>
            </control>
          </mc:Choice>
        </mc:AlternateContent>
        <mc:AlternateContent xmlns:mc="http://schemas.openxmlformats.org/markup-compatibility/2006">
          <mc:Choice Requires="x14">
            <control shapeId="13146372" r:id="rId135" name="Check Box 1284">
              <controlPr defaultSize="0" autoFill="0" autoLine="0" autoPict="0">
                <anchor moveWithCells="1">
                  <from>
                    <xdr:col>9</xdr:col>
                    <xdr:colOff>0</xdr:colOff>
                    <xdr:row>193</xdr:row>
                    <xdr:rowOff>0</xdr:rowOff>
                  </from>
                  <to>
                    <xdr:col>9</xdr:col>
                    <xdr:colOff>295275</xdr:colOff>
                    <xdr:row>194</xdr:row>
                    <xdr:rowOff>47625</xdr:rowOff>
                  </to>
                </anchor>
              </controlPr>
            </control>
          </mc:Choice>
        </mc:AlternateContent>
        <mc:AlternateContent xmlns:mc="http://schemas.openxmlformats.org/markup-compatibility/2006">
          <mc:Choice Requires="x14">
            <control shapeId="13146382" r:id="rId136" name="Check Box 1294">
              <controlPr defaultSize="0" autoFill="0" autoLine="0" autoPict="0">
                <anchor moveWithCells="1">
                  <from>
                    <xdr:col>9</xdr:col>
                    <xdr:colOff>0</xdr:colOff>
                    <xdr:row>192</xdr:row>
                    <xdr:rowOff>0</xdr:rowOff>
                  </from>
                  <to>
                    <xdr:col>9</xdr:col>
                    <xdr:colOff>295275</xdr:colOff>
                    <xdr:row>193</xdr:row>
                    <xdr:rowOff>47625</xdr:rowOff>
                  </to>
                </anchor>
              </controlPr>
            </control>
          </mc:Choice>
        </mc:AlternateContent>
        <mc:AlternateContent xmlns:mc="http://schemas.openxmlformats.org/markup-compatibility/2006">
          <mc:Choice Requires="x14">
            <control shapeId="13146383" r:id="rId137" name="Check Box 1295">
              <controlPr defaultSize="0" autoFill="0" autoLine="0" autoPict="0">
                <anchor moveWithCells="1">
                  <from>
                    <xdr:col>4</xdr:col>
                    <xdr:colOff>0</xdr:colOff>
                    <xdr:row>192</xdr:row>
                    <xdr:rowOff>0</xdr:rowOff>
                  </from>
                  <to>
                    <xdr:col>4</xdr:col>
                    <xdr:colOff>295275</xdr:colOff>
                    <xdr:row>193</xdr:row>
                    <xdr:rowOff>47625</xdr:rowOff>
                  </to>
                </anchor>
              </controlPr>
            </control>
          </mc:Choice>
        </mc:AlternateContent>
        <mc:AlternateContent xmlns:mc="http://schemas.openxmlformats.org/markup-compatibility/2006">
          <mc:Choice Requires="x14">
            <control shapeId="13146388" r:id="rId138" name="Check Box 1300">
              <controlPr defaultSize="0" autoFill="0" autoLine="0" autoPict="0">
                <anchor moveWithCells="1">
                  <from>
                    <xdr:col>9</xdr:col>
                    <xdr:colOff>0</xdr:colOff>
                    <xdr:row>191</xdr:row>
                    <xdr:rowOff>0</xdr:rowOff>
                  </from>
                  <to>
                    <xdr:col>9</xdr:col>
                    <xdr:colOff>295275</xdr:colOff>
                    <xdr:row>192</xdr:row>
                    <xdr:rowOff>47625</xdr:rowOff>
                  </to>
                </anchor>
              </controlPr>
            </control>
          </mc:Choice>
        </mc:AlternateContent>
        <mc:AlternateContent xmlns:mc="http://schemas.openxmlformats.org/markup-compatibility/2006">
          <mc:Choice Requires="x14">
            <control shapeId="13146389" r:id="rId139" name="Check Box 1301">
              <controlPr defaultSize="0" autoFill="0" autoLine="0" autoPict="0">
                <anchor moveWithCells="1">
                  <from>
                    <xdr:col>4</xdr:col>
                    <xdr:colOff>0</xdr:colOff>
                    <xdr:row>191</xdr:row>
                    <xdr:rowOff>0</xdr:rowOff>
                  </from>
                  <to>
                    <xdr:col>4</xdr:col>
                    <xdr:colOff>295275</xdr:colOff>
                    <xdr:row>192</xdr:row>
                    <xdr:rowOff>47625</xdr:rowOff>
                  </to>
                </anchor>
              </controlPr>
            </control>
          </mc:Choice>
        </mc:AlternateContent>
        <mc:AlternateContent xmlns:mc="http://schemas.openxmlformats.org/markup-compatibility/2006">
          <mc:Choice Requires="x14">
            <control shapeId="13146390" r:id="rId140" name="Check Box 1302">
              <controlPr defaultSize="0" autoFill="0" autoLine="0" autoPict="0">
                <anchor moveWithCells="1">
                  <from>
                    <xdr:col>9</xdr:col>
                    <xdr:colOff>0</xdr:colOff>
                    <xdr:row>190</xdr:row>
                    <xdr:rowOff>0</xdr:rowOff>
                  </from>
                  <to>
                    <xdr:col>9</xdr:col>
                    <xdr:colOff>295275</xdr:colOff>
                    <xdr:row>191</xdr:row>
                    <xdr:rowOff>47625</xdr:rowOff>
                  </to>
                </anchor>
              </controlPr>
            </control>
          </mc:Choice>
        </mc:AlternateContent>
        <mc:AlternateContent xmlns:mc="http://schemas.openxmlformats.org/markup-compatibility/2006">
          <mc:Choice Requires="x14">
            <control shapeId="13146391" r:id="rId141" name="Check Box 1303">
              <controlPr defaultSize="0" autoFill="0" autoLine="0" autoPict="0">
                <anchor moveWithCells="1">
                  <from>
                    <xdr:col>4</xdr:col>
                    <xdr:colOff>0</xdr:colOff>
                    <xdr:row>190</xdr:row>
                    <xdr:rowOff>0</xdr:rowOff>
                  </from>
                  <to>
                    <xdr:col>4</xdr:col>
                    <xdr:colOff>295275</xdr:colOff>
                    <xdr:row>191</xdr:row>
                    <xdr:rowOff>47625</xdr:rowOff>
                  </to>
                </anchor>
              </controlPr>
            </control>
          </mc:Choice>
        </mc:AlternateContent>
        <mc:AlternateContent xmlns:mc="http://schemas.openxmlformats.org/markup-compatibility/2006">
          <mc:Choice Requires="x14">
            <control shapeId="13146398" r:id="rId142" name="Check Box 1310">
              <controlPr defaultSize="0" autoFill="0" autoLine="0" autoPict="0">
                <anchor moveWithCells="1">
                  <from>
                    <xdr:col>9</xdr:col>
                    <xdr:colOff>0</xdr:colOff>
                    <xdr:row>189</xdr:row>
                    <xdr:rowOff>0</xdr:rowOff>
                  </from>
                  <to>
                    <xdr:col>9</xdr:col>
                    <xdr:colOff>295275</xdr:colOff>
                    <xdr:row>190</xdr:row>
                    <xdr:rowOff>47625</xdr:rowOff>
                  </to>
                </anchor>
              </controlPr>
            </control>
          </mc:Choice>
        </mc:AlternateContent>
        <mc:AlternateContent xmlns:mc="http://schemas.openxmlformats.org/markup-compatibility/2006">
          <mc:Choice Requires="x14">
            <control shapeId="13146399" r:id="rId143" name="Check Box 1311">
              <controlPr defaultSize="0" autoFill="0" autoLine="0" autoPict="0">
                <anchor moveWithCells="1">
                  <from>
                    <xdr:col>4</xdr:col>
                    <xdr:colOff>0</xdr:colOff>
                    <xdr:row>189</xdr:row>
                    <xdr:rowOff>0</xdr:rowOff>
                  </from>
                  <to>
                    <xdr:col>4</xdr:col>
                    <xdr:colOff>295275</xdr:colOff>
                    <xdr:row>190</xdr:row>
                    <xdr:rowOff>47625</xdr:rowOff>
                  </to>
                </anchor>
              </controlPr>
            </control>
          </mc:Choice>
        </mc:AlternateContent>
        <mc:AlternateContent xmlns:mc="http://schemas.openxmlformats.org/markup-compatibility/2006">
          <mc:Choice Requires="x14">
            <control shapeId="13146412" r:id="rId144" name="Check Box 1324">
              <controlPr defaultSize="0" autoFill="0" autoLine="0" autoPict="0">
                <anchor moveWithCells="1">
                  <from>
                    <xdr:col>9</xdr:col>
                    <xdr:colOff>0</xdr:colOff>
                    <xdr:row>188</xdr:row>
                    <xdr:rowOff>0</xdr:rowOff>
                  </from>
                  <to>
                    <xdr:col>9</xdr:col>
                    <xdr:colOff>295275</xdr:colOff>
                    <xdr:row>189</xdr:row>
                    <xdr:rowOff>47625</xdr:rowOff>
                  </to>
                </anchor>
              </controlPr>
            </control>
          </mc:Choice>
        </mc:AlternateContent>
        <mc:AlternateContent xmlns:mc="http://schemas.openxmlformats.org/markup-compatibility/2006">
          <mc:Choice Requires="x14">
            <control shapeId="13146413" r:id="rId145" name="Check Box 1325">
              <controlPr defaultSize="0" autoFill="0" autoLine="0" autoPict="0">
                <anchor moveWithCells="1">
                  <from>
                    <xdr:col>4</xdr:col>
                    <xdr:colOff>0</xdr:colOff>
                    <xdr:row>188</xdr:row>
                    <xdr:rowOff>0</xdr:rowOff>
                  </from>
                  <to>
                    <xdr:col>4</xdr:col>
                    <xdr:colOff>295275</xdr:colOff>
                    <xdr:row>189</xdr:row>
                    <xdr:rowOff>47625</xdr:rowOff>
                  </to>
                </anchor>
              </controlPr>
            </control>
          </mc:Choice>
        </mc:AlternateContent>
        <mc:AlternateContent xmlns:mc="http://schemas.openxmlformats.org/markup-compatibility/2006">
          <mc:Choice Requires="x14">
            <control shapeId="13146414" r:id="rId146" name="Check Box 1326">
              <controlPr defaultSize="0" autoFill="0" autoLine="0" autoPict="0">
                <anchor moveWithCells="1">
                  <from>
                    <xdr:col>9</xdr:col>
                    <xdr:colOff>0</xdr:colOff>
                    <xdr:row>187</xdr:row>
                    <xdr:rowOff>0</xdr:rowOff>
                  </from>
                  <to>
                    <xdr:col>9</xdr:col>
                    <xdr:colOff>295275</xdr:colOff>
                    <xdr:row>188</xdr:row>
                    <xdr:rowOff>47625</xdr:rowOff>
                  </to>
                </anchor>
              </controlPr>
            </control>
          </mc:Choice>
        </mc:AlternateContent>
        <mc:AlternateContent xmlns:mc="http://schemas.openxmlformats.org/markup-compatibility/2006">
          <mc:Choice Requires="x14">
            <control shapeId="13146415" r:id="rId147" name="Check Box 1327">
              <controlPr defaultSize="0" autoFill="0" autoLine="0" autoPict="0">
                <anchor moveWithCells="1">
                  <from>
                    <xdr:col>4</xdr:col>
                    <xdr:colOff>0</xdr:colOff>
                    <xdr:row>187</xdr:row>
                    <xdr:rowOff>0</xdr:rowOff>
                  </from>
                  <to>
                    <xdr:col>4</xdr:col>
                    <xdr:colOff>295275</xdr:colOff>
                    <xdr:row>188</xdr:row>
                    <xdr:rowOff>47625</xdr:rowOff>
                  </to>
                </anchor>
              </controlPr>
            </control>
          </mc:Choice>
        </mc:AlternateContent>
        <mc:AlternateContent xmlns:mc="http://schemas.openxmlformats.org/markup-compatibility/2006">
          <mc:Choice Requires="x14">
            <control shapeId="13146434" r:id="rId148" name="Check Box 1346">
              <controlPr defaultSize="0" autoFill="0" autoLine="0" autoPict="0">
                <anchor moveWithCells="1">
                  <from>
                    <xdr:col>9</xdr:col>
                    <xdr:colOff>0</xdr:colOff>
                    <xdr:row>186</xdr:row>
                    <xdr:rowOff>0</xdr:rowOff>
                  </from>
                  <to>
                    <xdr:col>9</xdr:col>
                    <xdr:colOff>295275</xdr:colOff>
                    <xdr:row>187</xdr:row>
                    <xdr:rowOff>85725</xdr:rowOff>
                  </to>
                </anchor>
              </controlPr>
            </control>
          </mc:Choice>
        </mc:AlternateContent>
        <mc:AlternateContent xmlns:mc="http://schemas.openxmlformats.org/markup-compatibility/2006">
          <mc:Choice Requires="x14">
            <control shapeId="13146435" r:id="rId149" name="Check Box 1347">
              <controlPr defaultSize="0" autoFill="0" autoLine="0" autoPict="0">
                <anchor moveWithCells="1">
                  <from>
                    <xdr:col>4</xdr:col>
                    <xdr:colOff>0</xdr:colOff>
                    <xdr:row>186</xdr:row>
                    <xdr:rowOff>0</xdr:rowOff>
                  </from>
                  <to>
                    <xdr:col>4</xdr:col>
                    <xdr:colOff>295275</xdr:colOff>
                    <xdr:row>187</xdr:row>
                    <xdr:rowOff>85725</xdr:rowOff>
                  </to>
                </anchor>
              </controlPr>
            </control>
          </mc:Choice>
        </mc:AlternateContent>
        <mc:AlternateContent xmlns:mc="http://schemas.openxmlformats.org/markup-compatibility/2006">
          <mc:Choice Requires="x14">
            <control shapeId="13146442" r:id="rId150" name="Check Box 1354">
              <controlPr defaultSize="0" autoFill="0" autoLine="0" autoPict="0">
                <anchor moveWithCells="1">
                  <from>
                    <xdr:col>9</xdr:col>
                    <xdr:colOff>0</xdr:colOff>
                    <xdr:row>185</xdr:row>
                    <xdr:rowOff>0</xdr:rowOff>
                  </from>
                  <to>
                    <xdr:col>9</xdr:col>
                    <xdr:colOff>295275</xdr:colOff>
                    <xdr:row>186</xdr:row>
                    <xdr:rowOff>47625</xdr:rowOff>
                  </to>
                </anchor>
              </controlPr>
            </control>
          </mc:Choice>
        </mc:AlternateContent>
        <mc:AlternateContent xmlns:mc="http://schemas.openxmlformats.org/markup-compatibility/2006">
          <mc:Choice Requires="x14">
            <control shapeId="13146443" r:id="rId151" name="Check Box 1355">
              <controlPr defaultSize="0" autoFill="0" autoLine="0" autoPict="0">
                <anchor moveWithCells="1">
                  <from>
                    <xdr:col>4</xdr:col>
                    <xdr:colOff>0</xdr:colOff>
                    <xdr:row>185</xdr:row>
                    <xdr:rowOff>0</xdr:rowOff>
                  </from>
                  <to>
                    <xdr:col>4</xdr:col>
                    <xdr:colOff>295275</xdr:colOff>
                    <xdr:row>186</xdr:row>
                    <xdr:rowOff>47625</xdr:rowOff>
                  </to>
                </anchor>
              </controlPr>
            </control>
          </mc:Choice>
        </mc:AlternateContent>
        <mc:AlternateContent xmlns:mc="http://schemas.openxmlformats.org/markup-compatibility/2006">
          <mc:Choice Requires="x14">
            <control shapeId="13146446" r:id="rId152" name="Check Box 1358">
              <controlPr defaultSize="0" autoFill="0" autoLine="0" autoPict="0">
                <anchor moveWithCells="1">
                  <from>
                    <xdr:col>9</xdr:col>
                    <xdr:colOff>0</xdr:colOff>
                    <xdr:row>184</xdr:row>
                    <xdr:rowOff>0</xdr:rowOff>
                  </from>
                  <to>
                    <xdr:col>9</xdr:col>
                    <xdr:colOff>295275</xdr:colOff>
                    <xdr:row>185</xdr:row>
                    <xdr:rowOff>47625</xdr:rowOff>
                  </to>
                </anchor>
              </controlPr>
            </control>
          </mc:Choice>
        </mc:AlternateContent>
        <mc:AlternateContent xmlns:mc="http://schemas.openxmlformats.org/markup-compatibility/2006">
          <mc:Choice Requires="x14">
            <control shapeId="13146447" r:id="rId153" name="Check Box 1359">
              <controlPr defaultSize="0" autoFill="0" autoLine="0" autoPict="0">
                <anchor moveWithCells="1">
                  <from>
                    <xdr:col>4</xdr:col>
                    <xdr:colOff>0</xdr:colOff>
                    <xdr:row>184</xdr:row>
                    <xdr:rowOff>0</xdr:rowOff>
                  </from>
                  <to>
                    <xdr:col>4</xdr:col>
                    <xdr:colOff>295275</xdr:colOff>
                    <xdr:row>185</xdr:row>
                    <xdr:rowOff>47625</xdr:rowOff>
                  </to>
                </anchor>
              </controlPr>
            </control>
          </mc:Choice>
        </mc:AlternateContent>
        <mc:AlternateContent xmlns:mc="http://schemas.openxmlformats.org/markup-compatibility/2006">
          <mc:Choice Requires="x14">
            <control shapeId="13146452" r:id="rId154" name="Check Box 1364">
              <controlPr defaultSize="0" autoFill="0" autoLine="0" autoPict="0">
                <anchor moveWithCells="1">
                  <from>
                    <xdr:col>9</xdr:col>
                    <xdr:colOff>0</xdr:colOff>
                    <xdr:row>183</xdr:row>
                    <xdr:rowOff>0</xdr:rowOff>
                  </from>
                  <to>
                    <xdr:col>9</xdr:col>
                    <xdr:colOff>295275</xdr:colOff>
                    <xdr:row>184</xdr:row>
                    <xdr:rowOff>47625</xdr:rowOff>
                  </to>
                </anchor>
              </controlPr>
            </control>
          </mc:Choice>
        </mc:AlternateContent>
        <mc:AlternateContent xmlns:mc="http://schemas.openxmlformats.org/markup-compatibility/2006">
          <mc:Choice Requires="x14">
            <control shapeId="13146453" r:id="rId155" name="Check Box 1365">
              <controlPr defaultSize="0" autoFill="0" autoLine="0" autoPict="0">
                <anchor moveWithCells="1">
                  <from>
                    <xdr:col>4</xdr:col>
                    <xdr:colOff>0</xdr:colOff>
                    <xdr:row>183</xdr:row>
                    <xdr:rowOff>0</xdr:rowOff>
                  </from>
                  <to>
                    <xdr:col>4</xdr:col>
                    <xdr:colOff>295275</xdr:colOff>
                    <xdr:row>184</xdr:row>
                    <xdr:rowOff>47625</xdr:rowOff>
                  </to>
                </anchor>
              </controlPr>
            </control>
          </mc:Choice>
        </mc:AlternateContent>
        <mc:AlternateContent xmlns:mc="http://schemas.openxmlformats.org/markup-compatibility/2006">
          <mc:Choice Requires="x14">
            <control shapeId="13146468" r:id="rId156" name="Check Box 1380">
              <controlPr defaultSize="0" autoFill="0" autoLine="0" autoPict="0">
                <anchor moveWithCells="1">
                  <from>
                    <xdr:col>9</xdr:col>
                    <xdr:colOff>0</xdr:colOff>
                    <xdr:row>182</xdr:row>
                    <xdr:rowOff>0</xdr:rowOff>
                  </from>
                  <to>
                    <xdr:col>9</xdr:col>
                    <xdr:colOff>295275</xdr:colOff>
                    <xdr:row>183</xdr:row>
                    <xdr:rowOff>47625</xdr:rowOff>
                  </to>
                </anchor>
              </controlPr>
            </control>
          </mc:Choice>
        </mc:AlternateContent>
        <mc:AlternateContent xmlns:mc="http://schemas.openxmlformats.org/markup-compatibility/2006">
          <mc:Choice Requires="x14">
            <control shapeId="13146469" r:id="rId157" name="Check Box 1381">
              <controlPr defaultSize="0" autoFill="0" autoLine="0" autoPict="0">
                <anchor moveWithCells="1">
                  <from>
                    <xdr:col>4</xdr:col>
                    <xdr:colOff>0</xdr:colOff>
                    <xdr:row>182</xdr:row>
                    <xdr:rowOff>0</xdr:rowOff>
                  </from>
                  <to>
                    <xdr:col>4</xdr:col>
                    <xdr:colOff>295275</xdr:colOff>
                    <xdr:row>183</xdr:row>
                    <xdr:rowOff>47625</xdr:rowOff>
                  </to>
                </anchor>
              </controlPr>
            </control>
          </mc:Choice>
        </mc:AlternateContent>
        <mc:AlternateContent xmlns:mc="http://schemas.openxmlformats.org/markup-compatibility/2006">
          <mc:Choice Requires="x14">
            <control shapeId="13146472" r:id="rId158" name="Check Box 1384">
              <controlPr defaultSize="0" autoFill="0" autoLine="0" autoPict="0">
                <anchor moveWithCells="1">
                  <from>
                    <xdr:col>9</xdr:col>
                    <xdr:colOff>0</xdr:colOff>
                    <xdr:row>181</xdr:row>
                    <xdr:rowOff>0</xdr:rowOff>
                  </from>
                  <to>
                    <xdr:col>9</xdr:col>
                    <xdr:colOff>295275</xdr:colOff>
                    <xdr:row>182</xdr:row>
                    <xdr:rowOff>104775</xdr:rowOff>
                  </to>
                </anchor>
              </controlPr>
            </control>
          </mc:Choice>
        </mc:AlternateContent>
        <mc:AlternateContent xmlns:mc="http://schemas.openxmlformats.org/markup-compatibility/2006">
          <mc:Choice Requires="x14">
            <control shapeId="13146473" r:id="rId159" name="Check Box 1385">
              <controlPr defaultSize="0" autoFill="0" autoLine="0" autoPict="0">
                <anchor moveWithCells="1">
                  <from>
                    <xdr:col>4</xdr:col>
                    <xdr:colOff>0</xdr:colOff>
                    <xdr:row>181</xdr:row>
                    <xdr:rowOff>0</xdr:rowOff>
                  </from>
                  <to>
                    <xdr:col>4</xdr:col>
                    <xdr:colOff>295275</xdr:colOff>
                    <xdr:row>182</xdr:row>
                    <xdr:rowOff>104775</xdr:rowOff>
                  </to>
                </anchor>
              </controlPr>
            </control>
          </mc:Choice>
        </mc:AlternateContent>
        <mc:AlternateContent xmlns:mc="http://schemas.openxmlformats.org/markup-compatibility/2006">
          <mc:Choice Requires="x14">
            <control shapeId="13146478" r:id="rId160" name="Check Box 1390">
              <controlPr defaultSize="0" autoFill="0" autoLine="0" autoPict="0">
                <anchor moveWithCells="1">
                  <from>
                    <xdr:col>9</xdr:col>
                    <xdr:colOff>0</xdr:colOff>
                    <xdr:row>180</xdr:row>
                    <xdr:rowOff>0</xdr:rowOff>
                  </from>
                  <to>
                    <xdr:col>9</xdr:col>
                    <xdr:colOff>295275</xdr:colOff>
                    <xdr:row>181</xdr:row>
                    <xdr:rowOff>47625</xdr:rowOff>
                  </to>
                </anchor>
              </controlPr>
            </control>
          </mc:Choice>
        </mc:AlternateContent>
        <mc:AlternateContent xmlns:mc="http://schemas.openxmlformats.org/markup-compatibility/2006">
          <mc:Choice Requires="x14">
            <control shapeId="13146479" r:id="rId161" name="Check Box 1391">
              <controlPr defaultSize="0" autoFill="0" autoLine="0" autoPict="0">
                <anchor moveWithCells="1">
                  <from>
                    <xdr:col>4</xdr:col>
                    <xdr:colOff>0</xdr:colOff>
                    <xdr:row>180</xdr:row>
                    <xdr:rowOff>0</xdr:rowOff>
                  </from>
                  <to>
                    <xdr:col>4</xdr:col>
                    <xdr:colOff>295275</xdr:colOff>
                    <xdr:row>181</xdr:row>
                    <xdr:rowOff>47625</xdr:rowOff>
                  </to>
                </anchor>
              </controlPr>
            </control>
          </mc:Choice>
        </mc:AlternateContent>
        <mc:AlternateContent xmlns:mc="http://schemas.openxmlformats.org/markup-compatibility/2006">
          <mc:Choice Requires="x14">
            <control shapeId="13146481" r:id="rId162" name="Check Box 1393">
              <controlPr defaultSize="0" autoFill="0" autoLine="0" autoPict="0">
                <anchor moveWithCells="1">
                  <from>
                    <xdr:col>4</xdr:col>
                    <xdr:colOff>0</xdr:colOff>
                    <xdr:row>180</xdr:row>
                    <xdr:rowOff>0</xdr:rowOff>
                  </from>
                  <to>
                    <xdr:col>4</xdr:col>
                    <xdr:colOff>295275</xdr:colOff>
                    <xdr:row>181</xdr:row>
                    <xdr:rowOff>47625</xdr:rowOff>
                  </to>
                </anchor>
              </controlPr>
            </control>
          </mc:Choice>
        </mc:AlternateContent>
        <mc:AlternateContent xmlns:mc="http://schemas.openxmlformats.org/markup-compatibility/2006">
          <mc:Choice Requires="x14">
            <control shapeId="13146483" r:id="rId163" name="Check Box 1395">
              <controlPr defaultSize="0" autoFill="0" autoLine="0" autoPict="0">
                <anchor moveWithCells="1">
                  <from>
                    <xdr:col>4</xdr:col>
                    <xdr:colOff>0</xdr:colOff>
                    <xdr:row>180</xdr:row>
                    <xdr:rowOff>0</xdr:rowOff>
                  </from>
                  <to>
                    <xdr:col>4</xdr:col>
                    <xdr:colOff>295275</xdr:colOff>
                    <xdr:row>181</xdr:row>
                    <xdr:rowOff>47625</xdr:rowOff>
                  </to>
                </anchor>
              </controlPr>
            </control>
          </mc:Choice>
        </mc:AlternateContent>
        <mc:AlternateContent xmlns:mc="http://schemas.openxmlformats.org/markup-compatibility/2006">
          <mc:Choice Requires="x14">
            <control shapeId="13146486" r:id="rId164" name="Check Box 1398">
              <controlPr defaultSize="0" autoFill="0" autoLine="0" autoPict="0">
                <anchor moveWithCells="1">
                  <from>
                    <xdr:col>9</xdr:col>
                    <xdr:colOff>0</xdr:colOff>
                    <xdr:row>179</xdr:row>
                    <xdr:rowOff>0</xdr:rowOff>
                  </from>
                  <to>
                    <xdr:col>9</xdr:col>
                    <xdr:colOff>295275</xdr:colOff>
                    <xdr:row>180</xdr:row>
                    <xdr:rowOff>47625</xdr:rowOff>
                  </to>
                </anchor>
              </controlPr>
            </control>
          </mc:Choice>
        </mc:AlternateContent>
        <mc:AlternateContent xmlns:mc="http://schemas.openxmlformats.org/markup-compatibility/2006">
          <mc:Choice Requires="x14">
            <control shapeId="13146487" r:id="rId165" name="Check Box 1399">
              <controlPr defaultSize="0" autoFill="0" autoLine="0" autoPict="0">
                <anchor moveWithCells="1">
                  <from>
                    <xdr:col>4</xdr:col>
                    <xdr:colOff>0</xdr:colOff>
                    <xdr:row>179</xdr:row>
                    <xdr:rowOff>0</xdr:rowOff>
                  </from>
                  <to>
                    <xdr:col>4</xdr:col>
                    <xdr:colOff>295275</xdr:colOff>
                    <xdr:row>180</xdr:row>
                    <xdr:rowOff>47625</xdr:rowOff>
                  </to>
                </anchor>
              </controlPr>
            </control>
          </mc:Choice>
        </mc:AlternateContent>
        <mc:AlternateContent xmlns:mc="http://schemas.openxmlformats.org/markup-compatibility/2006">
          <mc:Choice Requires="x14">
            <control shapeId="13146498" r:id="rId166" name="Check Box 1410">
              <controlPr defaultSize="0" autoFill="0" autoLine="0" autoPict="0">
                <anchor moveWithCells="1">
                  <from>
                    <xdr:col>9</xdr:col>
                    <xdr:colOff>0</xdr:colOff>
                    <xdr:row>178</xdr:row>
                    <xdr:rowOff>0</xdr:rowOff>
                  </from>
                  <to>
                    <xdr:col>9</xdr:col>
                    <xdr:colOff>295275</xdr:colOff>
                    <xdr:row>179</xdr:row>
                    <xdr:rowOff>47625</xdr:rowOff>
                  </to>
                </anchor>
              </controlPr>
            </control>
          </mc:Choice>
        </mc:AlternateContent>
        <mc:AlternateContent xmlns:mc="http://schemas.openxmlformats.org/markup-compatibility/2006">
          <mc:Choice Requires="x14">
            <control shapeId="13146499" r:id="rId167" name="Check Box 1411">
              <controlPr defaultSize="0" autoFill="0" autoLine="0" autoPict="0">
                <anchor moveWithCells="1">
                  <from>
                    <xdr:col>4</xdr:col>
                    <xdr:colOff>0</xdr:colOff>
                    <xdr:row>178</xdr:row>
                    <xdr:rowOff>0</xdr:rowOff>
                  </from>
                  <to>
                    <xdr:col>4</xdr:col>
                    <xdr:colOff>295275</xdr:colOff>
                    <xdr:row>179</xdr:row>
                    <xdr:rowOff>47625</xdr:rowOff>
                  </to>
                </anchor>
              </controlPr>
            </control>
          </mc:Choice>
        </mc:AlternateContent>
        <mc:AlternateContent xmlns:mc="http://schemas.openxmlformats.org/markup-compatibility/2006">
          <mc:Choice Requires="x14">
            <control shapeId="13146500" r:id="rId168" name="Check Box 1412">
              <controlPr defaultSize="0" autoFill="0" autoLine="0" autoPict="0">
                <anchor moveWithCells="1">
                  <from>
                    <xdr:col>9</xdr:col>
                    <xdr:colOff>0</xdr:colOff>
                    <xdr:row>177</xdr:row>
                    <xdr:rowOff>0</xdr:rowOff>
                  </from>
                  <to>
                    <xdr:col>9</xdr:col>
                    <xdr:colOff>295275</xdr:colOff>
                    <xdr:row>178</xdr:row>
                    <xdr:rowOff>47625</xdr:rowOff>
                  </to>
                </anchor>
              </controlPr>
            </control>
          </mc:Choice>
        </mc:AlternateContent>
        <mc:AlternateContent xmlns:mc="http://schemas.openxmlformats.org/markup-compatibility/2006">
          <mc:Choice Requires="x14">
            <control shapeId="13146501" r:id="rId169" name="Check Box 1413">
              <controlPr defaultSize="0" autoFill="0" autoLine="0" autoPict="0">
                <anchor moveWithCells="1">
                  <from>
                    <xdr:col>4</xdr:col>
                    <xdr:colOff>0</xdr:colOff>
                    <xdr:row>177</xdr:row>
                    <xdr:rowOff>0</xdr:rowOff>
                  </from>
                  <to>
                    <xdr:col>4</xdr:col>
                    <xdr:colOff>295275</xdr:colOff>
                    <xdr:row>178</xdr:row>
                    <xdr:rowOff>47625</xdr:rowOff>
                  </to>
                </anchor>
              </controlPr>
            </control>
          </mc:Choice>
        </mc:AlternateContent>
        <mc:AlternateContent xmlns:mc="http://schemas.openxmlformats.org/markup-compatibility/2006">
          <mc:Choice Requires="x14">
            <control shapeId="13146510" r:id="rId170" name="Check Box 1422">
              <controlPr defaultSize="0" autoFill="0" autoLine="0" autoPict="0">
                <anchor moveWithCells="1">
                  <from>
                    <xdr:col>9</xdr:col>
                    <xdr:colOff>0</xdr:colOff>
                    <xdr:row>176</xdr:row>
                    <xdr:rowOff>0</xdr:rowOff>
                  </from>
                  <to>
                    <xdr:col>9</xdr:col>
                    <xdr:colOff>295275</xdr:colOff>
                    <xdr:row>177</xdr:row>
                    <xdr:rowOff>47625</xdr:rowOff>
                  </to>
                </anchor>
              </controlPr>
            </control>
          </mc:Choice>
        </mc:AlternateContent>
        <mc:AlternateContent xmlns:mc="http://schemas.openxmlformats.org/markup-compatibility/2006">
          <mc:Choice Requires="x14">
            <control shapeId="13146511" r:id="rId171" name="Check Box 1423">
              <controlPr defaultSize="0" autoFill="0" autoLine="0" autoPict="0">
                <anchor moveWithCells="1">
                  <from>
                    <xdr:col>4</xdr:col>
                    <xdr:colOff>0</xdr:colOff>
                    <xdr:row>176</xdr:row>
                    <xdr:rowOff>0</xdr:rowOff>
                  </from>
                  <to>
                    <xdr:col>4</xdr:col>
                    <xdr:colOff>295275</xdr:colOff>
                    <xdr:row>177</xdr:row>
                    <xdr:rowOff>47625</xdr:rowOff>
                  </to>
                </anchor>
              </controlPr>
            </control>
          </mc:Choice>
        </mc:AlternateContent>
        <mc:AlternateContent xmlns:mc="http://schemas.openxmlformats.org/markup-compatibility/2006">
          <mc:Choice Requires="x14">
            <control shapeId="13146512" r:id="rId172" name="Check Box 1424">
              <controlPr defaultSize="0" autoFill="0" autoLine="0" autoPict="0">
                <anchor moveWithCells="1">
                  <from>
                    <xdr:col>9</xdr:col>
                    <xdr:colOff>0</xdr:colOff>
                    <xdr:row>175</xdr:row>
                    <xdr:rowOff>0</xdr:rowOff>
                  </from>
                  <to>
                    <xdr:col>9</xdr:col>
                    <xdr:colOff>295275</xdr:colOff>
                    <xdr:row>176</xdr:row>
                    <xdr:rowOff>47625</xdr:rowOff>
                  </to>
                </anchor>
              </controlPr>
            </control>
          </mc:Choice>
        </mc:AlternateContent>
        <mc:AlternateContent xmlns:mc="http://schemas.openxmlformats.org/markup-compatibility/2006">
          <mc:Choice Requires="x14">
            <control shapeId="13146513" r:id="rId173" name="Check Box 1425">
              <controlPr defaultSize="0" autoFill="0" autoLine="0" autoPict="0">
                <anchor moveWithCells="1">
                  <from>
                    <xdr:col>4</xdr:col>
                    <xdr:colOff>0</xdr:colOff>
                    <xdr:row>175</xdr:row>
                    <xdr:rowOff>0</xdr:rowOff>
                  </from>
                  <to>
                    <xdr:col>4</xdr:col>
                    <xdr:colOff>295275</xdr:colOff>
                    <xdr:row>176</xdr:row>
                    <xdr:rowOff>47625</xdr:rowOff>
                  </to>
                </anchor>
              </controlPr>
            </control>
          </mc:Choice>
        </mc:AlternateContent>
        <mc:AlternateContent xmlns:mc="http://schemas.openxmlformats.org/markup-compatibility/2006">
          <mc:Choice Requires="x14">
            <control shapeId="13146552" r:id="rId174" name="Check Box 1464">
              <controlPr defaultSize="0" autoFill="0" autoLine="0" autoPict="0">
                <anchor moveWithCells="1">
                  <from>
                    <xdr:col>9</xdr:col>
                    <xdr:colOff>0</xdr:colOff>
                    <xdr:row>174</xdr:row>
                    <xdr:rowOff>0</xdr:rowOff>
                  </from>
                  <to>
                    <xdr:col>9</xdr:col>
                    <xdr:colOff>295275</xdr:colOff>
                    <xdr:row>175</xdr:row>
                    <xdr:rowOff>47625</xdr:rowOff>
                  </to>
                </anchor>
              </controlPr>
            </control>
          </mc:Choice>
        </mc:AlternateContent>
        <mc:AlternateContent xmlns:mc="http://schemas.openxmlformats.org/markup-compatibility/2006">
          <mc:Choice Requires="x14">
            <control shapeId="13146553" r:id="rId175" name="Check Box 1465">
              <controlPr defaultSize="0" autoFill="0" autoLine="0" autoPict="0">
                <anchor moveWithCells="1">
                  <from>
                    <xdr:col>4</xdr:col>
                    <xdr:colOff>0</xdr:colOff>
                    <xdr:row>174</xdr:row>
                    <xdr:rowOff>0</xdr:rowOff>
                  </from>
                  <to>
                    <xdr:col>4</xdr:col>
                    <xdr:colOff>295275</xdr:colOff>
                    <xdr:row>175</xdr:row>
                    <xdr:rowOff>47625</xdr:rowOff>
                  </to>
                </anchor>
              </controlPr>
            </control>
          </mc:Choice>
        </mc:AlternateContent>
        <mc:AlternateContent xmlns:mc="http://schemas.openxmlformats.org/markup-compatibility/2006">
          <mc:Choice Requires="x14">
            <control shapeId="13146572" r:id="rId176" name="Check Box 1484">
              <controlPr defaultSize="0" autoFill="0" autoLine="0" autoPict="0">
                <anchor moveWithCells="1">
                  <from>
                    <xdr:col>9</xdr:col>
                    <xdr:colOff>0</xdr:colOff>
                    <xdr:row>173</xdr:row>
                    <xdr:rowOff>0</xdr:rowOff>
                  </from>
                  <to>
                    <xdr:col>9</xdr:col>
                    <xdr:colOff>295275</xdr:colOff>
                    <xdr:row>174</xdr:row>
                    <xdr:rowOff>47625</xdr:rowOff>
                  </to>
                </anchor>
              </controlPr>
            </control>
          </mc:Choice>
        </mc:AlternateContent>
        <mc:AlternateContent xmlns:mc="http://schemas.openxmlformats.org/markup-compatibility/2006">
          <mc:Choice Requires="x14">
            <control shapeId="13146573" r:id="rId177" name="Check Box 1485">
              <controlPr defaultSize="0" autoFill="0" autoLine="0" autoPict="0">
                <anchor moveWithCells="1">
                  <from>
                    <xdr:col>4</xdr:col>
                    <xdr:colOff>0</xdr:colOff>
                    <xdr:row>173</xdr:row>
                    <xdr:rowOff>0</xdr:rowOff>
                  </from>
                  <to>
                    <xdr:col>4</xdr:col>
                    <xdr:colOff>295275</xdr:colOff>
                    <xdr:row>174</xdr:row>
                    <xdr:rowOff>47625</xdr:rowOff>
                  </to>
                </anchor>
              </controlPr>
            </control>
          </mc:Choice>
        </mc:AlternateContent>
        <mc:AlternateContent xmlns:mc="http://schemas.openxmlformats.org/markup-compatibility/2006">
          <mc:Choice Requires="x14">
            <control shapeId="13146574" r:id="rId178" name="Check Box 1486">
              <controlPr defaultSize="0" autoFill="0" autoLine="0" autoPict="0">
                <anchor moveWithCells="1">
                  <from>
                    <xdr:col>9</xdr:col>
                    <xdr:colOff>0</xdr:colOff>
                    <xdr:row>172</xdr:row>
                    <xdr:rowOff>0</xdr:rowOff>
                  </from>
                  <to>
                    <xdr:col>9</xdr:col>
                    <xdr:colOff>295275</xdr:colOff>
                    <xdr:row>173</xdr:row>
                    <xdr:rowOff>47625</xdr:rowOff>
                  </to>
                </anchor>
              </controlPr>
            </control>
          </mc:Choice>
        </mc:AlternateContent>
        <mc:AlternateContent xmlns:mc="http://schemas.openxmlformats.org/markup-compatibility/2006">
          <mc:Choice Requires="x14">
            <control shapeId="13146575" r:id="rId179" name="Check Box 1487">
              <controlPr defaultSize="0" autoFill="0" autoLine="0" autoPict="0">
                <anchor moveWithCells="1">
                  <from>
                    <xdr:col>4</xdr:col>
                    <xdr:colOff>0</xdr:colOff>
                    <xdr:row>172</xdr:row>
                    <xdr:rowOff>0</xdr:rowOff>
                  </from>
                  <to>
                    <xdr:col>4</xdr:col>
                    <xdr:colOff>295275</xdr:colOff>
                    <xdr:row>173</xdr:row>
                    <xdr:rowOff>47625</xdr:rowOff>
                  </to>
                </anchor>
              </controlPr>
            </control>
          </mc:Choice>
        </mc:AlternateContent>
        <mc:AlternateContent xmlns:mc="http://schemas.openxmlformats.org/markup-compatibility/2006">
          <mc:Choice Requires="x14">
            <control shapeId="13146583" r:id="rId180" name="Check Box 1495">
              <controlPr defaultSize="0" autoFill="0" autoLine="0" autoPict="0">
                <anchor moveWithCells="1">
                  <from>
                    <xdr:col>4</xdr:col>
                    <xdr:colOff>0</xdr:colOff>
                    <xdr:row>172</xdr:row>
                    <xdr:rowOff>0</xdr:rowOff>
                  </from>
                  <to>
                    <xdr:col>4</xdr:col>
                    <xdr:colOff>295275</xdr:colOff>
                    <xdr:row>173</xdr:row>
                    <xdr:rowOff>47625</xdr:rowOff>
                  </to>
                </anchor>
              </controlPr>
            </control>
          </mc:Choice>
        </mc:AlternateContent>
        <mc:AlternateContent xmlns:mc="http://schemas.openxmlformats.org/markup-compatibility/2006">
          <mc:Choice Requires="x14">
            <control shapeId="13146590" r:id="rId181" name="Check Box 1502">
              <controlPr defaultSize="0" autoFill="0" autoLine="0" autoPict="0">
                <anchor moveWithCells="1">
                  <from>
                    <xdr:col>9</xdr:col>
                    <xdr:colOff>0</xdr:colOff>
                    <xdr:row>171</xdr:row>
                    <xdr:rowOff>0</xdr:rowOff>
                  </from>
                  <to>
                    <xdr:col>9</xdr:col>
                    <xdr:colOff>295275</xdr:colOff>
                    <xdr:row>172</xdr:row>
                    <xdr:rowOff>47625</xdr:rowOff>
                  </to>
                </anchor>
              </controlPr>
            </control>
          </mc:Choice>
        </mc:AlternateContent>
        <mc:AlternateContent xmlns:mc="http://schemas.openxmlformats.org/markup-compatibility/2006">
          <mc:Choice Requires="x14">
            <control shapeId="13146591" r:id="rId182" name="Check Box 1503">
              <controlPr defaultSize="0" autoFill="0" autoLine="0" autoPict="0">
                <anchor moveWithCells="1">
                  <from>
                    <xdr:col>4</xdr:col>
                    <xdr:colOff>0</xdr:colOff>
                    <xdr:row>171</xdr:row>
                    <xdr:rowOff>0</xdr:rowOff>
                  </from>
                  <to>
                    <xdr:col>4</xdr:col>
                    <xdr:colOff>295275</xdr:colOff>
                    <xdr:row>172</xdr:row>
                    <xdr:rowOff>47625</xdr:rowOff>
                  </to>
                </anchor>
              </controlPr>
            </control>
          </mc:Choice>
        </mc:AlternateContent>
        <mc:AlternateContent xmlns:mc="http://schemas.openxmlformats.org/markup-compatibility/2006">
          <mc:Choice Requires="x14">
            <control shapeId="13146606" r:id="rId183" name="Check Box 1518">
              <controlPr defaultSize="0" autoFill="0" autoLine="0" autoPict="0">
                <anchor moveWithCells="1">
                  <from>
                    <xdr:col>9</xdr:col>
                    <xdr:colOff>0</xdr:colOff>
                    <xdr:row>170</xdr:row>
                    <xdr:rowOff>0</xdr:rowOff>
                  </from>
                  <to>
                    <xdr:col>9</xdr:col>
                    <xdr:colOff>295275</xdr:colOff>
                    <xdr:row>171</xdr:row>
                    <xdr:rowOff>47625</xdr:rowOff>
                  </to>
                </anchor>
              </controlPr>
            </control>
          </mc:Choice>
        </mc:AlternateContent>
        <mc:AlternateContent xmlns:mc="http://schemas.openxmlformats.org/markup-compatibility/2006">
          <mc:Choice Requires="x14">
            <control shapeId="13146607" r:id="rId184" name="Check Box 1519">
              <controlPr defaultSize="0" autoFill="0" autoLine="0" autoPict="0">
                <anchor moveWithCells="1">
                  <from>
                    <xdr:col>4</xdr:col>
                    <xdr:colOff>0</xdr:colOff>
                    <xdr:row>170</xdr:row>
                    <xdr:rowOff>0</xdr:rowOff>
                  </from>
                  <to>
                    <xdr:col>4</xdr:col>
                    <xdr:colOff>295275</xdr:colOff>
                    <xdr:row>171</xdr:row>
                    <xdr:rowOff>47625</xdr:rowOff>
                  </to>
                </anchor>
              </controlPr>
            </control>
          </mc:Choice>
        </mc:AlternateContent>
        <mc:AlternateContent xmlns:mc="http://schemas.openxmlformats.org/markup-compatibility/2006">
          <mc:Choice Requires="x14">
            <control shapeId="13146610" r:id="rId185" name="Check Box 1522">
              <controlPr defaultSize="0" autoFill="0" autoLine="0" autoPict="0">
                <anchor moveWithCells="1">
                  <from>
                    <xdr:col>9</xdr:col>
                    <xdr:colOff>0</xdr:colOff>
                    <xdr:row>169</xdr:row>
                    <xdr:rowOff>0</xdr:rowOff>
                  </from>
                  <to>
                    <xdr:col>9</xdr:col>
                    <xdr:colOff>295275</xdr:colOff>
                    <xdr:row>170</xdr:row>
                    <xdr:rowOff>47625</xdr:rowOff>
                  </to>
                </anchor>
              </controlPr>
            </control>
          </mc:Choice>
        </mc:AlternateContent>
        <mc:AlternateContent xmlns:mc="http://schemas.openxmlformats.org/markup-compatibility/2006">
          <mc:Choice Requires="x14">
            <control shapeId="13146611" r:id="rId186" name="Check Box 1523">
              <controlPr defaultSize="0" autoFill="0" autoLine="0" autoPict="0">
                <anchor moveWithCells="1">
                  <from>
                    <xdr:col>4</xdr:col>
                    <xdr:colOff>0</xdr:colOff>
                    <xdr:row>169</xdr:row>
                    <xdr:rowOff>0</xdr:rowOff>
                  </from>
                  <to>
                    <xdr:col>4</xdr:col>
                    <xdr:colOff>295275</xdr:colOff>
                    <xdr:row>170</xdr:row>
                    <xdr:rowOff>47625</xdr:rowOff>
                  </to>
                </anchor>
              </controlPr>
            </control>
          </mc:Choice>
        </mc:AlternateContent>
        <mc:AlternateContent xmlns:mc="http://schemas.openxmlformats.org/markup-compatibility/2006">
          <mc:Choice Requires="x14">
            <control shapeId="13146616" r:id="rId187" name="Check Box 1528">
              <controlPr defaultSize="0" autoFill="0" autoLine="0" autoPict="0">
                <anchor moveWithCells="1">
                  <from>
                    <xdr:col>9</xdr:col>
                    <xdr:colOff>0</xdr:colOff>
                    <xdr:row>168</xdr:row>
                    <xdr:rowOff>0</xdr:rowOff>
                  </from>
                  <to>
                    <xdr:col>9</xdr:col>
                    <xdr:colOff>295275</xdr:colOff>
                    <xdr:row>169</xdr:row>
                    <xdr:rowOff>47625</xdr:rowOff>
                  </to>
                </anchor>
              </controlPr>
            </control>
          </mc:Choice>
        </mc:AlternateContent>
        <mc:AlternateContent xmlns:mc="http://schemas.openxmlformats.org/markup-compatibility/2006">
          <mc:Choice Requires="x14">
            <control shapeId="13146617" r:id="rId188" name="Check Box 1529">
              <controlPr defaultSize="0" autoFill="0" autoLine="0" autoPict="0">
                <anchor moveWithCells="1">
                  <from>
                    <xdr:col>4</xdr:col>
                    <xdr:colOff>0</xdr:colOff>
                    <xdr:row>168</xdr:row>
                    <xdr:rowOff>0</xdr:rowOff>
                  </from>
                  <to>
                    <xdr:col>4</xdr:col>
                    <xdr:colOff>295275</xdr:colOff>
                    <xdr:row>169</xdr:row>
                    <xdr:rowOff>47625</xdr:rowOff>
                  </to>
                </anchor>
              </controlPr>
            </control>
          </mc:Choice>
        </mc:AlternateContent>
        <mc:AlternateContent xmlns:mc="http://schemas.openxmlformats.org/markup-compatibility/2006">
          <mc:Choice Requires="x14">
            <control shapeId="13146626" r:id="rId189" name="Check Box 1538">
              <controlPr defaultSize="0" autoFill="0" autoLine="0" autoPict="0">
                <anchor moveWithCells="1">
                  <from>
                    <xdr:col>9</xdr:col>
                    <xdr:colOff>0</xdr:colOff>
                    <xdr:row>167</xdr:row>
                    <xdr:rowOff>0</xdr:rowOff>
                  </from>
                  <to>
                    <xdr:col>9</xdr:col>
                    <xdr:colOff>295275</xdr:colOff>
                    <xdr:row>168</xdr:row>
                    <xdr:rowOff>47625</xdr:rowOff>
                  </to>
                </anchor>
              </controlPr>
            </control>
          </mc:Choice>
        </mc:AlternateContent>
        <mc:AlternateContent xmlns:mc="http://schemas.openxmlformats.org/markup-compatibility/2006">
          <mc:Choice Requires="x14">
            <control shapeId="13146627" r:id="rId190" name="Check Box 1539">
              <controlPr defaultSize="0" autoFill="0" autoLine="0" autoPict="0">
                <anchor moveWithCells="1">
                  <from>
                    <xdr:col>4</xdr:col>
                    <xdr:colOff>0</xdr:colOff>
                    <xdr:row>167</xdr:row>
                    <xdr:rowOff>0</xdr:rowOff>
                  </from>
                  <to>
                    <xdr:col>4</xdr:col>
                    <xdr:colOff>295275</xdr:colOff>
                    <xdr:row>168</xdr:row>
                    <xdr:rowOff>47625</xdr:rowOff>
                  </to>
                </anchor>
              </controlPr>
            </control>
          </mc:Choice>
        </mc:AlternateContent>
        <mc:AlternateContent xmlns:mc="http://schemas.openxmlformats.org/markup-compatibility/2006">
          <mc:Choice Requires="x14">
            <control shapeId="13146628" r:id="rId191" name="Check Box 1540">
              <controlPr defaultSize="0" autoFill="0" autoLine="0" autoPict="0">
                <anchor moveWithCells="1">
                  <from>
                    <xdr:col>9</xdr:col>
                    <xdr:colOff>0</xdr:colOff>
                    <xdr:row>166</xdr:row>
                    <xdr:rowOff>0</xdr:rowOff>
                  </from>
                  <to>
                    <xdr:col>9</xdr:col>
                    <xdr:colOff>295275</xdr:colOff>
                    <xdr:row>167</xdr:row>
                    <xdr:rowOff>47625</xdr:rowOff>
                  </to>
                </anchor>
              </controlPr>
            </control>
          </mc:Choice>
        </mc:AlternateContent>
        <mc:AlternateContent xmlns:mc="http://schemas.openxmlformats.org/markup-compatibility/2006">
          <mc:Choice Requires="x14">
            <control shapeId="13146629" r:id="rId192" name="Check Box 1541">
              <controlPr defaultSize="0" autoFill="0" autoLine="0" autoPict="0">
                <anchor moveWithCells="1">
                  <from>
                    <xdr:col>4</xdr:col>
                    <xdr:colOff>0</xdr:colOff>
                    <xdr:row>166</xdr:row>
                    <xdr:rowOff>0</xdr:rowOff>
                  </from>
                  <to>
                    <xdr:col>4</xdr:col>
                    <xdr:colOff>295275</xdr:colOff>
                    <xdr:row>167</xdr:row>
                    <xdr:rowOff>47625</xdr:rowOff>
                  </to>
                </anchor>
              </controlPr>
            </control>
          </mc:Choice>
        </mc:AlternateContent>
        <mc:AlternateContent xmlns:mc="http://schemas.openxmlformats.org/markup-compatibility/2006">
          <mc:Choice Requires="x14">
            <control shapeId="13146636" r:id="rId193" name="Check Box 1548">
              <controlPr defaultSize="0" autoFill="0" autoLine="0" autoPict="0">
                <anchor moveWithCells="1">
                  <from>
                    <xdr:col>9</xdr:col>
                    <xdr:colOff>0</xdr:colOff>
                    <xdr:row>165</xdr:row>
                    <xdr:rowOff>0</xdr:rowOff>
                  </from>
                  <to>
                    <xdr:col>9</xdr:col>
                    <xdr:colOff>295275</xdr:colOff>
                    <xdr:row>166</xdr:row>
                    <xdr:rowOff>47625</xdr:rowOff>
                  </to>
                </anchor>
              </controlPr>
            </control>
          </mc:Choice>
        </mc:AlternateContent>
        <mc:AlternateContent xmlns:mc="http://schemas.openxmlformats.org/markup-compatibility/2006">
          <mc:Choice Requires="x14">
            <control shapeId="13146637" r:id="rId194" name="Check Box 1549">
              <controlPr defaultSize="0" autoFill="0" autoLine="0" autoPict="0">
                <anchor moveWithCells="1">
                  <from>
                    <xdr:col>4</xdr:col>
                    <xdr:colOff>0</xdr:colOff>
                    <xdr:row>165</xdr:row>
                    <xdr:rowOff>0</xdr:rowOff>
                  </from>
                  <to>
                    <xdr:col>4</xdr:col>
                    <xdr:colOff>295275</xdr:colOff>
                    <xdr:row>166</xdr:row>
                    <xdr:rowOff>47625</xdr:rowOff>
                  </to>
                </anchor>
              </controlPr>
            </control>
          </mc:Choice>
        </mc:AlternateContent>
        <mc:AlternateContent xmlns:mc="http://schemas.openxmlformats.org/markup-compatibility/2006">
          <mc:Choice Requires="x14">
            <control shapeId="13146654" r:id="rId195" name="Check Box 1566">
              <controlPr defaultSize="0" autoFill="0" autoLine="0" autoPict="0">
                <anchor moveWithCells="1">
                  <from>
                    <xdr:col>9</xdr:col>
                    <xdr:colOff>0</xdr:colOff>
                    <xdr:row>164</xdr:row>
                    <xdr:rowOff>0</xdr:rowOff>
                  </from>
                  <to>
                    <xdr:col>9</xdr:col>
                    <xdr:colOff>295275</xdr:colOff>
                    <xdr:row>165</xdr:row>
                    <xdr:rowOff>47625</xdr:rowOff>
                  </to>
                </anchor>
              </controlPr>
            </control>
          </mc:Choice>
        </mc:AlternateContent>
        <mc:AlternateContent xmlns:mc="http://schemas.openxmlformats.org/markup-compatibility/2006">
          <mc:Choice Requires="x14">
            <control shapeId="13146655" r:id="rId196" name="Check Box 1567">
              <controlPr defaultSize="0" autoFill="0" autoLine="0" autoPict="0">
                <anchor moveWithCells="1">
                  <from>
                    <xdr:col>4</xdr:col>
                    <xdr:colOff>0</xdr:colOff>
                    <xdr:row>164</xdr:row>
                    <xdr:rowOff>0</xdr:rowOff>
                  </from>
                  <to>
                    <xdr:col>4</xdr:col>
                    <xdr:colOff>295275</xdr:colOff>
                    <xdr:row>165</xdr:row>
                    <xdr:rowOff>47625</xdr:rowOff>
                  </to>
                </anchor>
              </controlPr>
            </control>
          </mc:Choice>
        </mc:AlternateContent>
        <mc:AlternateContent xmlns:mc="http://schemas.openxmlformats.org/markup-compatibility/2006">
          <mc:Choice Requires="x14">
            <control shapeId="13146658" r:id="rId197" name="Check Box 1570">
              <controlPr defaultSize="0" autoFill="0" autoLine="0" autoPict="0">
                <anchor moveWithCells="1">
                  <from>
                    <xdr:col>9</xdr:col>
                    <xdr:colOff>0</xdr:colOff>
                    <xdr:row>163</xdr:row>
                    <xdr:rowOff>0</xdr:rowOff>
                  </from>
                  <to>
                    <xdr:col>9</xdr:col>
                    <xdr:colOff>295275</xdr:colOff>
                    <xdr:row>164</xdr:row>
                    <xdr:rowOff>47625</xdr:rowOff>
                  </to>
                </anchor>
              </controlPr>
            </control>
          </mc:Choice>
        </mc:AlternateContent>
        <mc:AlternateContent xmlns:mc="http://schemas.openxmlformats.org/markup-compatibility/2006">
          <mc:Choice Requires="x14">
            <control shapeId="13146659" r:id="rId198" name="Check Box 1571">
              <controlPr defaultSize="0" autoFill="0" autoLine="0" autoPict="0">
                <anchor moveWithCells="1">
                  <from>
                    <xdr:col>4</xdr:col>
                    <xdr:colOff>0</xdr:colOff>
                    <xdr:row>163</xdr:row>
                    <xdr:rowOff>0</xdr:rowOff>
                  </from>
                  <to>
                    <xdr:col>4</xdr:col>
                    <xdr:colOff>295275</xdr:colOff>
                    <xdr:row>164</xdr:row>
                    <xdr:rowOff>47625</xdr:rowOff>
                  </to>
                </anchor>
              </controlPr>
            </control>
          </mc:Choice>
        </mc:AlternateContent>
        <mc:AlternateContent xmlns:mc="http://schemas.openxmlformats.org/markup-compatibility/2006">
          <mc:Choice Requires="x14">
            <control shapeId="13146666" r:id="rId199" name="Check Box 1578">
              <controlPr defaultSize="0" autoFill="0" autoLine="0" autoPict="0">
                <anchor moveWithCells="1">
                  <from>
                    <xdr:col>9</xdr:col>
                    <xdr:colOff>0</xdr:colOff>
                    <xdr:row>162</xdr:row>
                    <xdr:rowOff>0</xdr:rowOff>
                  </from>
                  <to>
                    <xdr:col>9</xdr:col>
                    <xdr:colOff>295275</xdr:colOff>
                    <xdr:row>163</xdr:row>
                    <xdr:rowOff>47625</xdr:rowOff>
                  </to>
                </anchor>
              </controlPr>
            </control>
          </mc:Choice>
        </mc:AlternateContent>
        <mc:AlternateContent xmlns:mc="http://schemas.openxmlformats.org/markup-compatibility/2006">
          <mc:Choice Requires="x14">
            <control shapeId="13146667" r:id="rId200" name="Check Box 1579">
              <controlPr defaultSize="0" autoFill="0" autoLine="0" autoPict="0">
                <anchor moveWithCells="1">
                  <from>
                    <xdr:col>4</xdr:col>
                    <xdr:colOff>0</xdr:colOff>
                    <xdr:row>162</xdr:row>
                    <xdr:rowOff>0</xdr:rowOff>
                  </from>
                  <to>
                    <xdr:col>4</xdr:col>
                    <xdr:colOff>295275</xdr:colOff>
                    <xdr:row>163</xdr:row>
                    <xdr:rowOff>47625</xdr:rowOff>
                  </to>
                </anchor>
              </controlPr>
            </control>
          </mc:Choice>
        </mc:AlternateContent>
        <mc:AlternateContent xmlns:mc="http://schemas.openxmlformats.org/markup-compatibility/2006">
          <mc:Choice Requires="x14">
            <control shapeId="13146668" r:id="rId201" name="Check Box 1580">
              <controlPr defaultSize="0" autoFill="0" autoLine="0" autoPict="0">
                <anchor moveWithCells="1">
                  <from>
                    <xdr:col>9</xdr:col>
                    <xdr:colOff>0</xdr:colOff>
                    <xdr:row>161</xdr:row>
                    <xdr:rowOff>0</xdr:rowOff>
                  </from>
                  <to>
                    <xdr:col>9</xdr:col>
                    <xdr:colOff>295275</xdr:colOff>
                    <xdr:row>162</xdr:row>
                    <xdr:rowOff>47625</xdr:rowOff>
                  </to>
                </anchor>
              </controlPr>
            </control>
          </mc:Choice>
        </mc:AlternateContent>
        <mc:AlternateContent xmlns:mc="http://schemas.openxmlformats.org/markup-compatibility/2006">
          <mc:Choice Requires="x14">
            <control shapeId="13146669" r:id="rId202" name="Check Box 1581">
              <controlPr defaultSize="0" autoFill="0" autoLine="0" autoPict="0">
                <anchor moveWithCells="1">
                  <from>
                    <xdr:col>4</xdr:col>
                    <xdr:colOff>0</xdr:colOff>
                    <xdr:row>161</xdr:row>
                    <xdr:rowOff>0</xdr:rowOff>
                  </from>
                  <to>
                    <xdr:col>4</xdr:col>
                    <xdr:colOff>295275</xdr:colOff>
                    <xdr:row>162</xdr:row>
                    <xdr:rowOff>47625</xdr:rowOff>
                  </to>
                </anchor>
              </controlPr>
            </control>
          </mc:Choice>
        </mc:AlternateContent>
        <mc:AlternateContent xmlns:mc="http://schemas.openxmlformats.org/markup-compatibility/2006">
          <mc:Choice Requires="x14">
            <control shapeId="13146678" r:id="rId203" name="Check Box 1590">
              <controlPr defaultSize="0" autoFill="0" autoLine="0" autoPict="0">
                <anchor moveWithCells="1">
                  <from>
                    <xdr:col>9</xdr:col>
                    <xdr:colOff>0</xdr:colOff>
                    <xdr:row>160</xdr:row>
                    <xdr:rowOff>0</xdr:rowOff>
                  </from>
                  <to>
                    <xdr:col>9</xdr:col>
                    <xdr:colOff>295275</xdr:colOff>
                    <xdr:row>161</xdr:row>
                    <xdr:rowOff>47625</xdr:rowOff>
                  </to>
                </anchor>
              </controlPr>
            </control>
          </mc:Choice>
        </mc:AlternateContent>
        <mc:AlternateContent xmlns:mc="http://schemas.openxmlformats.org/markup-compatibility/2006">
          <mc:Choice Requires="x14">
            <control shapeId="13146679" r:id="rId204" name="Check Box 1591">
              <controlPr defaultSize="0" autoFill="0" autoLine="0" autoPict="0">
                <anchor moveWithCells="1">
                  <from>
                    <xdr:col>4</xdr:col>
                    <xdr:colOff>0</xdr:colOff>
                    <xdr:row>160</xdr:row>
                    <xdr:rowOff>0</xdr:rowOff>
                  </from>
                  <to>
                    <xdr:col>4</xdr:col>
                    <xdr:colOff>295275</xdr:colOff>
                    <xdr:row>161</xdr:row>
                    <xdr:rowOff>47625</xdr:rowOff>
                  </to>
                </anchor>
              </controlPr>
            </control>
          </mc:Choice>
        </mc:AlternateContent>
        <mc:AlternateContent xmlns:mc="http://schemas.openxmlformats.org/markup-compatibility/2006">
          <mc:Choice Requires="x14">
            <control shapeId="13146688" r:id="rId205" name="Check Box 1600">
              <controlPr defaultSize="0" autoFill="0" autoLine="0" autoPict="0">
                <anchor moveWithCells="1">
                  <from>
                    <xdr:col>9</xdr:col>
                    <xdr:colOff>0</xdr:colOff>
                    <xdr:row>159</xdr:row>
                    <xdr:rowOff>0</xdr:rowOff>
                  </from>
                  <to>
                    <xdr:col>9</xdr:col>
                    <xdr:colOff>295275</xdr:colOff>
                    <xdr:row>160</xdr:row>
                    <xdr:rowOff>47625</xdr:rowOff>
                  </to>
                </anchor>
              </controlPr>
            </control>
          </mc:Choice>
        </mc:AlternateContent>
        <mc:AlternateContent xmlns:mc="http://schemas.openxmlformats.org/markup-compatibility/2006">
          <mc:Choice Requires="x14">
            <control shapeId="13146689" r:id="rId206" name="Check Box 1601">
              <controlPr defaultSize="0" autoFill="0" autoLine="0" autoPict="0">
                <anchor moveWithCells="1">
                  <from>
                    <xdr:col>4</xdr:col>
                    <xdr:colOff>0</xdr:colOff>
                    <xdr:row>159</xdr:row>
                    <xdr:rowOff>0</xdr:rowOff>
                  </from>
                  <to>
                    <xdr:col>4</xdr:col>
                    <xdr:colOff>295275</xdr:colOff>
                    <xdr:row>160</xdr:row>
                    <xdr:rowOff>47625</xdr:rowOff>
                  </to>
                </anchor>
              </controlPr>
            </control>
          </mc:Choice>
        </mc:AlternateContent>
        <mc:AlternateContent xmlns:mc="http://schemas.openxmlformats.org/markup-compatibility/2006">
          <mc:Choice Requires="x14">
            <control shapeId="13146690" r:id="rId207" name="Check Box 1602">
              <controlPr defaultSize="0" autoFill="0" autoLine="0" autoPict="0">
                <anchor moveWithCells="1">
                  <from>
                    <xdr:col>9</xdr:col>
                    <xdr:colOff>0</xdr:colOff>
                    <xdr:row>158</xdr:row>
                    <xdr:rowOff>0</xdr:rowOff>
                  </from>
                  <to>
                    <xdr:col>9</xdr:col>
                    <xdr:colOff>295275</xdr:colOff>
                    <xdr:row>159</xdr:row>
                    <xdr:rowOff>47625</xdr:rowOff>
                  </to>
                </anchor>
              </controlPr>
            </control>
          </mc:Choice>
        </mc:AlternateContent>
        <mc:AlternateContent xmlns:mc="http://schemas.openxmlformats.org/markup-compatibility/2006">
          <mc:Choice Requires="x14">
            <control shapeId="13146691" r:id="rId208" name="Check Box 1603">
              <controlPr defaultSize="0" autoFill="0" autoLine="0" autoPict="0">
                <anchor moveWithCells="1">
                  <from>
                    <xdr:col>4</xdr:col>
                    <xdr:colOff>0</xdr:colOff>
                    <xdr:row>158</xdr:row>
                    <xdr:rowOff>0</xdr:rowOff>
                  </from>
                  <to>
                    <xdr:col>4</xdr:col>
                    <xdr:colOff>295275</xdr:colOff>
                    <xdr:row>159</xdr:row>
                    <xdr:rowOff>47625</xdr:rowOff>
                  </to>
                </anchor>
              </controlPr>
            </control>
          </mc:Choice>
        </mc:AlternateContent>
        <mc:AlternateContent xmlns:mc="http://schemas.openxmlformats.org/markup-compatibility/2006">
          <mc:Choice Requires="x14">
            <control shapeId="13146698" r:id="rId209" name="Check Box 1610">
              <controlPr defaultSize="0" autoFill="0" autoLine="0" autoPict="0">
                <anchor moveWithCells="1">
                  <from>
                    <xdr:col>9</xdr:col>
                    <xdr:colOff>0</xdr:colOff>
                    <xdr:row>157</xdr:row>
                    <xdr:rowOff>0</xdr:rowOff>
                  </from>
                  <to>
                    <xdr:col>9</xdr:col>
                    <xdr:colOff>295275</xdr:colOff>
                    <xdr:row>158</xdr:row>
                    <xdr:rowOff>47625</xdr:rowOff>
                  </to>
                </anchor>
              </controlPr>
            </control>
          </mc:Choice>
        </mc:AlternateContent>
        <mc:AlternateContent xmlns:mc="http://schemas.openxmlformats.org/markup-compatibility/2006">
          <mc:Choice Requires="x14">
            <control shapeId="13146699" r:id="rId210" name="Check Box 1611">
              <controlPr defaultSize="0" autoFill="0" autoLine="0" autoPict="0">
                <anchor moveWithCells="1">
                  <from>
                    <xdr:col>4</xdr:col>
                    <xdr:colOff>0</xdr:colOff>
                    <xdr:row>157</xdr:row>
                    <xdr:rowOff>0</xdr:rowOff>
                  </from>
                  <to>
                    <xdr:col>4</xdr:col>
                    <xdr:colOff>295275</xdr:colOff>
                    <xdr:row>158</xdr:row>
                    <xdr:rowOff>47625</xdr:rowOff>
                  </to>
                </anchor>
              </controlPr>
            </control>
          </mc:Choice>
        </mc:AlternateContent>
        <mc:AlternateContent xmlns:mc="http://schemas.openxmlformats.org/markup-compatibility/2006">
          <mc:Choice Requires="x14">
            <control shapeId="13146700" r:id="rId211" name="Check Box 1612">
              <controlPr defaultSize="0" autoFill="0" autoLine="0" autoPict="0">
                <anchor moveWithCells="1">
                  <from>
                    <xdr:col>9</xdr:col>
                    <xdr:colOff>0</xdr:colOff>
                    <xdr:row>156</xdr:row>
                    <xdr:rowOff>0</xdr:rowOff>
                  </from>
                  <to>
                    <xdr:col>9</xdr:col>
                    <xdr:colOff>295275</xdr:colOff>
                    <xdr:row>157</xdr:row>
                    <xdr:rowOff>47625</xdr:rowOff>
                  </to>
                </anchor>
              </controlPr>
            </control>
          </mc:Choice>
        </mc:AlternateContent>
        <mc:AlternateContent xmlns:mc="http://schemas.openxmlformats.org/markup-compatibility/2006">
          <mc:Choice Requires="x14">
            <control shapeId="13146701" r:id="rId212" name="Check Box 1613">
              <controlPr defaultSize="0" autoFill="0" autoLine="0" autoPict="0">
                <anchor moveWithCells="1">
                  <from>
                    <xdr:col>4</xdr:col>
                    <xdr:colOff>0</xdr:colOff>
                    <xdr:row>156</xdr:row>
                    <xdr:rowOff>0</xdr:rowOff>
                  </from>
                  <to>
                    <xdr:col>4</xdr:col>
                    <xdr:colOff>295275</xdr:colOff>
                    <xdr:row>157</xdr:row>
                    <xdr:rowOff>47625</xdr:rowOff>
                  </to>
                </anchor>
              </controlPr>
            </control>
          </mc:Choice>
        </mc:AlternateContent>
        <mc:AlternateContent xmlns:mc="http://schemas.openxmlformats.org/markup-compatibility/2006">
          <mc:Choice Requires="x14">
            <control shapeId="13146712" r:id="rId213" name="Check Box 1624">
              <controlPr defaultSize="0" autoFill="0" autoLine="0" autoPict="0">
                <anchor moveWithCells="1">
                  <from>
                    <xdr:col>9</xdr:col>
                    <xdr:colOff>0</xdr:colOff>
                    <xdr:row>155</xdr:row>
                    <xdr:rowOff>0</xdr:rowOff>
                  </from>
                  <to>
                    <xdr:col>9</xdr:col>
                    <xdr:colOff>295275</xdr:colOff>
                    <xdr:row>156</xdr:row>
                    <xdr:rowOff>47625</xdr:rowOff>
                  </to>
                </anchor>
              </controlPr>
            </control>
          </mc:Choice>
        </mc:AlternateContent>
        <mc:AlternateContent xmlns:mc="http://schemas.openxmlformats.org/markup-compatibility/2006">
          <mc:Choice Requires="x14">
            <control shapeId="13146713" r:id="rId214" name="Check Box 1625">
              <controlPr defaultSize="0" autoFill="0" autoLine="0" autoPict="0">
                <anchor moveWithCells="1">
                  <from>
                    <xdr:col>4</xdr:col>
                    <xdr:colOff>0</xdr:colOff>
                    <xdr:row>155</xdr:row>
                    <xdr:rowOff>0</xdr:rowOff>
                  </from>
                  <to>
                    <xdr:col>4</xdr:col>
                    <xdr:colOff>295275</xdr:colOff>
                    <xdr:row>156</xdr:row>
                    <xdr:rowOff>47625</xdr:rowOff>
                  </to>
                </anchor>
              </controlPr>
            </control>
          </mc:Choice>
        </mc:AlternateContent>
        <mc:AlternateContent xmlns:mc="http://schemas.openxmlformats.org/markup-compatibility/2006">
          <mc:Choice Requires="x14">
            <control shapeId="13146714" r:id="rId215" name="Check Box 1626">
              <controlPr defaultSize="0" autoFill="0" autoLine="0" autoPict="0">
                <anchor moveWithCells="1">
                  <from>
                    <xdr:col>9</xdr:col>
                    <xdr:colOff>0</xdr:colOff>
                    <xdr:row>154</xdr:row>
                    <xdr:rowOff>0</xdr:rowOff>
                  </from>
                  <to>
                    <xdr:col>9</xdr:col>
                    <xdr:colOff>295275</xdr:colOff>
                    <xdr:row>155</xdr:row>
                    <xdr:rowOff>47625</xdr:rowOff>
                  </to>
                </anchor>
              </controlPr>
            </control>
          </mc:Choice>
        </mc:AlternateContent>
        <mc:AlternateContent xmlns:mc="http://schemas.openxmlformats.org/markup-compatibility/2006">
          <mc:Choice Requires="x14">
            <control shapeId="13146715" r:id="rId216" name="Check Box 1627">
              <controlPr defaultSize="0" autoFill="0" autoLine="0" autoPict="0">
                <anchor moveWithCells="1">
                  <from>
                    <xdr:col>4</xdr:col>
                    <xdr:colOff>0</xdr:colOff>
                    <xdr:row>154</xdr:row>
                    <xdr:rowOff>0</xdr:rowOff>
                  </from>
                  <to>
                    <xdr:col>4</xdr:col>
                    <xdr:colOff>295275</xdr:colOff>
                    <xdr:row>155</xdr:row>
                    <xdr:rowOff>47625</xdr:rowOff>
                  </to>
                </anchor>
              </controlPr>
            </control>
          </mc:Choice>
        </mc:AlternateContent>
        <mc:AlternateContent xmlns:mc="http://schemas.openxmlformats.org/markup-compatibility/2006">
          <mc:Choice Requires="x14">
            <control shapeId="13146722" r:id="rId217" name="Check Box 1634">
              <controlPr defaultSize="0" autoFill="0" autoLine="0" autoPict="0">
                <anchor moveWithCells="1">
                  <from>
                    <xdr:col>9</xdr:col>
                    <xdr:colOff>0</xdr:colOff>
                    <xdr:row>153</xdr:row>
                    <xdr:rowOff>0</xdr:rowOff>
                  </from>
                  <to>
                    <xdr:col>9</xdr:col>
                    <xdr:colOff>295275</xdr:colOff>
                    <xdr:row>154</xdr:row>
                    <xdr:rowOff>66675</xdr:rowOff>
                  </to>
                </anchor>
              </controlPr>
            </control>
          </mc:Choice>
        </mc:AlternateContent>
        <mc:AlternateContent xmlns:mc="http://schemas.openxmlformats.org/markup-compatibility/2006">
          <mc:Choice Requires="x14">
            <control shapeId="13146723" r:id="rId218" name="Check Box 1635">
              <controlPr defaultSize="0" autoFill="0" autoLine="0" autoPict="0">
                <anchor moveWithCells="1">
                  <from>
                    <xdr:col>4</xdr:col>
                    <xdr:colOff>0</xdr:colOff>
                    <xdr:row>153</xdr:row>
                    <xdr:rowOff>0</xdr:rowOff>
                  </from>
                  <to>
                    <xdr:col>4</xdr:col>
                    <xdr:colOff>295275</xdr:colOff>
                    <xdr:row>154</xdr:row>
                    <xdr:rowOff>66675</xdr:rowOff>
                  </to>
                </anchor>
              </controlPr>
            </control>
          </mc:Choice>
        </mc:AlternateContent>
        <mc:AlternateContent xmlns:mc="http://schemas.openxmlformats.org/markup-compatibility/2006">
          <mc:Choice Requires="x14">
            <control shapeId="13146727" r:id="rId219" name="Check Box 1639">
              <controlPr defaultSize="0" autoFill="0" autoLine="0" autoPict="0">
                <anchor moveWithCells="1">
                  <from>
                    <xdr:col>9</xdr:col>
                    <xdr:colOff>0</xdr:colOff>
                    <xdr:row>152</xdr:row>
                    <xdr:rowOff>0</xdr:rowOff>
                  </from>
                  <to>
                    <xdr:col>9</xdr:col>
                    <xdr:colOff>295275</xdr:colOff>
                    <xdr:row>153</xdr:row>
                    <xdr:rowOff>47625</xdr:rowOff>
                  </to>
                </anchor>
              </controlPr>
            </control>
          </mc:Choice>
        </mc:AlternateContent>
        <mc:AlternateContent xmlns:mc="http://schemas.openxmlformats.org/markup-compatibility/2006">
          <mc:Choice Requires="x14">
            <control shapeId="13146728" r:id="rId220" name="Check Box 1640">
              <controlPr defaultSize="0" autoFill="0" autoLine="0" autoPict="0">
                <anchor moveWithCells="1">
                  <from>
                    <xdr:col>4</xdr:col>
                    <xdr:colOff>0</xdr:colOff>
                    <xdr:row>152</xdr:row>
                    <xdr:rowOff>0</xdr:rowOff>
                  </from>
                  <to>
                    <xdr:col>4</xdr:col>
                    <xdr:colOff>295275</xdr:colOff>
                    <xdr:row>153</xdr:row>
                    <xdr:rowOff>47625</xdr:rowOff>
                  </to>
                </anchor>
              </controlPr>
            </control>
          </mc:Choice>
        </mc:AlternateContent>
        <mc:AlternateContent xmlns:mc="http://schemas.openxmlformats.org/markup-compatibility/2006">
          <mc:Choice Requires="x14">
            <control shapeId="13146735" r:id="rId221" name="Check Box 1647">
              <controlPr defaultSize="0" autoFill="0" autoLine="0" autoPict="0">
                <anchor moveWithCells="1">
                  <from>
                    <xdr:col>9</xdr:col>
                    <xdr:colOff>0</xdr:colOff>
                    <xdr:row>151</xdr:row>
                    <xdr:rowOff>0</xdr:rowOff>
                  </from>
                  <to>
                    <xdr:col>9</xdr:col>
                    <xdr:colOff>295275</xdr:colOff>
                    <xdr:row>152</xdr:row>
                    <xdr:rowOff>47625</xdr:rowOff>
                  </to>
                </anchor>
              </controlPr>
            </control>
          </mc:Choice>
        </mc:AlternateContent>
        <mc:AlternateContent xmlns:mc="http://schemas.openxmlformats.org/markup-compatibility/2006">
          <mc:Choice Requires="x14">
            <control shapeId="13146736" r:id="rId222" name="Check Box 1648">
              <controlPr defaultSize="0" autoFill="0" autoLine="0" autoPict="0">
                <anchor moveWithCells="1">
                  <from>
                    <xdr:col>4</xdr:col>
                    <xdr:colOff>0</xdr:colOff>
                    <xdr:row>151</xdr:row>
                    <xdr:rowOff>0</xdr:rowOff>
                  </from>
                  <to>
                    <xdr:col>4</xdr:col>
                    <xdr:colOff>295275</xdr:colOff>
                    <xdr:row>152</xdr:row>
                    <xdr:rowOff>47625</xdr:rowOff>
                  </to>
                </anchor>
              </controlPr>
            </control>
          </mc:Choice>
        </mc:AlternateContent>
        <mc:AlternateContent xmlns:mc="http://schemas.openxmlformats.org/markup-compatibility/2006">
          <mc:Choice Requires="x14">
            <control shapeId="13146737" r:id="rId223" name="Check Box 1649">
              <controlPr defaultSize="0" autoFill="0" autoLine="0" autoPict="0">
                <anchor moveWithCells="1">
                  <from>
                    <xdr:col>9</xdr:col>
                    <xdr:colOff>0</xdr:colOff>
                    <xdr:row>150</xdr:row>
                    <xdr:rowOff>0</xdr:rowOff>
                  </from>
                  <to>
                    <xdr:col>9</xdr:col>
                    <xdr:colOff>295275</xdr:colOff>
                    <xdr:row>151</xdr:row>
                    <xdr:rowOff>47625</xdr:rowOff>
                  </to>
                </anchor>
              </controlPr>
            </control>
          </mc:Choice>
        </mc:AlternateContent>
        <mc:AlternateContent xmlns:mc="http://schemas.openxmlformats.org/markup-compatibility/2006">
          <mc:Choice Requires="x14">
            <control shapeId="13146738" r:id="rId224" name="Check Box 1650">
              <controlPr defaultSize="0" autoFill="0" autoLine="0" autoPict="0">
                <anchor moveWithCells="1">
                  <from>
                    <xdr:col>4</xdr:col>
                    <xdr:colOff>0</xdr:colOff>
                    <xdr:row>150</xdr:row>
                    <xdr:rowOff>0</xdr:rowOff>
                  </from>
                  <to>
                    <xdr:col>4</xdr:col>
                    <xdr:colOff>295275</xdr:colOff>
                    <xdr:row>151</xdr:row>
                    <xdr:rowOff>47625</xdr:rowOff>
                  </to>
                </anchor>
              </controlPr>
            </control>
          </mc:Choice>
        </mc:AlternateContent>
        <mc:AlternateContent xmlns:mc="http://schemas.openxmlformats.org/markup-compatibility/2006">
          <mc:Choice Requires="x14">
            <control shapeId="13146741" r:id="rId225" name="Check Box 1653">
              <controlPr defaultSize="0" autoFill="0" autoLine="0" autoPict="0">
                <anchor moveWithCells="1">
                  <from>
                    <xdr:col>9</xdr:col>
                    <xdr:colOff>0</xdr:colOff>
                    <xdr:row>149</xdr:row>
                    <xdr:rowOff>0</xdr:rowOff>
                  </from>
                  <to>
                    <xdr:col>9</xdr:col>
                    <xdr:colOff>295275</xdr:colOff>
                    <xdr:row>150</xdr:row>
                    <xdr:rowOff>47625</xdr:rowOff>
                  </to>
                </anchor>
              </controlPr>
            </control>
          </mc:Choice>
        </mc:AlternateContent>
        <mc:AlternateContent xmlns:mc="http://schemas.openxmlformats.org/markup-compatibility/2006">
          <mc:Choice Requires="x14">
            <control shapeId="13146742" r:id="rId226" name="Check Box 1654">
              <controlPr defaultSize="0" autoFill="0" autoLine="0" autoPict="0">
                <anchor moveWithCells="1">
                  <from>
                    <xdr:col>4</xdr:col>
                    <xdr:colOff>0</xdr:colOff>
                    <xdr:row>149</xdr:row>
                    <xdr:rowOff>0</xdr:rowOff>
                  </from>
                  <to>
                    <xdr:col>4</xdr:col>
                    <xdr:colOff>295275</xdr:colOff>
                    <xdr:row>150</xdr:row>
                    <xdr:rowOff>47625</xdr:rowOff>
                  </to>
                </anchor>
              </controlPr>
            </control>
          </mc:Choice>
        </mc:AlternateContent>
        <mc:AlternateContent xmlns:mc="http://schemas.openxmlformats.org/markup-compatibility/2006">
          <mc:Choice Requires="x14">
            <control shapeId="13146743" r:id="rId227" name="Check Box 1655">
              <controlPr defaultSize="0" autoFill="0" autoLine="0" autoPict="0">
                <anchor moveWithCells="1">
                  <from>
                    <xdr:col>9</xdr:col>
                    <xdr:colOff>0</xdr:colOff>
                    <xdr:row>148</xdr:row>
                    <xdr:rowOff>0</xdr:rowOff>
                  </from>
                  <to>
                    <xdr:col>9</xdr:col>
                    <xdr:colOff>295275</xdr:colOff>
                    <xdr:row>149</xdr:row>
                    <xdr:rowOff>47625</xdr:rowOff>
                  </to>
                </anchor>
              </controlPr>
            </control>
          </mc:Choice>
        </mc:AlternateContent>
        <mc:AlternateContent xmlns:mc="http://schemas.openxmlformats.org/markup-compatibility/2006">
          <mc:Choice Requires="x14">
            <control shapeId="13146744" r:id="rId228" name="Check Box 1656">
              <controlPr defaultSize="0" autoFill="0" autoLine="0" autoPict="0">
                <anchor moveWithCells="1">
                  <from>
                    <xdr:col>4</xdr:col>
                    <xdr:colOff>0</xdr:colOff>
                    <xdr:row>148</xdr:row>
                    <xdr:rowOff>0</xdr:rowOff>
                  </from>
                  <to>
                    <xdr:col>4</xdr:col>
                    <xdr:colOff>295275</xdr:colOff>
                    <xdr:row>149</xdr:row>
                    <xdr:rowOff>47625</xdr:rowOff>
                  </to>
                </anchor>
              </controlPr>
            </control>
          </mc:Choice>
        </mc:AlternateContent>
        <mc:AlternateContent xmlns:mc="http://schemas.openxmlformats.org/markup-compatibility/2006">
          <mc:Choice Requires="x14">
            <control shapeId="13146747" r:id="rId229" name="Check Box 1659">
              <controlPr defaultSize="0" autoFill="0" autoLine="0" autoPict="0">
                <anchor moveWithCells="1">
                  <from>
                    <xdr:col>9</xdr:col>
                    <xdr:colOff>0</xdr:colOff>
                    <xdr:row>147</xdr:row>
                    <xdr:rowOff>0</xdr:rowOff>
                  </from>
                  <to>
                    <xdr:col>9</xdr:col>
                    <xdr:colOff>295275</xdr:colOff>
                    <xdr:row>148</xdr:row>
                    <xdr:rowOff>47625</xdr:rowOff>
                  </to>
                </anchor>
              </controlPr>
            </control>
          </mc:Choice>
        </mc:AlternateContent>
        <mc:AlternateContent xmlns:mc="http://schemas.openxmlformats.org/markup-compatibility/2006">
          <mc:Choice Requires="x14">
            <control shapeId="13146748" r:id="rId230" name="Check Box 1660">
              <controlPr defaultSize="0" autoFill="0" autoLine="0" autoPict="0">
                <anchor moveWithCells="1">
                  <from>
                    <xdr:col>4</xdr:col>
                    <xdr:colOff>0</xdr:colOff>
                    <xdr:row>147</xdr:row>
                    <xdr:rowOff>0</xdr:rowOff>
                  </from>
                  <to>
                    <xdr:col>4</xdr:col>
                    <xdr:colOff>295275</xdr:colOff>
                    <xdr:row>148</xdr:row>
                    <xdr:rowOff>47625</xdr:rowOff>
                  </to>
                </anchor>
              </controlPr>
            </control>
          </mc:Choice>
        </mc:AlternateContent>
        <mc:AlternateContent xmlns:mc="http://schemas.openxmlformats.org/markup-compatibility/2006">
          <mc:Choice Requires="x14">
            <control shapeId="13146753" r:id="rId231" name="Check Box 1665">
              <controlPr defaultSize="0" autoFill="0" autoLine="0" autoPict="0">
                <anchor moveWithCells="1">
                  <from>
                    <xdr:col>9</xdr:col>
                    <xdr:colOff>0</xdr:colOff>
                    <xdr:row>146</xdr:row>
                    <xdr:rowOff>0</xdr:rowOff>
                  </from>
                  <to>
                    <xdr:col>9</xdr:col>
                    <xdr:colOff>295275</xdr:colOff>
                    <xdr:row>147</xdr:row>
                    <xdr:rowOff>47625</xdr:rowOff>
                  </to>
                </anchor>
              </controlPr>
            </control>
          </mc:Choice>
        </mc:AlternateContent>
        <mc:AlternateContent xmlns:mc="http://schemas.openxmlformats.org/markup-compatibility/2006">
          <mc:Choice Requires="x14">
            <control shapeId="13146754" r:id="rId232" name="Check Box 1666">
              <controlPr defaultSize="0" autoFill="0" autoLine="0" autoPict="0">
                <anchor moveWithCells="1">
                  <from>
                    <xdr:col>4</xdr:col>
                    <xdr:colOff>0</xdr:colOff>
                    <xdr:row>146</xdr:row>
                    <xdr:rowOff>0</xdr:rowOff>
                  </from>
                  <to>
                    <xdr:col>4</xdr:col>
                    <xdr:colOff>295275</xdr:colOff>
                    <xdr:row>147</xdr:row>
                    <xdr:rowOff>47625</xdr:rowOff>
                  </to>
                </anchor>
              </controlPr>
            </control>
          </mc:Choice>
        </mc:AlternateContent>
        <mc:AlternateContent xmlns:mc="http://schemas.openxmlformats.org/markup-compatibility/2006">
          <mc:Choice Requires="x14">
            <control shapeId="13146755" r:id="rId233" name="Check Box 1667">
              <controlPr defaultSize="0" autoFill="0" autoLine="0" autoPict="0">
                <anchor moveWithCells="1">
                  <from>
                    <xdr:col>9</xdr:col>
                    <xdr:colOff>0</xdr:colOff>
                    <xdr:row>145</xdr:row>
                    <xdr:rowOff>0</xdr:rowOff>
                  </from>
                  <to>
                    <xdr:col>9</xdr:col>
                    <xdr:colOff>295275</xdr:colOff>
                    <xdr:row>146</xdr:row>
                    <xdr:rowOff>47625</xdr:rowOff>
                  </to>
                </anchor>
              </controlPr>
            </control>
          </mc:Choice>
        </mc:AlternateContent>
        <mc:AlternateContent xmlns:mc="http://schemas.openxmlformats.org/markup-compatibility/2006">
          <mc:Choice Requires="x14">
            <control shapeId="13146756" r:id="rId234" name="Check Box 1668">
              <controlPr defaultSize="0" autoFill="0" autoLine="0" autoPict="0">
                <anchor moveWithCells="1">
                  <from>
                    <xdr:col>4</xdr:col>
                    <xdr:colOff>0</xdr:colOff>
                    <xdr:row>145</xdr:row>
                    <xdr:rowOff>0</xdr:rowOff>
                  </from>
                  <to>
                    <xdr:col>4</xdr:col>
                    <xdr:colOff>295275</xdr:colOff>
                    <xdr:row>146</xdr:row>
                    <xdr:rowOff>47625</xdr:rowOff>
                  </to>
                </anchor>
              </controlPr>
            </control>
          </mc:Choice>
        </mc:AlternateContent>
        <mc:AlternateContent xmlns:mc="http://schemas.openxmlformats.org/markup-compatibility/2006">
          <mc:Choice Requires="x14">
            <control shapeId="13146759" r:id="rId235" name="Check Box 1671">
              <controlPr defaultSize="0" autoFill="0" autoLine="0" autoPict="0">
                <anchor moveWithCells="1">
                  <from>
                    <xdr:col>9</xdr:col>
                    <xdr:colOff>0</xdr:colOff>
                    <xdr:row>144</xdr:row>
                    <xdr:rowOff>0</xdr:rowOff>
                  </from>
                  <to>
                    <xdr:col>9</xdr:col>
                    <xdr:colOff>295275</xdr:colOff>
                    <xdr:row>145</xdr:row>
                    <xdr:rowOff>66675</xdr:rowOff>
                  </to>
                </anchor>
              </controlPr>
            </control>
          </mc:Choice>
        </mc:AlternateContent>
        <mc:AlternateContent xmlns:mc="http://schemas.openxmlformats.org/markup-compatibility/2006">
          <mc:Choice Requires="x14">
            <control shapeId="13146760" r:id="rId236" name="Check Box 1672">
              <controlPr defaultSize="0" autoFill="0" autoLine="0" autoPict="0">
                <anchor moveWithCells="1">
                  <from>
                    <xdr:col>4</xdr:col>
                    <xdr:colOff>0</xdr:colOff>
                    <xdr:row>144</xdr:row>
                    <xdr:rowOff>0</xdr:rowOff>
                  </from>
                  <to>
                    <xdr:col>4</xdr:col>
                    <xdr:colOff>295275</xdr:colOff>
                    <xdr:row>145</xdr:row>
                    <xdr:rowOff>66675</xdr:rowOff>
                  </to>
                </anchor>
              </controlPr>
            </control>
          </mc:Choice>
        </mc:AlternateContent>
        <mc:AlternateContent xmlns:mc="http://schemas.openxmlformats.org/markup-compatibility/2006">
          <mc:Choice Requires="x14">
            <control shapeId="13146767" r:id="rId237" name="Check Box 1679">
              <controlPr defaultSize="0" autoFill="0" autoLine="0" autoPict="0">
                <anchor moveWithCells="1">
                  <from>
                    <xdr:col>9</xdr:col>
                    <xdr:colOff>0</xdr:colOff>
                    <xdr:row>143</xdr:row>
                    <xdr:rowOff>0</xdr:rowOff>
                  </from>
                  <to>
                    <xdr:col>9</xdr:col>
                    <xdr:colOff>295275</xdr:colOff>
                    <xdr:row>144</xdr:row>
                    <xdr:rowOff>47625</xdr:rowOff>
                  </to>
                </anchor>
              </controlPr>
            </control>
          </mc:Choice>
        </mc:AlternateContent>
        <mc:AlternateContent xmlns:mc="http://schemas.openxmlformats.org/markup-compatibility/2006">
          <mc:Choice Requires="x14">
            <control shapeId="13146768" r:id="rId238" name="Check Box 1680">
              <controlPr defaultSize="0" autoFill="0" autoLine="0" autoPict="0">
                <anchor moveWithCells="1">
                  <from>
                    <xdr:col>4</xdr:col>
                    <xdr:colOff>0</xdr:colOff>
                    <xdr:row>143</xdr:row>
                    <xdr:rowOff>0</xdr:rowOff>
                  </from>
                  <to>
                    <xdr:col>4</xdr:col>
                    <xdr:colOff>295275</xdr:colOff>
                    <xdr:row>144</xdr:row>
                    <xdr:rowOff>47625</xdr:rowOff>
                  </to>
                </anchor>
              </controlPr>
            </control>
          </mc:Choice>
        </mc:AlternateContent>
        <mc:AlternateContent xmlns:mc="http://schemas.openxmlformats.org/markup-compatibility/2006">
          <mc:Choice Requires="x14">
            <control shapeId="13146771" r:id="rId239" name="Check Box 1683">
              <controlPr defaultSize="0" autoFill="0" autoLine="0" autoPict="0">
                <anchor moveWithCells="1">
                  <from>
                    <xdr:col>9</xdr:col>
                    <xdr:colOff>0</xdr:colOff>
                    <xdr:row>142</xdr:row>
                    <xdr:rowOff>0</xdr:rowOff>
                  </from>
                  <to>
                    <xdr:col>9</xdr:col>
                    <xdr:colOff>295275</xdr:colOff>
                    <xdr:row>143</xdr:row>
                    <xdr:rowOff>47625</xdr:rowOff>
                  </to>
                </anchor>
              </controlPr>
            </control>
          </mc:Choice>
        </mc:AlternateContent>
        <mc:AlternateContent xmlns:mc="http://schemas.openxmlformats.org/markup-compatibility/2006">
          <mc:Choice Requires="x14">
            <control shapeId="13146772" r:id="rId240" name="Check Box 1684">
              <controlPr defaultSize="0" autoFill="0" autoLine="0" autoPict="0">
                <anchor moveWithCells="1">
                  <from>
                    <xdr:col>4</xdr:col>
                    <xdr:colOff>0</xdr:colOff>
                    <xdr:row>142</xdr:row>
                    <xdr:rowOff>0</xdr:rowOff>
                  </from>
                  <to>
                    <xdr:col>4</xdr:col>
                    <xdr:colOff>295275</xdr:colOff>
                    <xdr:row>143</xdr:row>
                    <xdr:rowOff>47625</xdr:rowOff>
                  </to>
                </anchor>
              </controlPr>
            </control>
          </mc:Choice>
        </mc:AlternateContent>
        <mc:AlternateContent xmlns:mc="http://schemas.openxmlformats.org/markup-compatibility/2006">
          <mc:Choice Requires="x14">
            <control shapeId="13146779" r:id="rId241" name="Check Box 1691">
              <controlPr defaultSize="0" autoFill="0" autoLine="0" autoPict="0">
                <anchor moveWithCells="1">
                  <from>
                    <xdr:col>9</xdr:col>
                    <xdr:colOff>0</xdr:colOff>
                    <xdr:row>141</xdr:row>
                    <xdr:rowOff>0</xdr:rowOff>
                  </from>
                  <to>
                    <xdr:col>9</xdr:col>
                    <xdr:colOff>295275</xdr:colOff>
                    <xdr:row>142</xdr:row>
                    <xdr:rowOff>47625</xdr:rowOff>
                  </to>
                </anchor>
              </controlPr>
            </control>
          </mc:Choice>
        </mc:AlternateContent>
        <mc:AlternateContent xmlns:mc="http://schemas.openxmlformats.org/markup-compatibility/2006">
          <mc:Choice Requires="x14">
            <control shapeId="13146780" r:id="rId242" name="Check Box 1692">
              <controlPr defaultSize="0" autoFill="0" autoLine="0" autoPict="0">
                <anchor moveWithCells="1">
                  <from>
                    <xdr:col>4</xdr:col>
                    <xdr:colOff>0</xdr:colOff>
                    <xdr:row>141</xdr:row>
                    <xdr:rowOff>0</xdr:rowOff>
                  </from>
                  <to>
                    <xdr:col>4</xdr:col>
                    <xdr:colOff>295275</xdr:colOff>
                    <xdr:row>142</xdr:row>
                    <xdr:rowOff>47625</xdr:rowOff>
                  </to>
                </anchor>
              </controlPr>
            </control>
          </mc:Choice>
        </mc:AlternateContent>
        <mc:AlternateContent xmlns:mc="http://schemas.openxmlformats.org/markup-compatibility/2006">
          <mc:Choice Requires="x14">
            <control shapeId="13146783" r:id="rId243" name="Check Box 1695">
              <controlPr defaultSize="0" autoFill="0" autoLine="0" autoPict="0">
                <anchor moveWithCells="1">
                  <from>
                    <xdr:col>9</xdr:col>
                    <xdr:colOff>0</xdr:colOff>
                    <xdr:row>140</xdr:row>
                    <xdr:rowOff>0</xdr:rowOff>
                  </from>
                  <to>
                    <xdr:col>9</xdr:col>
                    <xdr:colOff>295275</xdr:colOff>
                    <xdr:row>141</xdr:row>
                    <xdr:rowOff>47625</xdr:rowOff>
                  </to>
                </anchor>
              </controlPr>
            </control>
          </mc:Choice>
        </mc:AlternateContent>
        <mc:AlternateContent xmlns:mc="http://schemas.openxmlformats.org/markup-compatibility/2006">
          <mc:Choice Requires="x14">
            <control shapeId="13146784" r:id="rId244" name="Check Box 1696">
              <controlPr defaultSize="0" autoFill="0" autoLine="0" autoPict="0">
                <anchor moveWithCells="1">
                  <from>
                    <xdr:col>4</xdr:col>
                    <xdr:colOff>0</xdr:colOff>
                    <xdr:row>140</xdr:row>
                    <xdr:rowOff>0</xdr:rowOff>
                  </from>
                  <to>
                    <xdr:col>4</xdr:col>
                    <xdr:colOff>295275</xdr:colOff>
                    <xdr:row>141</xdr:row>
                    <xdr:rowOff>47625</xdr:rowOff>
                  </to>
                </anchor>
              </controlPr>
            </control>
          </mc:Choice>
        </mc:AlternateContent>
        <mc:AlternateContent xmlns:mc="http://schemas.openxmlformats.org/markup-compatibility/2006">
          <mc:Choice Requires="x14">
            <control shapeId="13146785" r:id="rId245" name="Check Box 1697">
              <controlPr defaultSize="0" autoFill="0" autoLine="0" autoPict="0">
                <anchor moveWithCells="1">
                  <from>
                    <xdr:col>9</xdr:col>
                    <xdr:colOff>0</xdr:colOff>
                    <xdr:row>139</xdr:row>
                    <xdr:rowOff>0</xdr:rowOff>
                  </from>
                  <to>
                    <xdr:col>9</xdr:col>
                    <xdr:colOff>295275</xdr:colOff>
                    <xdr:row>140</xdr:row>
                    <xdr:rowOff>47625</xdr:rowOff>
                  </to>
                </anchor>
              </controlPr>
            </control>
          </mc:Choice>
        </mc:AlternateContent>
        <mc:AlternateContent xmlns:mc="http://schemas.openxmlformats.org/markup-compatibility/2006">
          <mc:Choice Requires="x14">
            <control shapeId="13146786" r:id="rId246" name="Check Box 1698">
              <controlPr defaultSize="0" autoFill="0" autoLine="0" autoPict="0">
                <anchor moveWithCells="1">
                  <from>
                    <xdr:col>4</xdr:col>
                    <xdr:colOff>0</xdr:colOff>
                    <xdr:row>139</xdr:row>
                    <xdr:rowOff>0</xdr:rowOff>
                  </from>
                  <to>
                    <xdr:col>4</xdr:col>
                    <xdr:colOff>295275</xdr:colOff>
                    <xdr:row>140</xdr:row>
                    <xdr:rowOff>47625</xdr:rowOff>
                  </to>
                </anchor>
              </controlPr>
            </control>
          </mc:Choice>
        </mc:AlternateContent>
        <mc:AlternateContent xmlns:mc="http://schemas.openxmlformats.org/markup-compatibility/2006">
          <mc:Choice Requires="x14">
            <control shapeId="13146789" r:id="rId247" name="Check Box 1701">
              <controlPr defaultSize="0" autoFill="0" autoLine="0" autoPict="0">
                <anchor moveWithCells="1">
                  <from>
                    <xdr:col>9</xdr:col>
                    <xdr:colOff>0</xdr:colOff>
                    <xdr:row>138</xdr:row>
                    <xdr:rowOff>0</xdr:rowOff>
                  </from>
                  <to>
                    <xdr:col>9</xdr:col>
                    <xdr:colOff>295275</xdr:colOff>
                    <xdr:row>139</xdr:row>
                    <xdr:rowOff>47625</xdr:rowOff>
                  </to>
                </anchor>
              </controlPr>
            </control>
          </mc:Choice>
        </mc:AlternateContent>
        <mc:AlternateContent xmlns:mc="http://schemas.openxmlformats.org/markup-compatibility/2006">
          <mc:Choice Requires="x14">
            <control shapeId="13146790" r:id="rId248" name="Check Box 1702">
              <controlPr defaultSize="0" autoFill="0" autoLine="0" autoPict="0">
                <anchor moveWithCells="1">
                  <from>
                    <xdr:col>4</xdr:col>
                    <xdr:colOff>0</xdr:colOff>
                    <xdr:row>138</xdr:row>
                    <xdr:rowOff>0</xdr:rowOff>
                  </from>
                  <to>
                    <xdr:col>4</xdr:col>
                    <xdr:colOff>295275</xdr:colOff>
                    <xdr:row>139</xdr:row>
                    <xdr:rowOff>47625</xdr:rowOff>
                  </to>
                </anchor>
              </controlPr>
            </control>
          </mc:Choice>
        </mc:AlternateContent>
        <mc:AlternateContent xmlns:mc="http://schemas.openxmlformats.org/markup-compatibility/2006">
          <mc:Choice Requires="x14">
            <control shapeId="13146791" r:id="rId249" name="Check Box 1703">
              <controlPr defaultSize="0" autoFill="0" autoLine="0" autoPict="0">
                <anchor moveWithCells="1">
                  <from>
                    <xdr:col>9</xdr:col>
                    <xdr:colOff>0</xdr:colOff>
                    <xdr:row>137</xdr:row>
                    <xdr:rowOff>0</xdr:rowOff>
                  </from>
                  <to>
                    <xdr:col>9</xdr:col>
                    <xdr:colOff>295275</xdr:colOff>
                    <xdr:row>138</xdr:row>
                    <xdr:rowOff>47625</xdr:rowOff>
                  </to>
                </anchor>
              </controlPr>
            </control>
          </mc:Choice>
        </mc:AlternateContent>
        <mc:AlternateContent xmlns:mc="http://schemas.openxmlformats.org/markup-compatibility/2006">
          <mc:Choice Requires="x14">
            <control shapeId="13146792" r:id="rId250" name="Check Box 1704">
              <controlPr defaultSize="0" autoFill="0" autoLine="0" autoPict="0">
                <anchor moveWithCells="1">
                  <from>
                    <xdr:col>4</xdr:col>
                    <xdr:colOff>0</xdr:colOff>
                    <xdr:row>137</xdr:row>
                    <xdr:rowOff>0</xdr:rowOff>
                  </from>
                  <to>
                    <xdr:col>4</xdr:col>
                    <xdr:colOff>295275</xdr:colOff>
                    <xdr:row>138</xdr:row>
                    <xdr:rowOff>47625</xdr:rowOff>
                  </to>
                </anchor>
              </controlPr>
            </control>
          </mc:Choice>
        </mc:AlternateContent>
        <mc:AlternateContent xmlns:mc="http://schemas.openxmlformats.org/markup-compatibility/2006">
          <mc:Choice Requires="x14">
            <control shapeId="13146797" r:id="rId251" name="Check Box 1709">
              <controlPr defaultSize="0" autoFill="0" autoLine="0" autoPict="0">
                <anchor moveWithCells="1">
                  <from>
                    <xdr:col>9</xdr:col>
                    <xdr:colOff>0</xdr:colOff>
                    <xdr:row>136</xdr:row>
                    <xdr:rowOff>0</xdr:rowOff>
                  </from>
                  <to>
                    <xdr:col>9</xdr:col>
                    <xdr:colOff>295275</xdr:colOff>
                    <xdr:row>137</xdr:row>
                    <xdr:rowOff>47625</xdr:rowOff>
                  </to>
                </anchor>
              </controlPr>
            </control>
          </mc:Choice>
        </mc:AlternateContent>
        <mc:AlternateContent xmlns:mc="http://schemas.openxmlformats.org/markup-compatibility/2006">
          <mc:Choice Requires="x14">
            <control shapeId="13146798" r:id="rId252" name="Check Box 1710">
              <controlPr defaultSize="0" autoFill="0" autoLine="0" autoPict="0">
                <anchor moveWithCells="1">
                  <from>
                    <xdr:col>4</xdr:col>
                    <xdr:colOff>0</xdr:colOff>
                    <xdr:row>136</xdr:row>
                    <xdr:rowOff>0</xdr:rowOff>
                  </from>
                  <to>
                    <xdr:col>4</xdr:col>
                    <xdr:colOff>295275</xdr:colOff>
                    <xdr:row>137</xdr:row>
                    <xdr:rowOff>47625</xdr:rowOff>
                  </to>
                </anchor>
              </controlPr>
            </control>
          </mc:Choice>
        </mc:AlternateContent>
        <mc:AlternateContent xmlns:mc="http://schemas.openxmlformats.org/markup-compatibility/2006">
          <mc:Choice Requires="x14">
            <control shapeId="13146801" r:id="rId253" name="Check Box 1713">
              <controlPr defaultSize="0" autoFill="0" autoLine="0" autoPict="0">
                <anchor moveWithCells="1">
                  <from>
                    <xdr:col>9</xdr:col>
                    <xdr:colOff>0</xdr:colOff>
                    <xdr:row>135</xdr:row>
                    <xdr:rowOff>0</xdr:rowOff>
                  </from>
                  <to>
                    <xdr:col>9</xdr:col>
                    <xdr:colOff>295275</xdr:colOff>
                    <xdr:row>136</xdr:row>
                    <xdr:rowOff>47625</xdr:rowOff>
                  </to>
                </anchor>
              </controlPr>
            </control>
          </mc:Choice>
        </mc:AlternateContent>
        <mc:AlternateContent xmlns:mc="http://schemas.openxmlformats.org/markup-compatibility/2006">
          <mc:Choice Requires="x14">
            <control shapeId="13146802" r:id="rId254" name="Check Box 1714">
              <controlPr defaultSize="0" autoFill="0" autoLine="0" autoPict="0">
                <anchor moveWithCells="1">
                  <from>
                    <xdr:col>4</xdr:col>
                    <xdr:colOff>0</xdr:colOff>
                    <xdr:row>135</xdr:row>
                    <xdr:rowOff>0</xdr:rowOff>
                  </from>
                  <to>
                    <xdr:col>4</xdr:col>
                    <xdr:colOff>295275</xdr:colOff>
                    <xdr:row>136</xdr:row>
                    <xdr:rowOff>47625</xdr:rowOff>
                  </to>
                </anchor>
              </controlPr>
            </control>
          </mc:Choice>
        </mc:AlternateContent>
        <mc:AlternateContent xmlns:mc="http://schemas.openxmlformats.org/markup-compatibility/2006">
          <mc:Choice Requires="x14">
            <control shapeId="13146811" r:id="rId255" name="Check Box 1723">
              <controlPr defaultSize="0" autoFill="0" autoLine="0" autoPict="0">
                <anchor moveWithCells="1">
                  <from>
                    <xdr:col>9</xdr:col>
                    <xdr:colOff>0</xdr:colOff>
                    <xdr:row>134</xdr:row>
                    <xdr:rowOff>0</xdr:rowOff>
                  </from>
                  <to>
                    <xdr:col>9</xdr:col>
                    <xdr:colOff>295275</xdr:colOff>
                    <xdr:row>135</xdr:row>
                    <xdr:rowOff>47625</xdr:rowOff>
                  </to>
                </anchor>
              </controlPr>
            </control>
          </mc:Choice>
        </mc:AlternateContent>
        <mc:AlternateContent xmlns:mc="http://schemas.openxmlformats.org/markup-compatibility/2006">
          <mc:Choice Requires="x14">
            <control shapeId="13146812" r:id="rId256" name="Check Box 1724">
              <controlPr defaultSize="0" autoFill="0" autoLine="0" autoPict="0">
                <anchor moveWithCells="1">
                  <from>
                    <xdr:col>4</xdr:col>
                    <xdr:colOff>0</xdr:colOff>
                    <xdr:row>134</xdr:row>
                    <xdr:rowOff>0</xdr:rowOff>
                  </from>
                  <to>
                    <xdr:col>4</xdr:col>
                    <xdr:colOff>295275</xdr:colOff>
                    <xdr:row>135</xdr:row>
                    <xdr:rowOff>47625</xdr:rowOff>
                  </to>
                </anchor>
              </controlPr>
            </control>
          </mc:Choice>
        </mc:AlternateContent>
        <mc:AlternateContent xmlns:mc="http://schemas.openxmlformats.org/markup-compatibility/2006">
          <mc:Choice Requires="x14">
            <control shapeId="13146819" r:id="rId257" name="Check Box 1731">
              <controlPr defaultSize="0" autoFill="0" autoLine="0" autoPict="0">
                <anchor moveWithCells="1">
                  <from>
                    <xdr:col>9</xdr:col>
                    <xdr:colOff>0</xdr:colOff>
                    <xdr:row>133</xdr:row>
                    <xdr:rowOff>0</xdr:rowOff>
                  </from>
                  <to>
                    <xdr:col>9</xdr:col>
                    <xdr:colOff>295275</xdr:colOff>
                    <xdr:row>134</xdr:row>
                    <xdr:rowOff>47625</xdr:rowOff>
                  </to>
                </anchor>
              </controlPr>
            </control>
          </mc:Choice>
        </mc:AlternateContent>
        <mc:AlternateContent xmlns:mc="http://schemas.openxmlformats.org/markup-compatibility/2006">
          <mc:Choice Requires="x14">
            <control shapeId="13146820" r:id="rId258" name="Check Box 1732">
              <controlPr defaultSize="0" autoFill="0" autoLine="0" autoPict="0">
                <anchor moveWithCells="1">
                  <from>
                    <xdr:col>4</xdr:col>
                    <xdr:colOff>0</xdr:colOff>
                    <xdr:row>133</xdr:row>
                    <xdr:rowOff>0</xdr:rowOff>
                  </from>
                  <to>
                    <xdr:col>4</xdr:col>
                    <xdr:colOff>295275</xdr:colOff>
                    <xdr:row>134</xdr:row>
                    <xdr:rowOff>47625</xdr:rowOff>
                  </to>
                </anchor>
              </controlPr>
            </control>
          </mc:Choice>
        </mc:AlternateContent>
        <mc:AlternateContent xmlns:mc="http://schemas.openxmlformats.org/markup-compatibility/2006">
          <mc:Choice Requires="x14">
            <control shapeId="13146821" r:id="rId259" name="Check Box 1733">
              <controlPr defaultSize="0" autoFill="0" autoLine="0" autoPict="0">
                <anchor moveWithCells="1">
                  <from>
                    <xdr:col>9</xdr:col>
                    <xdr:colOff>0</xdr:colOff>
                    <xdr:row>132</xdr:row>
                    <xdr:rowOff>0</xdr:rowOff>
                  </from>
                  <to>
                    <xdr:col>9</xdr:col>
                    <xdr:colOff>295275</xdr:colOff>
                    <xdr:row>133</xdr:row>
                    <xdr:rowOff>47625</xdr:rowOff>
                  </to>
                </anchor>
              </controlPr>
            </control>
          </mc:Choice>
        </mc:AlternateContent>
        <mc:AlternateContent xmlns:mc="http://schemas.openxmlformats.org/markup-compatibility/2006">
          <mc:Choice Requires="x14">
            <control shapeId="13146822" r:id="rId260" name="Check Box 1734">
              <controlPr defaultSize="0" autoFill="0" autoLine="0" autoPict="0">
                <anchor moveWithCells="1">
                  <from>
                    <xdr:col>4</xdr:col>
                    <xdr:colOff>0</xdr:colOff>
                    <xdr:row>132</xdr:row>
                    <xdr:rowOff>0</xdr:rowOff>
                  </from>
                  <to>
                    <xdr:col>4</xdr:col>
                    <xdr:colOff>295275</xdr:colOff>
                    <xdr:row>133</xdr:row>
                    <xdr:rowOff>47625</xdr:rowOff>
                  </to>
                </anchor>
              </controlPr>
            </control>
          </mc:Choice>
        </mc:AlternateContent>
        <mc:AlternateContent xmlns:mc="http://schemas.openxmlformats.org/markup-compatibility/2006">
          <mc:Choice Requires="x14">
            <control shapeId="13146827" r:id="rId261" name="Check Box 1739">
              <controlPr defaultSize="0" autoFill="0" autoLine="0" autoPict="0">
                <anchor moveWithCells="1">
                  <from>
                    <xdr:col>9</xdr:col>
                    <xdr:colOff>0</xdr:colOff>
                    <xdr:row>131</xdr:row>
                    <xdr:rowOff>0</xdr:rowOff>
                  </from>
                  <to>
                    <xdr:col>9</xdr:col>
                    <xdr:colOff>295275</xdr:colOff>
                    <xdr:row>132</xdr:row>
                    <xdr:rowOff>47625</xdr:rowOff>
                  </to>
                </anchor>
              </controlPr>
            </control>
          </mc:Choice>
        </mc:AlternateContent>
        <mc:AlternateContent xmlns:mc="http://schemas.openxmlformats.org/markup-compatibility/2006">
          <mc:Choice Requires="x14">
            <control shapeId="13146828" r:id="rId262" name="Check Box 1740">
              <controlPr defaultSize="0" autoFill="0" autoLine="0" autoPict="0">
                <anchor moveWithCells="1">
                  <from>
                    <xdr:col>4</xdr:col>
                    <xdr:colOff>0</xdr:colOff>
                    <xdr:row>131</xdr:row>
                    <xdr:rowOff>0</xdr:rowOff>
                  </from>
                  <to>
                    <xdr:col>4</xdr:col>
                    <xdr:colOff>295275</xdr:colOff>
                    <xdr:row>132</xdr:row>
                    <xdr:rowOff>47625</xdr:rowOff>
                  </to>
                </anchor>
              </controlPr>
            </control>
          </mc:Choice>
        </mc:AlternateContent>
        <mc:AlternateContent xmlns:mc="http://schemas.openxmlformats.org/markup-compatibility/2006">
          <mc:Choice Requires="x14">
            <control shapeId="13146831" r:id="rId263" name="Check Box 1743">
              <controlPr defaultSize="0" autoFill="0" autoLine="0" autoPict="0">
                <anchor moveWithCells="1">
                  <from>
                    <xdr:col>9</xdr:col>
                    <xdr:colOff>0</xdr:colOff>
                    <xdr:row>130</xdr:row>
                    <xdr:rowOff>0</xdr:rowOff>
                  </from>
                  <to>
                    <xdr:col>9</xdr:col>
                    <xdr:colOff>295275</xdr:colOff>
                    <xdr:row>131</xdr:row>
                    <xdr:rowOff>47625</xdr:rowOff>
                  </to>
                </anchor>
              </controlPr>
            </control>
          </mc:Choice>
        </mc:AlternateContent>
        <mc:AlternateContent xmlns:mc="http://schemas.openxmlformats.org/markup-compatibility/2006">
          <mc:Choice Requires="x14">
            <control shapeId="13146832" r:id="rId264" name="Check Box 1744">
              <controlPr defaultSize="0" autoFill="0" autoLine="0" autoPict="0">
                <anchor moveWithCells="1">
                  <from>
                    <xdr:col>4</xdr:col>
                    <xdr:colOff>0</xdr:colOff>
                    <xdr:row>130</xdr:row>
                    <xdr:rowOff>0</xdr:rowOff>
                  </from>
                  <to>
                    <xdr:col>4</xdr:col>
                    <xdr:colOff>295275</xdr:colOff>
                    <xdr:row>131</xdr:row>
                    <xdr:rowOff>47625</xdr:rowOff>
                  </to>
                </anchor>
              </controlPr>
            </control>
          </mc:Choice>
        </mc:AlternateContent>
        <mc:AlternateContent xmlns:mc="http://schemas.openxmlformats.org/markup-compatibility/2006">
          <mc:Choice Requires="x14">
            <control shapeId="13146837" r:id="rId265" name="Check Box 1749">
              <controlPr defaultSize="0" autoFill="0" autoLine="0" autoPict="0">
                <anchor moveWithCells="1">
                  <from>
                    <xdr:col>9</xdr:col>
                    <xdr:colOff>0</xdr:colOff>
                    <xdr:row>129</xdr:row>
                    <xdr:rowOff>0</xdr:rowOff>
                  </from>
                  <to>
                    <xdr:col>9</xdr:col>
                    <xdr:colOff>295275</xdr:colOff>
                    <xdr:row>130</xdr:row>
                    <xdr:rowOff>47625</xdr:rowOff>
                  </to>
                </anchor>
              </controlPr>
            </control>
          </mc:Choice>
        </mc:AlternateContent>
        <mc:AlternateContent xmlns:mc="http://schemas.openxmlformats.org/markup-compatibility/2006">
          <mc:Choice Requires="x14">
            <control shapeId="13146838" r:id="rId266" name="Check Box 1750">
              <controlPr defaultSize="0" autoFill="0" autoLine="0" autoPict="0">
                <anchor moveWithCells="1">
                  <from>
                    <xdr:col>4</xdr:col>
                    <xdr:colOff>0</xdr:colOff>
                    <xdr:row>129</xdr:row>
                    <xdr:rowOff>0</xdr:rowOff>
                  </from>
                  <to>
                    <xdr:col>4</xdr:col>
                    <xdr:colOff>295275</xdr:colOff>
                    <xdr:row>130</xdr:row>
                    <xdr:rowOff>47625</xdr:rowOff>
                  </to>
                </anchor>
              </controlPr>
            </control>
          </mc:Choice>
        </mc:AlternateContent>
        <mc:AlternateContent xmlns:mc="http://schemas.openxmlformats.org/markup-compatibility/2006">
          <mc:Choice Requires="x14">
            <control shapeId="13146839" r:id="rId267" name="Check Box 1751">
              <controlPr defaultSize="0" autoFill="0" autoLine="0" autoPict="0">
                <anchor moveWithCells="1">
                  <from>
                    <xdr:col>9</xdr:col>
                    <xdr:colOff>0</xdr:colOff>
                    <xdr:row>128</xdr:row>
                    <xdr:rowOff>0</xdr:rowOff>
                  </from>
                  <to>
                    <xdr:col>9</xdr:col>
                    <xdr:colOff>295275</xdr:colOff>
                    <xdr:row>129</xdr:row>
                    <xdr:rowOff>47625</xdr:rowOff>
                  </to>
                </anchor>
              </controlPr>
            </control>
          </mc:Choice>
        </mc:AlternateContent>
        <mc:AlternateContent xmlns:mc="http://schemas.openxmlformats.org/markup-compatibility/2006">
          <mc:Choice Requires="x14">
            <control shapeId="13146840" r:id="rId268" name="Check Box 1752">
              <controlPr defaultSize="0" autoFill="0" autoLine="0" autoPict="0">
                <anchor moveWithCells="1">
                  <from>
                    <xdr:col>4</xdr:col>
                    <xdr:colOff>0</xdr:colOff>
                    <xdr:row>128</xdr:row>
                    <xdr:rowOff>0</xdr:rowOff>
                  </from>
                  <to>
                    <xdr:col>4</xdr:col>
                    <xdr:colOff>295275</xdr:colOff>
                    <xdr:row>129</xdr:row>
                    <xdr:rowOff>47625</xdr:rowOff>
                  </to>
                </anchor>
              </controlPr>
            </control>
          </mc:Choice>
        </mc:AlternateContent>
        <mc:AlternateContent xmlns:mc="http://schemas.openxmlformats.org/markup-compatibility/2006">
          <mc:Choice Requires="x14">
            <control shapeId="13146843" r:id="rId269" name="Check Box 1755">
              <controlPr defaultSize="0" autoFill="0" autoLine="0" autoPict="0">
                <anchor moveWithCells="1">
                  <from>
                    <xdr:col>9</xdr:col>
                    <xdr:colOff>0</xdr:colOff>
                    <xdr:row>127</xdr:row>
                    <xdr:rowOff>0</xdr:rowOff>
                  </from>
                  <to>
                    <xdr:col>9</xdr:col>
                    <xdr:colOff>295275</xdr:colOff>
                    <xdr:row>128</xdr:row>
                    <xdr:rowOff>47625</xdr:rowOff>
                  </to>
                </anchor>
              </controlPr>
            </control>
          </mc:Choice>
        </mc:AlternateContent>
        <mc:AlternateContent xmlns:mc="http://schemas.openxmlformats.org/markup-compatibility/2006">
          <mc:Choice Requires="x14">
            <control shapeId="13146844" r:id="rId270" name="Check Box 1756">
              <controlPr defaultSize="0" autoFill="0" autoLine="0" autoPict="0">
                <anchor moveWithCells="1">
                  <from>
                    <xdr:col>4</xdr:col>
                    <xdr:colOff>0</xdr:colOff>
                    <xdr:row>127</xdr:row>
                    <xdr:rowOff>0</xdr:rowOff>
                  </from>
                  <to>
                    <xdr:col>4</xdr:col>
                    <xdr:colOff>295275</xdr:colOff>
                    <xdr:row>128</xdr:row>
                    <xdr:rowOff>47625</xdr:rowOff>
                  </to>
                </anchor>
              </controlPr>
            </control>
          </mc:Choice>
        </mc:AlternateContent>
        <mc:AlternateContent xmlns:mc="http://schemas.openxmlformats.org/markup-compatibility/2006">
          <mc:Choice Requires="x14">
            <control shapeId="13146849" r:id="rId271" name="Check Box 1761">
              <controlPr defaultSize="0" autoFill="0" autoLine="0" autoPict="0">
                <anchor moveWithCells="1">
                  <from>
                    <xdr:col>9</xdr:col>
                    <xdr:colOff>0</xdr:colOff>
                    <xdr:row>126</xdr:row>
                    <xdr:rowOff>0</xdr:rowOff>
                  </from>
                  <to>
                    <xdr:col>9</xdr:col>
                    <xdr:colOff>295275</xdr:colOff>
                    <xdr:row>127</xdr:row>
                    <xdr:rowOff>47625</xdr:rowOff>
                  </to>
                </anchor>
              </controlPr>
            </control>
          </mc:Choice>
        </mc:AlternateContent>
        <mc:AlternateContent xmlns:mc="http://schemas.openxmlformats.org/markup-compatibility/2006">
          <mc:Choice Requires="x14">
            <control shapeId="13146850" r:id="rId272" name="Check Box 1762">
              <controlPr defaultSize="0" autoFill="0" autoLine="0" autoPict="0">
                <anchor moveWithCells="1">
                  <from>
                    <xdr:col>4</xdr:col>
                    <xdr:colOff>0</xdr:colOff>
                    <xdr:row>126</xdr:row>
                    <xdr:rowOff>0</xdr:rowOff>
                  </from>
                  <to>
                    <xdr:col>4</xdr:col>
                    <xdr:colOff>295275</xdr:colOff>
                    <xdr:row>127</xdr:row>
                    <xdr:rowOff>47625</xdr:rowOff>
                  </to>
                </anchor>
              </controlPr>
            </control>
          </mc:Choice>
        </mc:AlternateContent>
        <mc:AlternateContent xmlns:mc="http://schemas.openxmlformats.org/markup-compatibility/2006">
          <mc:Choice Requires="x14">
            <control shapeId="13146855" r:id="rId273" name="Check Box 1767">
              <controlPr defaultSize="0" autoFill="0" autoLine="0" autoPict="0">
                <anchor moveWithCells="1">
                  <from>
                    <xdr:col>9</xdr:col>
                    <xdr:colOff>0</xdr:colOff>
                    <xdr:row>125</xdr:row>
                    <xdr:rowOff>0</xdr:rowOff>
                  </from>
                  <to>
                    <xdr:col>9</xdr:col>
                    <xdr:colOff>295275</xdr:colOff>
                    <xdr:row>126</xdr:row>
                    <xdr:rowOff>47625</xdr:rowOff>
                  </to>
                </anchor>
              </controlPr>
            </control>
          </mc:Choice>
        </mc:AlternateContent>
        <mc:AlternateContent xmlns:mc="http://schemas.openxmlformats.org/markup-compatibility/2006">
          <mc:Choice Requires="x14">
            <control shapeId="13146856" r:id="rId274" name="Check Box 1768">
              <controlPr defaultSize="0" autoFill="0" autoLine="0" autoPict="0">
                <anchor moveWithCells="1">
                  <from>
                    <xdr:col>4</xdr:col>
                    <xdr:colOff>0</xdr:colOff>
                    <xdr:row>125</xdr:row>
                    <xdr:rowOff>0</xdr:rowOff>
                  </from>
                  <to>
                    <xdr:col>4</xdr:col>
                    <xdr:colOff>295275</xdr:colOff>
                    <xdr:row>126</xdr:row>
                    <xdr:rowOff>47625</xdr:rowOff>
                  </to>
                </anchor>
              </controlPr>
            </control>
          </mc:Choice>
        </mc:AlternateContent>
        <mc:AlternateContent xmlns:mc="http://schemas.openxmlformats.org/markup-compatibility/2006">
          <mc:Choice Requires="x14">
            <control shapeId="13146857" r:id="rId275" name="Check Box 1769">
              <controlPr defaultSize="0" autoFill="0" autoLine="0" autoPict="0">
                <anchor moveWithCells="1">
                  <from>
                    <xdr:col>9</xdr:col>
                    <xdr:colOff>0</xdr:colOff>
                    <xdr:row>124</xdr:row>
                    <xdr:rowOff>0</xdr:rowOff>
                  </from>
                  <to>
                    <xdr:col>9</xdr:col>
                    <xdr:colOff>295275</xdr:colOff>
                    <xdr:row>125</xdr:row>
                    <xdr:rowOff>47625</xdr:rowOff>
                  </to>
                </anchor>
              </controlPr>
            </control>
          </mc:Choice>
        </mc:AlternateContent>
        <mc:AlternateContent xmlns:mc="http://schemas.openxmlformats.org/markup-compatibility/2006">
          <mc:Choice Requires="x14">
            <control shapeId="13146858" r:id="rId276" name="Check Box 1770">
              <controlPr defaultSize="0" autoFill="0" autoLine="0" autoPict="0">
                <anchor moveWithCells="1">
                  <from>
                    <xdr:col>4</xdr:col>
                    <xdr:colOff>0</xdr:colOff>
                    <xdr:row>124</xdr:row>
                    <xdr:rowOff>0</xdr:rowOff>
                  </from>
                  <to>
                    <xdr:col>4</xdr:col>
                    <xdr:colOff>295275</xdr:colOff>
                    <xdr:row>125</xdr:row>
                    <xdr:rowOff>47625</xdr:rowOff>
                  </to>
                </anchor>
              </controlPr>
            </control>
          </mc:Choice>
        </mc:AlternateContent>
        <mc:AlternateContent xmlns:mc="http://schemas.openxmlformats.org/markup-compatibility/2006">
          <mc:Choice Requires="x14">
            <control shapeId="13146859" r:id="rId277" name="Check Box 1771">
              <controlPr defaultSize="0" autoFill="0" autoLine="0" autoPict="0">
                <anchor moveWithCells="1">
                  <from>
                    <xdr:col>9</xdr:col>
                    <xdr:colOff>0</xdr:colOff>
                    <xdr:row>123</xdr:row>
                    <xdr:rowOff>0</xdr:rowOff>
                  </from>
                  <to>
                    <xdr:col>9</xdr:col>
                    <xdr:colOff>295275</xdr:colOff>
                    <xdr:row>124</xdr:row>
                    <xdr:rowOff>47625</xdr:rowOff>
                  </to>
                </anchor>
              </controlPr>
            </control>
          </mc:Choice>
        </mc:AlternateContent>
        <mc:AlternateContent xmlns:mc="http://schemas.openxmlformats.org/markup-compatibility/2006">
          <mc:Choice Requires="x14">
            <control shapeId="13146860" r:id="rId278" name="Check Box 1772">
              <controlPr defaultSize="0" autoFill="0" autoLine="0" autoPict="0">
                <anchor moveWithCells="1">
                  <from>
                    <xdr:col>4</xdr:col>
                    <xdr:colOff>0</xdr:colOff>
                    <xdr:row>123</xdr:row>
                    <xdr:rowOff>0</xdr:rowOff>
                  </from>
                  <to>
                    <xdr:col>4</xdr:col>
                    <xdr:colOff>295275</xdr:colOff>
                    <xdr:row>124</xdr:row>
                    <xdr:rowOff>47625</xdr:rowOff>
                  </to>
                </anchor>
              </controlPr>
            </control>
          </mc:Choice>
        </mc:AlternateContent>
        <mc:AlternateContent xmlns:mc="http://schemas.openxmlformats.org/markup-compatibility/2006">
          <mc:Choice Requires="x14">
            <control shapeId="13146861" r:id="rId279" name="Check Box 1773">
              <controlPr defaultSize="0" autoFill="0" autoLine="0" autoPict="0">
                <anchor moveWithCells="1">
                  <from>
                    <xdr:col>9</xdr:col>
                    <xdr:colOff>0</xdr:colOff>
                    <xdr:row>122</xdr:row>
                    <xdr:rowOff>0</xdr:rowOff>
                  </from>
                  <to>
                    <xdr:col>9</xdr:col>
                    <xdr:colOff>295275</xdr:colOff>
                    <xdr:row>123</xdr:row>
                    <xdr:rowOff>47625</xdr:rowOff>
                  </to>
                </anchor>
              </controlPr>
            </control>
          </mc:Choice>
        </mc:AlternateContent>
        <mc:AlternateContent xmlns:mc="http://schemas.openxmlformats.org/markup-compatibility/2006">
          <mc:Choice Requires="x14">
            <control shapeId="13146862" r:id="rId280" name="Check Box 1774">
              <controlPr defaultSize="0" autoFill="0" autoLine="0" autoPict="0">
                <anchor moveWithCells="1">
                  <from>
                    <xdr:col>4</xdr:col>
                    <xdr:colOff>0</xdr:colOff>
                    <xdr:row>122</xdr:row>
                    <xdr:rowOff>0</xdr:rowOff>
                  </from>
                  <to>
                    <xdr:col>4</xdr:col>
                    <xdr:colOff>295275</xdr:colOff>
                    <xdr:row>123</xdr:row>
                    <xdr:rowOff>47625</xdr:rowOff>
                  </to>
                </anchor>
              </controlPr>
            </control>
          </mc:Choice>
        </mc:AlternateContent>
        <mc:AlternateContent xmlns:mc="http://schemas.openxmlformats.org/markup-compatibility/2006">
          <mc:Choice Requires="x14">
            <control shapeId="13146865" r:id="rId281" name="Check Box 1777">
              <controlPr defaultSize="0" autoFill="0" autoLine="0" autoPict="0">
                <anchor moveWithCells="1">
                  <from>
                    <xdr:col>9</xdr:col>
                    <xdr:colOff>0</xdr:colOff>
                    <xdr:row>121</xdr:row>
                    <xdr:rowOff>0</xdr:rowOff>
                  </from>
                  <to>
                    <xdr:col>9</xdr:col>
                    <xdr:colOff>295275</xdr:colOff>
                    <xdr:row>122</xdr:row>
                    <xdr:rowOff>47625</xdr:rowOff>
                  </to>
                </anchor>
              </controlPr>
            </control>
          </mc:Choice>
        </mc:AlternateContent>
        <mc:AlternateContent xmlns:mc="http://schemas.openxmlformats.org/markup-compatibility/2006">
          <mc:Choice Requires="x14">
            <control shapeId="13146866" r:id="rId282" name="Check Box 1778">
              <controlPr defaultSize="0" autoFill="0" autoLine="0" autoPict="0">
                <anchor moveWithCells="1">
                  <from>
                    <xdr:col>4</xdr:col>
                    <xdr:colOff>0</xdr:colOff>
                    <xdr:row>121</xdr:row>
                    <xdr:rowOff>0</xdr:rowOff>
                  </from>
                  <to>
                    <xdr:col>4</xdr:col>
                    <xdr:colOff>295275</xdr:colOff>
                    <xdr:row>122</xdr:row>
                    <xdr:rowOff>47625</xdr:rowOff>
                  </to>
                </anchor>
              </controlPr>
            </control>
          </mc:Choice>
        </mc:AlternateContent>
        <mc:AlternateContent xmlns:mc="http://schemas.openxmlformats.org/markup-compatibility/2006">
          <mc:Choice Requires="x14">
            <control shapeId="13146869" r:id="rId283" name="Check Box 1781">
              <controlPr defaultSize="0" autoFill="0" autoLine="0" autoPict="0">
                <anchor moveWithCells="1">
                  <from>
                    <xdr:col>9</xdr:col>
                    <xdr:colOff>0</xdr:colOff>
                    <xdr:row>120</xdr:row>
                    <xdr:rowOff>0</xdr:rowOff>
                  </from>
                  <to>
                    <xdr:col>9</xdr:col>
                    <xdr:colOff>295275</xdr:colOff>
                    <xdr:row>121</xdr:row>
                    <xdr:rowOff>47625</xdr:rowOff>
                  </to>
                </anchor>
              </controlPr>
            </control>
          </mc:Choice>
        </mc:AlternateContent>
        <mc:AlternateContent xmlns:mc="http://schemas.openxmlformats.org/markup-compatibility/2006">
          <mc:Choice Requires="x14">
            <control shapeId="13146870" r:id="rId284" name="Check Box 1782">
              <controlPr defaultSize="0" autoFill="0" autoLine="0" autoPict="0">
                <anchor moveWithCells="1">
                  <from>
                    <xdr:col>4</xdr:col>
                    <xdr:colOff>0</xdr:colOff>
                    <xdr:row>120</xdr:row>
                    <xdr:rowOff>0</xdr:rowOff>
                  </from>
                  <to>
                    <xdr:col>4</xdr:col>
                    <xdr:colOff>295275</xdr:colOff>
                    <xdr:row>121</xdr:row>
                    <xdr:rowOff>47625</xdr:rowOff>
                  </to>
                </anchor>
              </controlPr>
            </control>
          </mc:Choice>
        </mc:AlternateContent>
        <mc:AlternateContent xmlns:mc="http://schemas.openxmlformats.org/markup-compatibility/2006">
          <mc:Choice Requires="x14">
            <control shapeId="13146873" r:id="rId285" name="Check Box 1785">
              <controlPr defaultSize="0" autoFill="0" autoLine="0" autoPict="0">
                <anchor moveWithCells="1">
                  <from>
                    <xdr:col>9</xdr:col>
                    <xdr:colOff>0</xdr:colOff>
                    <xdr:row>119</xdr:row>
                    <xdr:rowOff>0</xdr:rowOff>
                  </from>
                  <to>
                    <xdr:col>9</xdr:col>
                    <xdr:colOff>295275</xdr:colOff>
                    <xdr:row>120</xdr:row>
                    <xdr:rowOff>47625</xdr:rowOff>
                  </to>
                </anchor>
              </controlPr>
            </control>
          </mc:Choice>
        </mc:AlternateContent>
        <mc:AlternateContent xmlns:mc="http://schemas.openxmlformats.org/markup-compatibility/2006">
          <mc:Choice Requires="x14">
            <control shapeId="13146874" r:id="rId286" name="Check Box 1786">
              <controlPr defaultSize="0" autoFill="0" autoLine="0" autoPict="0">
                <anchor moveWithCells="1">
                  <from>
                    <xdr:col>4</xdr:col>
                    <xdr:colOff>0</xdr:colOff>
                    <xdr:row>119</xdr:row>
                    <xdr:rowOff>0</xdr:rowOff>
                  </from>
                  <to>
                    <xdr:col>4</xdr:col>
                    <xdr:colOff>295275</xdr:colOff>
                    <xdr:row>120</xdr:row>
                    <xdr:rowOff>47625</xdr:rowOff>
                  </to>
                </anchor>
              </controlPr>
            </control>
          </mc:Choice>
        </mc:AlternateContent>
        <mc:AlternateContent xmlns:mc="http://schemas.openxmlformats.org/markup-compatibility/2006">
          <mc:Choice Requires="x14">
            <control shapeId="13146877" r:id="rId287" name="Check Box 1789">
              <controlPr defaultSize="0" autoFill="0" autoLine="0" autoPict="0">
                <anchor moveWithCells="1">
                  <from>
                    <xdr:col>9</xdr:col>
                    <xdr:colOff>0</xdr:colOff>
                    <xdr:row>118</xdr:row>
                    <xdr:rowOff>0</xdr:rowOff>
                  </from>
                  <to>
                    <xdr:col>9</xdr:col>
                    <xdr:colOff>295275</xdr:colOff>
                    <xdr:row>119</xdr:row>
                    <xdr:rowOff>47625</xdr:rowOff>
                  </to>
                </anchor>
              </controlPr>
            </control>
          </mc:Choice>
        </mc:AlternateContent>
        <mc:AlternateContent xmlns:mc="http://schemas.openxmlformats.org/markup-compatibility/2006">
          <mc:Choice Requires="x14">
            <control shapeId="13146878" r:id="rId288" name="Check Box 1790">
              <controlPr defaultSize="0" autoFill="0" autoLine="0" autoPict="0">
                <anchor moveWithCells="1">
                  <from>
                    <xdr:col>4</xdr:col>
                    <xdr:colOff>0</xdr:colOff>
                    <xdr:row>118</xdr:row>
                    <xdr:rowOff>0</xdr:rowOff>
                  </from>
                  <to>
                    <xdr:col>4</xdr:col>
                    <xdr:colOff>295275</xdr:colOff>
                    <xdr:row>119</xdr:row>
                    <xdr:rowOff>47625</xdr:rowOff>
                  </to>
                </anchor>
              </controlPr>
            </control>
          </mc:Choice>
        </mc:AlternateContent>
        <mc:AlternateContent xmlns:mc="http://schemas.openxmlformats.org/markup-compatibility/2006">
          <mc:Choice Requires="x14">
            <control shapeId="13146883" r:id="rId289" name="Check Box 1795">
              <controlPr defaultSize="0" autoFill="0" autoLine="0" autoPict="0">
                <anchor moveWithCells="1">
                  <from>
                    <xdr:col>9</xdr:col>
                    <xdr:colOff>0</xdr:colOff>
                    <xdr:row>117</xdr:row>
                    <xdr:rowOff>0</xdr:rowOff>
                  </from>
                  <to>
                    <xdr:col>9</xdr:col>
                    <xdr:colOff>295275</xdr:colOff>
                    <xdr:row>118</xdr:row>
                    <xdr:rowOff>47625</xdr:rowOff>
                  </to>
                </anchor>
              </controlPr>
            </control>
          </mc:Choice>
        </mc:AlternateContent>
        <mc:AlternateContent xmlns:mc="http://schemas.openxmlformats.org/markup-compatibility/2006">
          <mc:Choice Requires="x14">
            <control shapeId="13146884" r:id="rId290" name="Check Box 1796">
              <controlPr defaultSize="0" autoFill="0" autoLine="0" autoPict="0">
                <anchor moveWithCells="1">
                  <from>
                    <xdr:col>4</xdr:col>
                    <xdr:colOff>0</xdr:colOff>
                    <xdr:row>117</xdr:row>
                    <xdr:rowOff>0</xdr:rowOff>
                  </from>
                  <to>
                    <xdr:col>4</xdr:col>
                    <xdr:colOff>295275</xdr:colOff>
                    <xdr:row>118</xdr:row>
                    <xdr:rowOff>47625</xdr:rowOff>
                  </to>
                </anchor>
              </controlPr>
            </control>
          </mc:Choice>
        </mc:AlternateContent>
        <mc:AlternateContent xmlns:mc="http://schemas.openxmlformats.org/markup-compatibility/2006">
          <mc:Choice Requires="x14">
            <control shapeId="13146889" r:id="rId291" name="Check Box 1801">
              <controlPr defaultSize="0" autoFill="0" autoLine="0" autoPict="0">
                <anchor moveWithCells="1">
                  <from>
                    <xdr:col>9</xdr:col>
                    <xdr:colOff>0</xdr:colOff>
                    <xdr:row>116</xdr:row>
                    <xdr:rowOff>0</xdr:rowOff>
                  </from>
                  <to>
                    <xdr:col>9</xdr:col>
                    <xdr:colOff>295275</xdr:colOff>
                    <xdr:row>117</xdr:row>
                    <xdr:rowOff>47625</xdr:rowOff>
                  </to>
                </anchor>
              </controlPr>
            </control>
          </mc:Choice>
        </mc:AlternateContent>
        <mc:AlternateContent xmlns:mc="http://schemas.openxmlformats.org/markup-compatibility/2006">
          <mc:Choice Requires="x14">
            <control shapeId="13146890" r:id="rId292" name="Check Box 1802">
              <controlPr defaultSize="0" autoFill="0" autoLine="0" autoPict="0">
                <anchor moveWithCells="1">
                  <from>
                    <xdr:col>4</xdr:col>
                    <xdr:colOff>0</xdr:colOff>
                    <xdr:row>116</xdr:row>
                    <xdr:rowOff>0</xdr:rowOff>
                  </from>
                  <to>
                    <xdr:col>4</xdr:col>
                    <xdr:colOff>295275</xdr:colOff>
                    <xdr:row>117</xdr:row>
                    <xdr:rowOff>47625</xdr:rowOff>
                  </to>
                </anchor>
              </controlPr>
            </control>
          </mc:Choice>
        </mc:AlternateContent>
        <mc:AlternateContent xmlns:mc="http://schemas.openxmlformats.org/markup-compatibility/2006">
          <mc:Choice Requires="x14">
            <control shapeId="13146891" r:id="rId293" name="Check Box 1803">
              <controlPr defaultSize="0" autoFill="0" autoLine="0" autoPict="0">
                <anchor moveWithCells="1">
                  <from>
                    <xdr:col>9</xdr:col>
                    <xdr:colOff>0</xdr:colOff>
                    <xdr:row>115</xdr:row>
                    <xdr:rowOff>0</xdr:rowOff>
                  </from>
                  <to>
                    <xdr:col>9</xdr:col>
                    <xdr:colOff>295275</xdr:colOff>
                    <xdr:row>116</xdr:row>
                    <xdr:rowOff>47625</xdr:rowOff>
                  </to>
                </anchor>
              </controlPr>
            </control>
          </mc:Choice>
        </mc:AlternateContent>
        <mc:AlternateContent xmlns:mc="http://schemas.openxmlformats.org/markup-compatibility/2006">
          <mc:Choice Requires="x14">
            <control shapeId="13146892" r:id="rId294" name="Check Box 1804">
              <controlPr defaultSize="0" autoFill="0" autoLine="0" autoPict="0">
                <anchor moveWithCells="1">
                  <from>
                    <xdr:col>4</xdr:col>
                    <xdr:colOff>0</xdr:colOff>
                    <xdr:row>115</xdr:row>
                    <xdr:rowOff>0</xdr:rowOff>
                  </from>
                  <to>
                    <xdr:col>4</xdr:col>
                    <xdr:colOff>295275</xdr:colOff>
                    <xdr:row>116</xdr:row>
                    <xdr:rowOff>47625</xdr:rowOff>
                  </to>
                </anchor>
              </controlPr>
            </control>
          </mc:Choice>
        </mc:AlternateContent>
        <mc:AlternateContent xmlns:mc="http://schemas.openxmlformats.org/markup-compatibility/2006">
          <mc:Choice Requires="x14">
            <control shapeId="13146893" r:id="rId295" name="Check Box 1805">
              <controlPr defaultSize="0" autoFill="0" autoLine="0" autoPict="0">
                <anchor moveWithCells="1">
                  <from>
                    <xdr:col>9</xdr:col>
                    <xdr:colOff>0</xdr:colOff>
                    <xdr:row>114</xdr:row>
                    <xdr:rowOff>0</xdr:rowOff>
                  </from>
                  <to>
                    <xdr:col>9</xdr:col>
                    <xdr:colOff>295275</xdr:colOff>
                    <xdr:row>115</xdr:row>
                    <xdr:rowOff>47625</xdr:rowOff>
                  </to>
                </anchor>
              </controlPr>
            </control>
          </mc:Choice>
        </mc:AlternateContent>
        <mc:AlternateContent xmlns:mc="http://schemas.openxmlformats.org/markup-compatibility/2006">
          <mc:Choice Requires="x14">
            <control shapeId="13146894" r:id="rId296" name="Check Box 1806">
              <controlPr defaultSize="0" autoFill="0" autoLine="0" autoPict="0">
                <anchor moveWithCells="1">
                  <from>
                    <xdr:col>4</xdr:col>
                    <xdr:colOff>0</xdr:colOff>
                    <xdr:row>114</xdr:row>
                    <xdr:rowOff>0</xdr:rowOff>
                  </from>
                  <to>
                    <xdr:col>4</xdr:col>
                    <xdr:colOff>295275</xdr:colOff>
                    <xdr:row>115</xdr:row>
                    <xdr:rowOff>47625</xdr:rowOff>
                  </to>
                </anchor>
              </controlPr>
            </control>
          </mc:Choice>
        </mc:AlternateContent>
        <mc:AlternateContent xmlns:mc="http://schemas.openxmlformats.org/markup-compatibility/2006">
          <mc:Choice Requires="x14">
            <control shapeId="13146895" r:id="rId297" name="Check Box 1807">
              <controlPr defaultSize="0" autoFill="0" autoLine="0" autoPict="0">
                <anchor moveWithCells="1">
                  <from>
                    <xdr:col>9</xdr:col>
                    <xdr:colOff>0</xdr:colOff>
                    <xdr:row>113</xdr:row>
                    <xdr:rowOff>0</xdr:rowOff>
                  </from>
                  <to>
                    <xdr:col>9</xdr:col>
                    <xdr:colOff>295275</xdr:colOff>
                    <xdr:row>114</xdr:row>
                    <xdr:rowOff>47625</xdr:rowOff>
                  </to>
                </anchor>
              </controlPr>
            </control>
          </mc:Choice>
        </mc:AlternateContent>
        <mc:AlternateContent xmlns:mc="http://schemas.openxmlformats.org/markup-compatibility/2006">
          <mc:Choice Requires="x14">
            <control shapeId="13146896" r:id="rId298" name="Check Box 1808">
              <controlPr defaultSize="0" autoFill="0" autoLine="0" autoPict="0">
                <anchor moveWithCells="1">
                  <from>
                    <xdr:col>4</xdr:col>
                    <xdr:colOff>0</xdr:colOff>
                    <xdr:row>113</xdr:row>
                    <xdr:rowOff>0</xdr:rowOff>
                  </from>
                  <to>
                    <xdr:col>4</xdr:col>
                    <xdr:colOff>295275</xdr:colOff>
                    <xdr:row>114</xdr:row>
                    <xdr:rowOff>47625</xdr:rowOff>
                  </to>
                </anchor>
              </controlPr>
            </control>
          </mc:Choice>
        </mc:AlternateContent>
        <mc:AlternateContent xmlns:mc="http://schemas.openxmlformats.org/markup-compatibility/2006">
          <mc:Choice Requires="x14">
            <control shapeId="13146899" r:id="rId299" name="Check Box 1811">
              <controlPr defaultSize="0" autoFill="0" autoLine="0" autoPict="0">
                <anchor moveWithCells="1">
                  <from>
                    <xdr:col>9</xdr:col>
                    <xdr:colOff>0</xdr:colOff>
                    <xdr:row>112</xdr:row>
                    <xdr:rowOff>0</xdr:rowOff>
                  </from>
                  <to>
                    <xdr:col>9</xdr:col>
                    <xdr:colOff>295275</xdr:colOff>
                    <xdr:row>113</xdr:row>
                    <xdr:rowOff>47625</xdr:rowOff>
                  </to>
                </anchor>
              </controlPr>
            </control>
          </mc:Choice>
        </mc:AlternateContent>
        <mc:AlternateContent xmlns:mc="http://schemas.openxmlformats.org/markup-compatibility/2006">
          <mc:Choice Requires="x14">
            <control shapeId="13146900" r:id="rId300" name="Check Box 1812">
              <controlPr defaultSize="0" autoFill="0" autoLine="0" autoPict="0">
                <anchor moveWithCells="1">
                  <from>
                    <xdr:col>4</xdr:col>
                    <xdr:colOff>0</xdr:colOff>
                    <xdr:row>112</xdr:row>
                    <xdr:rowOff>0</xdr:rowOff>
                  </from>
                  <to>
                    <xdr:col>4</xdr:col>
                    <xdr:colOff>295275</xdr:colOff>
                    <xdr:row>113</xdr:row>
                    <xdr:rowOff>47625</xdr:rowOff>
                  </to>
                </anchor>
              </controlPr>
            </control>
          </mc:Choice>
        </mc:AlternateContent>
        <mc:AlternateContent xmlns:mc="http://schemas.openxmlformats.org/markup-compatibility/2006">
          <mc:Choice Requires="x14">
            <control shapeId="13146901" r:id="rId301" name="Check Box 1813">
              <controlPr defaultSize="0" autoFill="0" autoLine="0" autoPict="0">
                <anchor moveWithCells="1">
                  <from>
                    <xdr:col>9</xdr:col>
                    <xdr:colOff>0</xdr:colOff>
                    <xdr:row>111</xdr:row>
                    <xdr:rowOff>0</xdr:rowOff>
                  </from>
                  <to>
                    <xdr:col>9</xdr:col>
                    <xdr:colOff>295275</xdr:colOff>
                    <xdr:row>112</xdr:row>
                    <xdr:rowOff>47625</xdr:rowOff>
                  </to>
                </anchor>
              </controlPr>
            </control>
          </mc:Choice>
        </mc:AlternateContent>
        <mc:AlternateContent xmlns:mc="http://schemas.openxmlformats.org/markup-compatibility/2006">
          <mc:Choice Requires="x14">
            <control shapeId="13146902" r:id="rId302" name="Check Box 1814">
              <controlPr defaultSize="0" autoFill="0" autoLine="0" autoPict="0">
                <anchor moveWithCells="1">
                  <from>
                    <xdr:col>4</xdr:col>
                    <xdr:colOff>0</xdr:colOff>
                    <xdr:row>111</xdr:row>
                    <xdr:rowOff>0</xdr:rowOff>
                  </from>
                  <to>
                    <xdr:col>4</xdr:col>
                    <xdr:colOff>295275</xdr:colOff>
                    <xdr:row>112</xdr:row>
                    <xdr:rowOff>47625</xdr:rowOff>
                  </to>
                </anchor>
              </controlPr>
            </control>
          </mc:Choice>
        </mc:AlternateContent>
        <mc:AlternateContent xmlns:mc="http://schemas.openxmlformats.org/markup-compatibility/2006">
          <mc:Choice Requires="x14">
            <control shapeId="13146907" r:id="rId303" name="Check Box 1819">
              <controlPr defaultSize="0" autoFill="0" autoLine="0" autoPict="0">
                <anchor moveWithCells="1">
                  <from>
                    <xdr:col>9</xdr:col>
                    <xdr:colOff>0</xdr:colOff>
                    <xdr:row>110</xdr:row>
                    <xdr:rowOff>0</xdr:rowOff>
                  </from>
                  <to>
                    <xdr:col>9</xdr:col>
                    <xdr:colOff>295275</xdr:colOff>
                    <xdr:row>111</xdr:row>
                    <xdr:rowOff>47625</xdr:rowOff>
                  </to>
                </anchor>
              </controlPr>
            </control>
          </mc:Choice>
        </mc:AlternateContent>
        <mc:AlternateContent xmlns:mc="http://schemas.openxmlformats.org/markup-compatibility/2006">
          <mc:Choice Requires="x14">
            <control shapeId="13146908" r:id="rId304" name="Check Box 1820">
              <controlPr defaultSize="0" autoFill="0" autoLine="0" autoPict="0">
                <anchor moveWithCells="1">
                  <from>
                    <xdr:col>4</xdr:col>
                    <xdr:colOff>0</xdr:colOff>
                    <xdr:row>110</xdr:row>
                    <xdr:rowOff>0</xdr:rowOff>
                  </from>
                  <to>
                    <xdr:col>4</xdr:col>
                    <xdr:colOff>295275</xdr:colOff>
                    <xdr:row>111</xdr:row>
                    <xdr:rowOff>47625</xdr:rowOff>
                  </to>
                </anchor>
              </controlPr>
            </control>
          </mc:Choice>
        </mc:AlternateContent>
        <mc:AlternateContent xmlns:mc="http://schemas.openxmlformats.org/markup-compatibility/2006">
          <mc:Choice Requires="x14">
            <control shapeId="13146911" r:id="rId305" name="Check Box 1823">
              <controlPr defaultSize="0" autoFill="0" autoLine="0" autoPict="0">
                <anchor moveWithCells="1">
                  <from>
                    <xdr:col>9</xdr:col>
                    <xdr:colOff>0</xdr:colOff>
                    <xdr:row>109</xdr:row>
                    <xdr:rowOff>0</xdr:rowOff>
                  </from>
                  <to>
                    <xdr:col>9</xdr:col>
                    <xdr:colOff>295275</xdr:colOff>
                    <xdr:row>110</xdr:row>
                    <xdr:rowOff>47625</xdr:rowOff>
                  </to>
                </anchor>
              </controlPr>
            </control>
          </mc:Choice>
        </mc:AlternateContent>
        <mc:AlternateContent xmlns:mc="http://schemas.openxmlformats.org/markup-compatibility/2006">
          <mc:Choice Requires="x14">
            <control shapeId="13146912" r:id="rId306" name="Check Box 1824">
              <controlPr defaultSize="0" autoFill="0" autoLine="0" autoPict="0">
                <anchor moveWithCells="1">
                  <from>
                    <xdr:col>4</xdr:col>
                    <xdr:colOff>0</xdr:colOff>
                    <xdr:row>109</xdr:row>
                    <xdr:rowOff>0</xdr:rowOff>
                  </from>
                  <to>
                    <xdr:col>4</xdr:col>
                    <xdr:colOff>295275</xdr:colOff>
                    <xdr:row>110</xdr:row>
                    <xdr:rowOff>47625</xdr:rowOff>
                  </to>
                </anchor>
              </controlPr>
            </control>
          </mc:Choice>
        </mc:AlternateContent>
        <mc:AlternateContent xmlns:mc="http://schemas.openxmlformats.org/markup-compatibility/2006">
          <mc:Choice Requires="x14">
            <control shapeId="13146913" r:id="rId307" name="Check Box 1825">
              <controlPr defaultSize="0" autoFill="0" autoLine="0" autoPict="0">
                <anchor moveWithCells="1">
                  <from>
                    <xdr:col>9</xdr:col>
                    <xdr:colOff>0</xdr:colOff>
                    <xdr:row>108</xdr:row>
                    <xdr:rowOff>0</xdr:rowOff>
                  </from>
                  <to>
                    <xdr:col>9</xdr:col>
                    <xdr:colOff>295275</xdr:colOff>
                    <xdr:row>109</xdr:row>
                    <xdr:rowOff>47625</xdr:rowOff>
                  </to>
                </anchor>
              </controlPr>
            </control>
          </mc:Choice>
        </mc:AlternateContent>
        <mc:AlternateContent xmlns:mc="http://schemas.openxmlformats.org/markup-compatibility/2006">
          <mc:Choice Requires="x14">
            <control shapeId="13146914" r:id="rId308" name="Check Box 1826">
              <controlPr defaultSize="0" autoFill="0" autoLine="0" autoPict="0">
                <anchor moveWithCells="1">
                  <from>
                    <xdr:col>4</xdr:col>
                    <xdr:colOff>0</xdr:colOff>
                    <xdr:row>108</xdr:row>
                    <xdr:rowOff>0</xdr:rowOff>
                  </from>
                  <to>
                    <xdr:col>4</xdr:col>
                    <xdr:colOff>295275</xdr:colOff>
                    <xdr:row>109</xdr:row>
                    <xdr:rowOff>47625</xdr:rowOff>
                  </to>
                </anchor>
              </controlPr>
            </control>
          </mc:Choice>
        </mc:AlternateContent>
        <mc:AlternateContent xmlns:mc="http://schemas.openxmlformats.org/markup-compatibility/2006">
          <mc:Choice Requires="x14">
            <control shapeId="13146917" r:id="rId309" name="Check Box 1829">
              <controlPr defaultSize="0" autoFill="0" autoLine="0" autoPict="0">
                <anchor moveWithCells="1">
                  <from>
                    <xdr:col>9</xdr:col>
                    <xdr:colOff>0</xdr:colOff>
                    <xdr:row>107</xdr:row>
                    <xdr:rowOff>0</xdr:rowOff>
                  </from>
                  <to>
                    <xdr:col>9</xdr:col>
                    <xdr:colOff>295275</xdr:colOff>
                    <xdr:row>108</xdr:row>
                    <xdr:rowOff>47625</xdr:rowOff>
                  </to>
                </anchor>
              </controlPr>
            </control>
          </mc:Choice>
        </mc:AlternateContent>
        <mc:AlternateContent xmlns:mc="http://schemas.openxmlformats.org/markup-compatibility/2006">
          <mc:Choice Requires="x14">
            <control shapeId="13146918" r:id="rId310" name="Check Box 1830">
              <controlPr defaultSize="0" autoFill="0" autoLine="0" autoPict="0">
                <anchor moveWithCells="1">
                  <from>
                    <xdr:col>4</xdr:col>
                    <xdr:colOff>0</xdr:colOff>
                    <xdr:row>107</xdr:row>
                    <xdr:rowOff>0</xdr:rowOff>
                  </from>
                  <to>
                    <xdr:col>4</xdr:col>
                    <xdr:colOff>295275</xdr:colOff>
                    <xdr:row>108</xdr:row>
                    <xdr:rowOff>47625</xdr:rowOff>
                  </to>
                </anchor>
              </controlPr>
            </control>
          </mc:Choice>
        </mc:AlternateContent>
        <mc:AlternateContent xmlns:mc="http://schemas.openxmlformats.org/markup-compatibility/2006">
          <mc:Choice Requires="x14">
            <control shapeId="13146919" r:id="rId311" name="Check Box 1831">
              <controlPr defaultSize="0" autoFill="0" autoLine="0" autoPict="0">
                <anchor moveWithCells="1">
                  <from>
                    <xdr:col>9</xdr:col>
                    <xdr:colOff>0</xdr:colOff>
                    <xdr:row>106</xdr:row>
                    <xdr:rowOff>0</xdr:rowOff>
                  </from>
                  <to>
                    <xdr:col>9</xdr:col>
                    <xdr:colOff>295275</xdr:colOff>
                    <xdr:row>107</xdr:row>
                    <xdr:rowOff>47625</xdr:rowOff>
                  </to>
                </anchor>
              </controlPr>
            </control>
          </mc:Choice>
        </mc:AlternateContent>
        <mc:AlternateContent xmlns:mc="http://schemas.openxmlformats.org/markup-compatibility/2006">
          <mc:Choice Requires="x14">
            <control shapeId="13146920" r:id="rId312" name="Check Box 1832">
              <controlPr defaultSize="0" autoFill="0" autoLine="0" autoPict="0">
                <anchor moveWithCells="1">
                  <from>
                    <xdr:col>4</xdr:col>
                    <xdr:colOff>0</xdr:colOff>
                    <xdr:row>106</xdr:row>
                    <xdr:rowOff>0</xdr:rowOff>
                  </from>
                  <to>
                    <xdr:col>4</xdr:col>
                    <xdr:colOff>295275</xdr:colOff>
                    <xdr:row>107</xdr:row>
                    <xdr:rowOff>47625</xdr:rowOff>
                  </to>
                </anchor>
              </controlPr>
            </control>
          </mc:Choice>
        </mc:AlternateContent>
        <mc:AlternateContent xmlns:mc="http://schemas.openxmlformats.org/markup-compatibility/2006">
          <mc:Choice Requires="x14">
            <control shapeId="13146925" r:id="rId313" name="Check Box 1837">
              <controlPr defaultSize="0" autoFill="0" autoLine="0" autoPict="0">
                <anchor moveWithCells="1">
                  <from>
                    <xdr:col>9</xdr:col>
                    <xdr:colOff>0</xdr:colOff>
                    <xdr:row>105</xdr:row>
                    <xdr:rowOff>0</xdr:rowOff>
                  </from>
                  <to>
                    <xdr:col>9</xdr:col>
                    <xdr:colOff>295275</xdr:colOff>
                    <xdr:row>106</xdr:row>
                    <xdr:rowOff>47625</xdr:rowOff>
                  </to>
                </anchor>
              </controlPr>
            </control>
          </mc:Choice>
        </mc:AlternateContent>
        <mc:AlternateContent xmlns:mc="http://schemas.openxmlformats.org/markup-compatibility/2006">
          <mc:Choice Requires="x14">
            <control shapeId="13146926" r:id="rId314" name="Check Box 1838">
              <controlPr defaultSize="0" autoFill="0" autoLine="0" autoPict="0">
                <anchor moveWithCells="1">
                  <from>
                    <xdr:col>4</xdr:col>
                    <xdr:colOff>0</xdr:colOff>
                    <xdr:row>105</xdr:row>
                    <xdr:rowOff>0</xdr:rowOff>
                  </from>
                  <to>
                    <xdr:col>4</xdr:col>
                    <xdr:colOff>295275</xdr:colOff>
                    <xdr:row>106</xdr:row>
                    <xdr:rowOff>47625</xdr:rowOff>
                  </to>
                </anchor>
              </controlPr>
            </control>
          </mc:Choice>
        </mc:AlternateContent>
        <mc:AlternateContent xmlns:mc="http://schemas.openxmlformats.org/markup-compatibility/2006">
          <mc:Choice Requires="x14">
            <control shapeId="13146927" r:id="rId315" name="Check Box 1839">
              <controlPr defaultSize="0" autoFill="0" autoLine="0" autoPict="0">
                <anchor moveWithCells="1">
                  <from>
                    <xdr:col>9</xdr:col>
                    <xdr:colOff>0</xdr:colOff>
                    <xdr:row>104</xdr:row>
                    <xdr:rowOff>0</xdr:rowOff>
                  </from>
                  <to>
                    <xdr:col>9</xdr:col>
                    <xdr:colOff>295275</xdr:colOff>
                    <xdr:row>105</xdr:row>
                    <xdr:rowOff>47625</xdr:rowOff>
                  </to>
                </anchor>
              </controlPr>
            </control>
          </mc:Choice>
        </mc:AlternateContent>
        <mc:AlternateContent xmlns:mc="http://schemas.openxmlformats.org/markup-compatibility/2006">
          <mc:Choice Requires="x14">
            <control shapeId="13146928" r:id="rId316" name="Check Box 1840">
              <controlPr defaultSize="0" autoFill="0" autoLine="0" autoPict="0">
                <anchor moveWithCells="1">
                  <from>
                    <xdr:col>4</xdr:col>
                    <xdr:colOff>0</xdr:colOff>
                    <xdr:row>104</xdr:row>
                    <xdr:rowOff>0</xdr:rowOff>
                  </from>
                  <to>
                    <xdr:col>4</xdr:col>
                    <xdr:colOff>295275</xdr:colOff>
                    <xdr:row>105</xdr:row>
                    <xdr:rowOff>47625</xdr:rowOff>
                  </to>
                </anchor>
              </controlPr>
            </control>
          </mc:Choice>
        </mc:AlternateContent>
        <mc:AlternateContent xmlns:mc="http://schemas.openxmlformats.org/markup-compatibility/2006">
          <mc:Choice Requires="x14">
            <control shapeId="13146931" r:id="rId317" name="Check Box 1843">
              <controlPr defaultSize="0" autoFill="0" autoLine="0" autoPict="0">
                <anchor moveWithCells="1">
                  <from>
                    <xdr:col>9</xdr:col>
                    <xdr:colOff>0</xdr:colOff>
                    <xdr:row>103</xdr:row>
                    <xdr:rowOff>0</xdr:rowOff>
                  </from>
                  <to>
                    <xdr:col>9</xdr:col>
                    <xdr:colOff>295275</xdr:colOff>
                    <xdr:row>104</xdr:row>
                    <xdr:rowOff>47625</xdr:rowOff>
                  </to>
                </anchor>
              </controlPr>
            </control>
          </mc:Choice>
        </mc:AlternateContent>
        <mc:AlternateContent xmlns:mc="http://schemas.openxmlformats.org/markup-compatibility/2006">
          <mc:Choice Requires="x14">
            <control shapeId="13146932" r:id="rId318" name="Check Box 1844">
              <controlPr defaultSize="0" autoFill="0" autoLine="0" autoPict="0">
                <anchor moveWithCells="1">
                  <from>
                    <xdr:col>4</xdr:col>
                    <xdr:colOff>0</xdr:colOff>
                    <xdr:row>103</xdr:row>
                    <xdr:rowOff>0</xdr:rowOff>
                  </from>
                  <to>
                    <xdr:col>4</xdr:col>
                    <xdr:colOff>295275</xdr:colOff>
                    <xdr:row>104</xdr:row>
                    <xdr:rowOff>47625</xdr:rowOff>
                  </to>
                </anchor>
              </controlPr>
            </control>
          </mc:Choice>
        </mc:AlternateContent>
        <mc:AlternateContent xmlns:mc="http://schemas.openxmlformats.org/markup-compatibility/2006">
          <mc:Choice Requires="x14">
            <control shapeId="13146933" r:id="rId319" name="Check Box 1845">
              <controlPr defaultSize="0" autoFill="0" autoLine="0" autoPict="0">
                <anchor moveWithCells="1">
                  <from>
                    <xdr:col>9</xdr:col>
                    <xdr:colOff>0</xdr:colOff>
                    <xdr:row>102</xdr:row>
                    <xdr:rowOff>0</xdr:rowOff>
                  </from>
                  <to>
                    <xdr:col>9</xdr:col>
                    <xdr:colOff>295275</xdr:colOff>
                    <xdr:row>103</xdr:row>
                    <xdr:rowOff>47625</xdr:rowOff>
                  </to>
                </anchor>
              </controlPr>
            </control>
          </mc:Choice>
        </mc:AlternateContent>
        <mc:AlternateContent xmlns:mc="http://schemas.openxmlformats.org/markup-compatibility/2006">
          <mc:Choice Requires="x14">
            <control shapeId="13146934" r:id="rId320" name="Check Box 1846">
              <controlPr defaultSize="0" autoFill="0" autoLine="0" autoPict="0">
                <anchor moveWithCells="1">
                  <from>
                    <xdr:col>4</xdr:col>
                    <xdr:colOff>0</xdr:colOff>
                    <xdr:row>102</xdr:row>
                    <xdr:rowOff>0</xdr:rowOff>
                  </from>
                  <to>
                    <xdr:col>4</xdr:col>
                    <xdr:colOff>295275</xdr:colOff>
                    <xdr:row>103</xdr:row>
                    <xdr:rowOff>47625</xdr:rowOff>
                  </to>
                </anchor>
              </controlPr>
            </control>
          </mc:Choice>
        </mc:AlternateContent>
        <mc:AlternateContent xmlns:mc="http://schemas.openxmlformats.org/markup-compatibility/2006">
          <mc:Choice Requires="x14">
            <control shapeId="13146941" r:id="rId321" name="Check Box 1853">
              <controlPr defaultSize="0" autoFill="0" autoLine="0" autoPict="0">
                <anchor moveWithCells="1">
                  <from>
                    <xdr:col>9</xdr:col>
                    <xdr:colOff>0</xdr:colOff>
                    <xdr:row>101</xdr:row>
                    <xdr:rowOff>0</xdr:rowOff>
                  </from>
                  <to>
                    <xdr:col>9</xdr:col>
                    <xdr:colOff>295275</xdr:colOff>
                    <xdr:row>102</xdr:row>
                    <xdr:rowOff>47625</xdr:rowOff>
                  </to>
                </anchor>
              </controlPr>
            </control>
          </mc:Choice>
        </mc:AlternateContent>
        <mc:AlternateContent xmlns:mc="http://schemas.openxmlformats.org/markup-compatibility/2006">
          <mc:Choice Requires="x14">
            <control shapeId="13146942" r:id="rId322" name="Check Box 1854">
              <controlPr defaultSize="0" autoFill="0" autoLine="0" autoPict="0">
                <anchor moveWithCells="1">
                  <from>
                    <xdr:col>4</xdr:col>
                    <xdr:colOff>0</xdr:colOff>
                    <xdr:row>101</xdr:row>
                    <xdr:rowOff>0</xdr:rowOff>
                  </from>
                  <to>
                    <xdr:col>4</xdr:col>
                    <xdr:colOff>295275</xdr:colOff>
                    <xdr:row>102</xdr:row>
                    <xdr:rowOff>47625</xdr:rowOff>
                  </to>
                </anchor>
              </controlPr>
            </control>
          </mc:Choice>
        </mc:AlternateContent>
        <mc:AlternateContent xmlns:mc="http://schemas.openxmlformats.org/markup-compatibility/2006">
          <mc:Choice Requires="x14">
            <control shapeId="13146943" r:id="rId323" name="Check Box 1855">
              <controlPr defaultSize="0" autoFill="0" autoLine="0" autoPict="0">
                <anchor moveWithCells="1">
                  <from>
                    <xdr:col>9</xdr:col>
                    <xdr:colOff>0</xdr:colOff>
                    <xdr:row>100</xdr:row>
                    <xdr:rowOff>0</xdr:rowOff>
                  </from>
                  <to>
                    <xdr:col>9</xdr:col>
                    <xdr:colOff>295275</xdr:colOff>
                    <xdr:row>101</xdr:row>
                    <xdr:rowOff>47625</xdr:rowOff>
                  </to>
                </anchor>
              </controlPr>
            </control>
          </mc:Choice>
        </mc:AlternateContent>
        <mc:AlternateContent xmlns:mc="http://schemas.openxmlformats.org/markup-compatibility/2006">
          <mc:Choice Requires="x14">
            <control shapeId="13146944" r:id="rId324" name="Check Box 1856">
              <controlPr defaultSize="0" autoFill="0" autoLine="0" autoPict="0">
                <anchor moveWithCells="1">
                  <from>
                    <xdr:col>4</xdr:col>
                    <xdr:colOff>0</xdr:colOff>
                    <xdr:row>100</xdr:row>
                    <xdr:rowOff>0</xdr:rowOff>
                  </from>
                  <to>
                    <xdr:col>4</xdr:col>
                    <xdr:colOff>295275</xdr:colOff>
                    <xdr:row>101</xdr:row>
                    <xdr:rowOff>47625</xdr:rowOff>
                  </to>
                </anchor>
              </controlPr>
            </control>
          </mc:Choice>
        </mc:AlternateContent>
        <mc:AlternateContent xmlns:mc="http://schemas.openxmlformats.org/markup-compatibility/2006">
          <mc:Choice Requires="x14">
            <control shapeId="13146947" r:id="rId325" name="Check Box 1859">
              <controlPr defaultSize="0" autoFill="0" autoLine="0" autoPict="0">
                <anchor moveWithCells="1">
                  <from>
                    <xdr:col>9</xdr:col>
                    <xdr:colOff>0</xdr:colOff>
                    <xdr:row>99</xdr:row>
                    <xdr:rowOff>0</xdr:rowOff>
                  </from>
                  <to>
                    <xdr:col>9</xdr:col>
                    <xdr:colOff>295275</xdr:colOff>
                    <xdr:row>100</xdr:row>
                    <xdr:rowOff>47625</xdr:rowOff>
                  </to>
                </anchor>
              </controlPr>
            </control>
          </mc:Choice>
        </mc:AlternateContent>
        <mc:AlternateContent xmlns:mc="http://schemas.openxmlformats.org/markup-compatibility/2006">
          <mc:Choice Requires="x14">
            <control shapeId="13146948" r:id="rId326" name="Check Box 1860">
              <controlPr defaultSize="0" autoFill="0" autoLine="0" autoPict="0">
                <anchor moveWithCells="1">
                  <from>
                    <xdr:col>4</xdr:col>
                    <xdr:colOff>0</xdr:colOff>
                    <xdr:row>99</xdr:row>
                    <xdr:rowOff>0</xdr:rowOff>
                  </from>
                  <to>
                    <xdr:col>4</xdr:col>
                    <xdr:colOff>295275</xdr:colOff>
                    <xdr:row>100</xdr:row>
                    <xdr:rowOff>47625</xdr:rowOff>
                  </to>
                </anchor>
              </controlPr>
            </control>
          </mc:Choice>
        </mc:AlternateContent>
        <mc:AlternateContent xmlns:mc="http://schemas.openxmlformats.org/markup-compatibility/2006">
          <mc:Choice Requires="x14">
            <control shapeId="13146955" r:id="rId327" name="Check Box 1867">
              <controlPr defaultSize="0" autoFill="0" autoLine="0" autoPict="0">
                <anchor moveWithCells="1">
                  <from>
                    <xdr:col>9</xdr:col>
                    <xdr:colOff>0</xdr:colOff>
                    <xdr:row>98</xdr:row>
                    <xdr:rowOff>0</xdr:rowOff>
                  </from>
                  <to>
                    <xdr:col>9</xdr:col>
                    <xdr:colOff>295275</xdr:colOff>
                    <xdr:row>99</xdr:row>
                    <xdr:rowOff>47625</xdr:rowOff>
                  </to>
                </anchor>
              </controlPr>
            </control>
          </mc:Choice>
        </mc:AlternateContent>
        <mc:AlternateContent xmlns:mc="http://schemas.openxmlformats.org/markup-compatibility/2006">
          <mc:Choice Requires="x14">
            <control shapeId="13146956" r:id="rId328" name="Check Box 1868">
              <controlPr defaultSize="0" autoFill="0" autoLine="0" autoPict="0">
                <anchor moveWithCells="1">
                  <from>
                    <xdr:col>4</xdr:col>
                    <xdr:colOff>0</xdr:colOff>
                    <xdr:row>98</xdr:row>
                    <xdr:rowOff>0</xdr:rowOff>
                  </from>
                  <to>
                    <xdr:col>4</xdr:col>
                    <xdr:colOff>295275</xdr:colOff>
                    <xdr:row>99</xdr:row>
                    <xdr:rowOff>47625</xdr:rowOff>
                  </to>
                </anchor>
              </controlPr>
            </control>
          </mc:Choice>
        </mc:AlternateContent>
        <mc:AlternateContent xmlns:mc="http://schemas.openxmlformats.org/markup-compatibility/2006">
          <mc:Choice Requires="x14">
            <control shapeId="13146961" r:id="rId329" name="Check Box 1873">
              <controlPr defaultSize="0" autoFill="0" autoLine="0" autoPict="0">
                <anchor moveWithCells="1">
                  <from>
                    <xdr:col>9</xdr:col>
                    <xdr:colOff>0</xdr:colOff>
                    <xdr:row>97</xdr:row>
                    <xdr:rowOff>0</xdr:rowOff>
                  </from>
                  <to>
                    <xdr:col>9</xdr:col>
                    <xdr:colOff>295275</xdr:colOff>
                    <xdr:row>98</xdr:row>
                    <xdr:rowOff>47625</xdr:rowOff>
                  </to>
                </anchor>
              </controlPr>
            </control>
          </mc:Choice>
        </mc:AlternateContent>
        <mc:AlternateContent xmlns:mc="http://schemas.openxmlformats.org/markup-compatibility/2006">
          <mc:Choice Requires="x14">
            <control shapeId="13146962" r:id="rId330" name="Check Box 1874">
              <controlPr defaultSize="0" autoFill="0" autoLine="0" autoPict="0">
                <anchor moveWithCells="1">
                  <from>
                    <xdr:col>4</xdr:col>
                    <xdr:colOff>0</xdr:colOff>
                    <xdr:row>97</xdr:row>
                    <xdr:rowOff>0</xdr:rowOff>
                  </from>
                  <to>
                    <xdr:col>4</xdr:col>
                    <xdr:colOff>295275</xdr:colOff>
                    <xdr:row>98</xdr:row>
                    <xdr:rowOff>47625</xdr:rowOff>
                  </to>
                </anchor>
              </controlPr>
            </control>
          </mc:Choice>
        </mc:AlternateContent>
        <mc:AlternateContent xmlns:mc="http://schemas.openxmlformats.org/markup-compatibility/2006">
          <mc:Choice Requires="x14">
            <control shapeId="13146963" r:id="rId331" name="Check Box 1875">
              <controlPr defaultSize="0" autoFill="0" autoLine="0" autoPict="0">
                <anchor moveWithCells="1">
                  <from>
                    <xdr:col>9</xdr:col>
                    <xdr:colOff>0</xdr:colOff>
                    <xdr:row>96</xdr:row>
                    <xdr:rowOff>0</xdr:rowOff>
                  </from>
                  <to>
                    <xdr:col>9</xdr:col>
                    <xdr:colOff>295275</xdr:colOff>
                    <xdr:row>97</xdr:row>
                    <xdr:rowOff>47625</xdr:rowOff>
                  </to>
                </anchor>
              </controlPr>
            </control>
          </mc:Choice>
        </mc:AlternateContent>
        <mc:AlternateContent xmlns:mc="http://schemas.openxmlformats.org/markup-compatibility/2006">
          <mc:Choice Requires="x14">
            <control shapeId="13146964" r:id="rId332" name="Check Box 1876">
              <controlPr defaultSize="0" autoFill="0" autoLine="0" autoPict="0">
                <anchor moveWithCells="1">
                  <from>
                    <xdr:col>4</xdr:col>
                    <xdr:colOff>0</xdr:colOff>
                    <xdr:row>96</xdr:row>
                    <xdr:rowOff>0</xdr:rowOff>
                  </from>
                  <to>
                    <xdr:col>4</xdr:col>
                    <xdr:colOff>295275</xdr:colOff>
                    <xdr:row>97</xdr:row>
                    <xdr:rowOff>47625</xdr:rowOff>
                  </to>
                </anchor>
              </controlPr>
            </control>
          </mc:Choice>
        </mc:AlternateContent>
        <mc:AlternateContent xmlns:mc="http://schemas.openxmlformats.org/markup-compatibility/2006">
          <mc:Choice Requires="x14">
            <control shapeId="13146967" r:id="rId333" name="Check Box 1879">
              <controlPr defaultSize="0" autoFill="0" autoLine="0" autoPict="0">
                <anchor moveWithCells="1">
                  <from>
                    <xdr:col>9</xdr:col>
                    <xdr:colOff>0</xdr:colOff>
                    <xdr:row>95</xdr:row>
                    <xdr:rowOff>0</xdr:rowOff>
                  </from>
                  <to>
                    <xdr:col>9</xdr:col>
                    <xdr:colOff>295275</xdr:colOff>
                    <xdr:row>96</xdr:row>
                    <xdr:rowOff>47625</xdr:rowOff>
                  </to>
                </anchor>
              </controlPr>
            </control>
          </mc:Choice>
        </mc:AlternateContent>
        <mc:AlternateContent xmlns:mc="http://schemas.openxmlformats.org/markup-compatibility/2006">
          <mc:Choice Requires="x14">
            <control shapeId="13146968" r:id="rId334" name="Check Box 1880">
              <controlPr defaultSize="0" autoFill="0" autoLine="0" autoPict="0">
                <anchor moveWithCells="1">
                  <from>
                    <xdr:col>4</xdr:col>
                    <xdr:colOff>0</xdr:colOff>
                    <xdr:row>95</xdr:row>
                    <xdr:rowOff>0</xdr:rowOff>
                  </from>
                  <to>
                    <xdr:col>4</xdr:col>
                    <xdr:colOff>295275</xdr:colOff>
                    <xdr:row>96</xdr:row>
                    <xdr:rowOff>47625</xdr:rowOff>
                  </to>
                </anchor>
              </controlPr>
            </control>
          </mc:Choice>
        </mc:AlternateContent>
        <mc:AlternateContent xmlns:mc="http://schemas.openxmlformats.org/markup-compatibility/2006">
          <mc:Choice Requires="x14">
            <control shapeId="13146975" r:id="rId335" name="Check Box 1887">
              <controlPr defaultSize="0" autoFill="0" autoLine="0" autoPict="0">
                <anchor moveWithCells="1">
                  <from>
                    <xdr:col>9</xdr:col>
                    <xdr:colOff>0</xdr:colOff>
                    <xdr:row>94</xdr:row>
                    <xdr:rowOff>0</xdr:rowOff>
                  </from>
                  <to>
                    <xdr:col>9</xdr:col>
                    <xdr:colOff>295275</xdr:colOff>
                    <xdr:row>95</xdr:row>
                    <xdr:rowOff>47625</xdr:rowOff>
                  </to>
                </anchor>
              </controlPr>
            </control>
          </mc:Choice>
        </mc:AlternateContent>
        <mc:AlternateContent xmlns:mc="http://schemas.openxmlformats.org/markup-compatibility/2006">
          <mc:Choice Requires="x14">
            <control shapeId="13146976" r:id="rId336" name="Check Box 1888">
              <controlPr defaultSize="0" autoFill="0" autoLine="0" autoPict="0">
                <anchor moveWithCells="1">
                  <from>
                    <xdr:col>4</xdr:col>
                    <xdr:colOff>0</xdr:colOff>
                    <xdr:row>94</xdr:row>
                    <xdr:rowOff>0</xdr:rowOff>
                  </from>
                  <to>
                    <xdr:col>4</xdr:col>
                    <xdr:colOff>295275</xdr:colOff>
                    <xdr:row>95</xdr:row>
                    <xdr:rowOff>47625</xdr:rowOff>
                  </to>
                </anchor>
              </controlPr>
            </control>
          </mc:Choice>
        </mc:AlternateContent>
        <mc:AlternateContent xmlns:mc="http://schemas.openxmlformats.org/markup-compatibility/2006">
          <mc:Choice Requires="x14">
            <control shapeId="13146977" r:id="rId337" name="Check Box 1889">
              <controlPr defaultSize="0" autoFill="0" autoLine="0" autoPict="0">
                <anchor moveWithCells="1">
                  <from>
                    <xdr:col>9</xdr:col>
                    <xdr:colOff>0</xdr:colOff>
                    <xdr:row>93</xdr:row>
                    <xdr:rowOff>0</xdr:rowOff>
                  </from>
                  <to>
                    <xdr:col>9</xdr:col>
                    <xdr:colOff>295275</xdr:colOff>
                    <xdr:row>94</xdr:row>
                    <xdr:rowOff>47625</xdr:rowOff>
                  </to>
                </anchor>
              </controlPr>
            </control>
          </mc:Choice>
        </mc:AlternateContent>
        <mc:AlternateContent xmlns:mc="http://schemas.openxmlformats.org/markup-compatibility/2006">
          <mc:Choice Requires="x14">
            <control shapeId="13146978" r:id="rId338" name="Check Box 1890">
              <controlPr defaultSize="0" autoFill="0" autoLine="0" autoPict="0">
                <anchor moveWithCells="1">
                  <from>
                    <xdr:col>4</xdr:col>
                    <xdr:colOff>0</xdr:colOff>
                    <xdr:row>93</xdr:row>
                    <xdr:rowOff>0</xdr:rowOff>
                  </from>
                  <to>
                    <xdr:col>4</xdr:col>
                    <xdr:colOff>295275</xdr:colOff>
                    <xdr:row>94</xdr:row>
                    <xdr:rowOff>47625</xdr:rowOff>
                  </to>
                </anchor>
              </controlPr>
            </control>
          </mc:Choice>
        </mc:AlternateContent>
        <mc:AlternateContent xmlns:mc="http://schemas.openxmlformats.org/markup-compatibility/2006">
          <mc:Choice Requires="x14">
            <control shapeId="13146979" r:id="rId339" name="Check Box 1891">
              <controlPr defaultSize="0" autoFill="0" autoLine="0" autoPict="0">
                <anchor moveWithCells="1">
                  <from>
                    <xdr:col>9</xdr:col>
                    <xdr:colOff>0</xdr:colOff>
                    <xdr:row>92</xdr:row>
                    <xdr:rowOff>0</xdr:rowOff>
                  </from>
                  <to>
                    <xdr:col>9</xdr:col>
                    <xdr:colOff>295275</xdr:colOff>
                    <xdr:row>93</xdr:row>
                    <xdr:rowOff>47625</xdr:rowOff>
                  </to>
                </anchor>
              </controlPr>
            </control>
          </mc:Choice>
        </mc:AlternateContent>
        <mc:AlternateContent xmlns:mc="http://schemas.openxmlformats.org/markup-compatibility/2006">
          <mc:Choice Requires="x14">
            <control shapeId="13146980" r:id="rId340" name="Check Box 1892">
              <controlPr defaultSize="0" autoFill="0" autoLine="0" autoPict="0">
                <anchor moveWithCells="1">
                  <from>
                    <xdr:col>4</xdr:col>
                    <xdr:colOff>0</xdr:colOff>
                    <xdr:row>92</xdr:row>
                    <xdr:rowOff>0</xdr:rowOff>
                  </from>
                  <to>
                    <xdr:col>4</xdr:col>
                    <xdr:colOff>295275</xdr:colOff>
                    <xdr:row>93</xdr:row>
                    <xdr:rowOff>47625</xdr:rowOff>
                  </to>
                </anchor>
              </controlPr>
            </control>
          </mc:Choice>
        </mc:AlternateContent>
        <mc:AlternateContent xmlns:mc="http://schemas.openxmlformats.org/markup-compatibility/2006">
          <mc:Choice Requires="x14">
            <control shapeId="13146981" r:id="rId341" name="Check Box 1893">
              <controlPr defaultSize="0" autoFill="0" autoLine="0" autoPict="0">
                <anchor moveWithCells="1">
                  <from>
                    <xdr:col>9</xdr:col>
                    <xdr:colOff>0</xdr:colOff>
                    <xdr:row>91</xdr:row>
                    <xdr:rowOff>0</xdr:rowOff>
                  </from>
                  <to>
                    <xdr:col>9</xdr:col>
                    <xdr:colOff>295275</xdr:colOff>
                    <xdr:row>92</xdr:row>
                    <xdr:rowOff>47625</xdr:rowOff>
                  </to>
                </anchor>
              </controlPr>
            </control>
          </mc:Choice>
        </mc:AlternateContent>
        <mc:AlternateContent xmlns:mc="http://schemas.openxmlformats.org/markup-compatibility/2006">
          <mc:Choice Requires="x14">
            <control shapeId="13146982" r:id="rId342" name="Check Box 1894">
              <controlPr defaultSize="0" autoFill="0" autoLine="0" autoPict="0">
                <anchor moveWithCells="1">
                  <from>
                    <xdr:col>4</xdr:col>
                    <xdr:colOff>0</xdr:colOff>
                    <xdr:row>91</xdr:row>
                    <xdr:rowOff>0</xdr:rowOff>
                  </from>
                  <to>
                    <xdr:col>4</xdr:col>
                    <xdr:colOff>295275</xdr:colOff>
                    <xdr:row>92</xdr:row>
                    <xdr:rowOff>47625</xdr:rowOff>
                  </to>
                </anchor>
              </controlPr>
            </control>
          </mc:Choice>
        </mc:AlternateContent>
        <mc:AlternateContent xmlns:mc="http://schemas.openxmlformats.org/markup-compatibility/2006">
          <mc:Choice Requires="x14">
            <control shapeId="13146985" r:id="rId343" name="Check Box 1897">
              <controlPr defaultSize="0" autoFill="0" autoLine="0" autoPict="0">
                <anchor moveWithCells="1">
                  <from>
                    <xdr:col>9</xdr:col>
                    <xdr:colOff>0</xdr:colOff>
                    <xdr:row>90</xdr:row>
                    <xdr:rowOff>0</xdr:rowOff>
                  </from>
                  <to>
                    <xdr:col>9</xdr:col>
                    <xdr:colOff>295275</xdr:colOff>
                    <xdr:row>91</xdr:row>
                    <xdr:rowOff>47625</xdr:rowOff>
                  </to>
                </anchor>
              </controlPr>
            </control>
          </mc:Choice>
        </mc:AlternateContent>
        <mc:AlternateContent xmlns:mc="http://schemas.openxmlformats.org/markup-compatibility/2006">
          <mc:Choice Requires="x14">
            <control shapeId="13146986" r:id="rId344" name="Check Box 1898">
              <controlPr defaultSize="0" autoFill="0" autoLine="0" autoPict="0">
                <anchor moveWithCells="1">
                  <from>
                    <xdr:col>4</xdr:col>
                    <xdr:colOff>0</xdr:colOff>
                    <xdr:row>90</xdr:row>
                    <xdr:rowOff>0</xdr:rowOff>
                  </from>
                  <to>
                    <xdr:col>4</xdr:col>
                    <xdr:colOff>295275</xdr:colOff>
                    <xdr:row>91</xdr:row>
                    <xdr:rowOff>47625</xdr:rowOff>
                  </to>
                </anchor>
              </controlPr>
            </control>
          </mc:Choice>
        </mc:AlternateContent>
        <mc:AlternateContent xmlns:mc="http://schemas.openxmlformats.org/markup-compatibility/2006">
          <mc:Choice Requires="x14">
            <control shapeId="13146987" r:id="rId345" name="Check Box 1899">
              <controlPr defaultSize="0" autoFill="0" autoLine="0" autoPict="0">
                <anchor moveWithCells="1">
                  <from>
                    <xdr:col>9</xdr:col>
                    <xdr:colOff>0</xdr:colOff>
                    <xdr:row>89</xdr:row>
                    <xdr:rowOff>0</xdr:rowOff>
                  </from>
                  <to>
                    <xdr:col>9</xdr:col>
                    <xdr:colOff>295275</xdr:colOff>
                    <xdr:row>90</xdr:row>
                    <xdr:rowOff>47625</xdr:rowOff>
                  </to>
                </anchor>
              </controlPr>
            </control>
          </mc:Choice>
        </mc:AlternateContent>
        <mc:AlternateContent xmlns:mc="http://schemas.openxmlformats.org/markup-compatibility/2006">
          <mc:Choice Requires="x14">
            <control shapeId="13146988" r:id="rId346" name="Check Box 1900">
              <controlPr defaultSize="0" autoFill="0" autoLine="0" autoPict="0">
                <anchor moveWithCells="1">
                  <from>
                    <xdr:col>4</xdr:col>
                    <xdr:colOff>0</xdr:colOff>
                    <xdr:row>89</xdr:row>
                    <xdr:rowOff>0</xdr:rowOff>
                  </from>
                  <to>
                    <xdr:col>4</xdr:col>
                    <xdr:colOff>295275</xdr:colOff>
                    <xdr:row>90</xdr:row>
                    <xdr:rowOff>47625</xdr:rowOff>
                  </to>
                </anchor>
              </controlPr>
            </control>
          </mc:Choice>
        </mc:AlternateContent>
        <mc:AlternateContent xmlns:mc="http://schemas.openxmlformats.org/markup-compatibility/2006">
          <mc:Choice Requires="x14">
            <control shapeId="13146989" r:id="rId347" name="Check Box 1901">
              <controlPr defaultSize="0" autoFill="0" autoLine="0" autoPict="0">
                <anchor moveWithCells="1">
                  <from>
                    <xdr:col>9</xdr:col>
                    <xdr:colOff>0</xdr:colOff>
                    <xdr:row>88</xdr:row>
                    <xdr:rowOff>0</xdr:rowOff>
                  </from>
                  <to>
                    <xdr:col>9</xdr:col>
                    <xdr:colOff>295275</xdr:colOff>
                    <xdr:row>89</xdr:row>
                    <xdr:rowOff>47625</xdr:rowOff>
                  </to>
                </anchor>
              </controlPr>
            </control>
          </mc:Choice>
        </mc:AlternateContent>
        <mc:AlternateContent xmlns:mc="http://schemas.openxmlformats.org/markup-compatibility/2006">
          <mc:Choice Requires="x14">
            <control shapeId="13146990" r:id="rId348" name="Check Box 1902">
              <controlPr defaultSize="0" autoFill="0" autoLine="0" autoPict="0">
                <anchor moveWithCells="1">
                  <from>
                    <xdr:col>4</xdr:col>
                    <xdr:colOff>0</xdr:colOff>
                    <xdr:row>88</xdr:row>
                    <xdr:rowOff>0</xdr:rowOff>
                  </from>
                  <to>
                    <xdr:col>4</xdr:col>
                    <xdr:colOff>295275</xdr:colOff>
                    <xdr:row>89</xdr:row>
                    <xdr:rowOff>47625</xdr:rowOff>
                  </to>
                </anchor>
              </controlPr>
            </control>
          </mc:Choice>
        </mc:AlternateContent>
        <mc:AlternateContent xmlns:mc="http://schemas.openxmlformats.org/markup-compatibility/2006">
          <mc:Choice Requires="x14">
            <control shapeId="13146991" r:id="rId349" name="Check Box 1903">
              <controlPr defaultSize="0" autoFill="0" autoLine="0" autoPict="0">
                <anchor moveWithCells="1">
                  <from>
                    <xdr:col>9</xdr:col>
                    <xdr:colOff>0</xdr:colOff>
                    <xdr:row>87</xdr:row>
                    <xdr:rowOff>0</xdr:rowOff>
                  </from>
                  <to>
                    <xdr:col>9</xdr:col>
                    <xdr:colOff>295275</xdr:colOff>
                    <xdr:row>88</xdr:row>
                    <xdr:rowOff>47625</xdr:rowOff>
                  </to>
                </anchor>
              </controlPr>
            </control>
          </mc:Choice>
        </mc:AlternateContent>
        <mc:AlternateContent xmlns:mc="http://schemas.openxmlformats.org/markup-compatibility/2006">
          <mc:Choice Requires="x14">
            <control shapeId="13146992" r:id="rId350" name="Check Box 1904">
              <controlPr defaultSize="0" autoFill="0" autoLine="0" autoPict="0">
                <anchor moveWithCells="1">
                  <from>
                    <xdr:col>4</xdr:col>
                    <xdr:colOff>0</xdr:colOff>
                    <xdr:row>87</xdr:row>
                    <xdr:rowOff>0</xdr:rowOff>
                  </from>
                  <to>
                    <xdr:col>4</xdr:col>
                    <xdr:colOff>295275</xdr:colOff>
                    <xdr:row>88</xdr:row>
                    <xdr:rowOff>47625</xdr:rowOff>
                  </to>
                </anchor>
              </controlPr>
            </control>
          </mc:Choice>
        </mc:AlternateContent>
        <mc:AlternateContent xmlns:mc="http://schemas.openxmlformats.org/markup-compatibility/2006">
          <mc:Choice Requires="x14">
            <control shapeId="13146993" r:id="rId351" name="Check Box 1905">
              <controlPr defaultSize="0" autoFill="0" autoLine="0" autoPict="0">
                <anchor moveWithCells="1">
                  <from>
                    <xdr:col>9</xdr:col>
                    <xdr:colOff>0</xdr:colOff>
                    <xdr:row>86</xdr:row>
                    <xdr:rowOff>0</xdr:rowOff>
                  </from>
                  <to>
                    <xdr:col>9</xdr:col>
                    <xdr:colOff>295275</xdr:colOff>
                    <xdr:row>87</xdr:row>
                    <xdr:rowOff>47625</xdr:rowOff>
                  </to>
                </anchor>
              </controlPr>
            </control>
          </mc:Choice>
        </mc:AlternateContent>
        <mc:AlternateContent xmlns:mc="http://schemas.openxmlformats.org/markup-compatibility/2006">
          <mc:Choice Requires="x14">
            <control shapeId="13146994" r:id="rId352" name="Check Box 1906">
              <controlPr defaultSize="0" autoFill="0" autoLine="0" autoPict="0">
                <anchor moveWithCells="1">
                  <from>
                    <xdr:col>4</xdr:col>
                    <xdr:colOff>0</xdr:colOff>
                    <xdr:row>86</xdr:row>
                    <xdr:rowOff>0</xdr:rowOff>
                  </from>
                  <to>
                    <xdr:col>4</xdr:col>
                    <xdr:colOff>295275</xdr:colOff>
                    <xdr:row>87</xdr:row>
                    <xdr:rowOff>47625</xdr:rowOff>
                  </to>
                </anchor>
              </controlPr>
            </control>
          </mc:Choice>
        </mc:AlternateContent>
        <mc:AlternateContent xmlns:mc="http://schemas.openxmlformats.org/markup-compatibility/2006">
          <mc:Choice Requires="x14">
            <control shapeId="13146995" r:id="rId353" name="Check Box 1907">
              <controlPr defaultSize="0" autoFill="0" autoLine="0" autoPict="0">
                <anchor moveWithCells="1">
                  <from>
                    <xdr:col>9</xdr:col>
                    <xdr:colOff>0</xdr:colOff>
                    <xdr:row>85</xdr:row>
                    <xdr:rowOff>0</xdr:rowOff>
                  </from>
                  <to>
                    <xdr:col>9</xdr:col>
                    <xdr:colOff>295275</xdr:colOff>
                    <xdr:row>86</xdr:row>
                    <xdr:rowOff>47625</xdr:rowOff>
                  </to>
                </anchor>
              </controlPr>
            </control>
          </mc:Choice>
        </mc:AlternateContent>
        <mc:AlternateContent xmlns:mc="http://schemas.openxmlformats.org/markup-compatibility/2006">
          <mc:Choice Requires="x14">
            <control shapeId="13146996" r:id="rId354" name="Check Box 1908">
              <controlPr defaultSize="0" autoFill="0" autoLine="0" autoPict="0">
                <anchor moveWithCells="1">
                  <from>
                    <xdr:col>4</xdr:col>
                    <xdr:colOff>0</xdr:colOff>
                    <xdr:row>85</xdr:row>
                    <xdr:rowOff>0</xdr:rowOff>
                  </from>
                  <to>
                    <xdr:col>4</xdr:col>
                    <xdr:colOff>295275</xdr:colOff>
                    <xdr:row>86</xdr:row>
                    <xdr:rowOff>47625</xdr:rowOff>
                  </to>
                </anchor>
              </controlPr>
            </control>
          </mc:Choice>
        </mc:AlternateContent>
        <mc:AlternateContent xmlns:mc="http://schemas.openxmlformats.org/markup-compatibility/2006">
          <mc:Choice Requires="x14">
            <control shapeId="13147005" r:id="rId355" name="Check Box 1917">
              <controlPr defaultSize="0" autoFill="0" autoLine="0" autoPict="0">
                <anchor moveWithCells="1">
                  <from>
                    <xdr:col>9</xdr:col>
                    <xdr:colOff>0</xdr:colOff>
                    <xdr:row>84</xdr:row>
                    <xdr:rowOff>0</xdr:rowOff>
                  </from>
                  <to>
                    <xdr:col>9</xdr:col>
                    <xdr:colOff>295275</xdr:colOff>
                    <xdr:row>85</xdr:row>
                    <xdr:rowOff>47625</xdr:rowOff>
                  </to>
                </anchor>
              </controlPr>
            </control>
          </mc:Choice>
        </mc:AlternateContent>
        <mc:AlternateContent xmlns:mc="http://schemas.openxmlformats.org/markup-compatibility/2006">
          <mc:Choice Requires="x14">
            <control shapeId="13147006" r:id="rId356" name="Check Box 1918">
              <controlPr defaultSize="0" autoFill="0" autoLine="0" autoPict="0">
                <anchor moveWithCells="1">
                  <from>
                    <xdr:col>4</xdr:col>
                    <xdr:colOff>0</xdr:colOff>
                    <xdr:row>84</xdr:row>
                    <xdr:rowOff>0</xdr:rowOff>
                  </from>
                  <to>
                    <xdr:col>4</xdr:col>
                    <xdr:colOff>295275</xdr:colOff>
                    <xdr:row>85</xdr:row>
                    <xdr:rowOff>47625</xdr:rowOff>
                  </to>
                </anchor>
              </controlPr>
            </control>
          </mc:Choice>
        </mc:AlternateContent>
        <mc:AlternateContent xmlns:mc="http://schemas.openxmlformats.org/markup-compatibility/2006">
          <mc:Choice Requires="x14">
            <control shapeId="13147007" r:id="rId357" name="Check Box 1919">
              <controlPr defaultSize="0" autoFill="0" autoLine="0" autoPict="0">
                <anchor moveWithCells="1">
                  <from>
                    <xdr:col>9</xdr:col>
                    <xdr:colOff>0</xdr:colOff>
                    <xdr:row>83</xdr:row>
                    <xdr:rowOff>0</xdr:rowOff>
                  </from>
                  <to>
                    <xdr:col>9</xdr:col>
                    <xdr:colOff>295275</xdr:colOff>
                    <xdr:row>84</xdr:row>
                    <xdr:rowOff>47625</xdr:rowOff>
                  </to>
                </anchor>
              </controlPr>
            </control>
          </mc:Choice>
        </mc:AlternateContent>
        <mc:AlternateContent xmlns:mc="http://schemas.openxmlformats.org/markup-compatibility/2006">
          <mc:Choice Requires="x14">
            <control shapeId="13147008" r:id="rId358" name="Check Box 1920">
              <controlPr defaultSize="0" autoFill="0" autoLine="0" autoPict="0">
                <anchor moveWithCells="1">
                  <from>
                    <xdr:col>4</xdr:col>
                    <xdr:colOff>0</xdr:colOff>
                    <xdr:row>83</xdr:row>
                    <xdr:rowOff>0</xdr:rowOff>
                  </from>
                  <to>
                    <xdr:col>4</xdr:col>
                    <xdr:colOff>295275</xdr:colOff>
                    <xdr:row>84</xdr:row>
                    <xdr:rowOff>47625</xdr:rowOff>
                  </to>
                </anchor>
              </controlPr>
            </control>
          </mc:Choice>
        </mc:AlternateContent>
        <mc:AlternateContent xmlns:mc="http://schemas.openxmlformats.org/markup-compatibility/2006">
          <mc:Choice Requires="x14">
            <control shapeId="13147011" r:id="rId359" name="Check Box 1923">
              <controlPr defaultSize="0" autoFill="0" autoLine="0" autoPict="0">
                <anchor moveWithCells="1">
                  <from>
                    <xdr:col>9</xdr:col>
                    <xdr:colOff>0</xdr:colOff>
                    <xdr:row>82</xdr:row>
                    <xdr:rowOff>0</xdr:rowOff>
                  </from>
                  <to>
                    <xdr:col>9</xdr:col>
                    <xdr:colOff>295275</xdr:colOff>
                    <xdr:row>83</xdr:row>
                    <xdr:rowOff>47625</xdr:rowOff>
                  </to>
                </anchor>
              </controlPr>
            </control>
          </mc:Choice>
        </mc:AlternateContent>
        <mc:AlternateContent xmlns:mc="http://schemas.openxmlformats.org/markup-compatibility/2006">
          <mc:Choice Requires="x14">
            <control shapeId="13147012" r:id="rId360" name="Check Box 1924">
              <controlPr defaultSize="0" autoFill="0" autoLine="0" autoPict="0">
                <anchor moveWithCells="1">
                  <from>
                    <xdr:col>4</xdr:col>
                    <xdr:colOff>0</xdr:colOff>
                    <xdr:row>82</xdr:row>
                    <xdr:rowOff>0</xdr:rowOff>
                  </from>
                  <to>
                    <xdr:col>4</xdr:col>
                    <xdr:colOff>295275</xdr:colOff>
                    <xdr:row>83</xdr:row>
                    <xdr:rowOff>47625</xdr:rowOff>
                  </to>
                </anchor>
              </controlPr>
            </control>
          </mc:Choice>
        </mc:AlternateContent>
        <mc:AlternateContent xmlns:mc="http://schemas.openxmlformats.org/markup-compatibility/2006">
          <mc:Choice Requires="x14">
            <control shapeId="13147013" r:id="rId361" name="Check Box 1925">
              <controlPr defaultSize="0" autoFill="0" autoLine="0" autoPict="0">
                <anchor moveWithCells="1">
                  <from>
                    <xdr:col>9</xdr:col>
                    <xdr:colOff>0</xdr:colOff>
                    <xdr:row>81</xdr:row>
                    <xdr:rowOff>0</xdr:rowOff>
                  </from>
                  <to>
                    <xdr:col>9</xdr:col>
                    <xdr:colOff>295275</xdr:colOff>
                    <xdr:row>82</xdr:row>
                    <xdr:rowOff>47625</xdr:rowOff>
                  </to>
                </anchor>
              </controlPr>
            </control>
          </mc:Choice>
        </mc:AlternateContent>
        <mc:AlternateContent xmlns:mc="http://schemas.openxmlformats.org/markup-compatibility/2006">
          <mc:Choice Requires="x14">
            <control shapeId="13147014" r:id="rId362" name="Check Box 1926">
              <controlPr defaultSize="0" autoFill="0" autoLine="0" autoPict="0">
                <anchor moveWithCells="1">
                  <from>
                    <xdr:col>4</xdr:col>
                    <xdr:colOff>0</xdr:colOff>
                    <xdr:row>81</xdr:row>
                    <xdr:rowOff>0</xdr:rowOff>
                  </from>
                  <to>
                    <xdr:col>4</xdr:col>
                    <xdr:colOff>295275</xdr:colOff>
                    <xdr:row>82</xdr:row>
                    <xdr:rowOff>47625</xdr:rowOff>
                  </to>
                </anchor>
              </controlPr>
            </control>
          </mc:Choice>
        </mc:AlternateContent>
        <mc:AlternateContent xmlns:mc="http://schemas.openxmlformats.org/markup-compatibility/2006">
          <mc:Choice Requires="x14">
            <control shapeId="13147015" r:id="rId363" name="Check Box 1927">
              <controlPr defaultSize="0" autoFill="0" autoLine="0" autoPict="0">
                <anchor moveWithCells="1">
                  <from>
                    <xdr:col>9</xdr:col>
                    <xdr:colOff>0</xdr:colOff>
                    <xdr:row>80</xdr:row>
                    <xdr:rowOff>0</xdr:rowOff>
                  </from>
                  <to>
                    <xdr:col>9</xdr:col>
                    <xdr:colOff>295275</xdr:colOff>
                    <xdr:row>81</xdr:row>
                    <xdr:rowOff>47625</xdr:rowOff>
                  </to>
                </anchor>
              </controlPr>
            </control>
          </mc:Choice>
        </mc:AlternateContent>
        <mc:AlternateContent xmlns:mc="http://schemas.openxmlformats.org/markup-compatibility/2006">
          <mc:Choice Requires="x14">
            <control shapeId="13147016" r:id="rId364" name="Check Box 1928">
              <controlPr defaultSize="0" autoFill="0" autoLine="0" autoPict="0">
                <anchor moveWithCells="1">
                  <from>
                    <xdr:col>4</xdr:col>
                    <xdr:colOff>0</xdr:colOff>
                    <xdr:row>80</xdr:row>
                    <xdr:rowOff>0</xdr:rowOff>
                  </from>
                  <to>
                    <xdr:col>4</xdr:col>
                    <xdr:colOff>295275</xdr:colOff>
                    <xdr:row>81</xdr:row>
                    <xdr:rowOff>47625</xdr:rowOff>
                  </to>
                </anchor>
              </controlPr>
            </control>
          </mc:Choice>
        </mc:AlternateContent>
        <mc:AlternateContent xmlns:mc="http://schemas.openxmlformats.org/markup-compatibility/2006">
          <mc:Choice Requires="x14">
            <control shapeId="13147017" r:id="rId365" name="Check Box 1929">
              <controlPr defaultSize="0" autoFill="0" autoLine="0" autoPict="0">
                <anchor moveWithCells="1">
                  <from>
                    <xdr:col>9</xdr:col>
                    <xdr:colOff>0</xdr:colOff>
                    <xdr:row>79</xdr:row>
                    <xdr:rowOff>0</xdr:rowOff>
                  </from>
                  <to>
                    <xdr:col>9</xdr:col>
                    <xdr:colOff>295275</xdr:colOff>
                    <xdr:row>80</xdr:row>
                    <xdr:rowOff>47625</xdr:rowOff>
                  </to>
                </anchor>
              </controlPr>
            </control>
          </mc:Choice>
        </mc:AlternateContent>
        <mc:AlternateContent xmlns:mc="http://schemas.openxmlformats.org/markup-compatibility/2006">
          <mc:Choice Requires="x14">
            <control shapeId="13147018" r:id="rId366" name="Check Box 1930">
              <controlPr defaultSize="0" autoFill="0" autoLine="0" autoPict="0">
                <anchor moveWithCells="1">
                  <from>
                    <xdr:col>4</xdr:col>
                    <xdr:colOff>0</xdr:colOff>
                    <xdr:row>79</xdr:row>
                    <xdr:rowOff>0</xdr:rowOff>
                  </from>
                  <to>
                    <xdr:col>4</xdr:col>
                    <xdr:colOff>295275</xdr:colOff>
                    <xdr:row>80</xdr:row>
                    <xdr:rowOff>47625</xdr:rowOff>
                  </to>
                </anchor>
              </controlPr>
            </control>
          </mc:Choice>
        </mc:AlternateContent>
        <mc:AlternateContent xmlns:mc="http://schemas.openxmlformats.org/markup-compatibility/2006">
          <mc:Choice Requires="x14">
            <control shapeId="13147019" r:id="rId367" name="Check Box 1931">
              <controlPr defaultSize="0" autoFill="0" autoLine="0" autoPict="0">
                <anchor moveWithCells="1">
                  <from>
                    <xdr:col>9</xdr:col>
                    <xdr:colOff>0</xdr:colOff>
                    <xdr:row>78</xdr:row>
                    <xdr:rowOff>0</xdr:rowOff>
                  </from>
                  <to>
                    <xdr:col>9</xdr:col>
                    <xdr:colOff>295275</xdr:colOff>
                    <xdr:row>79</xdr:row>
                    <xdr:rowOff>47625</xdr:rowOff>
                  </to>
                </anchor>
              </controlPr>
            </control>
          </mc:Choice>
        </mc:AlternateContent>
        <mc:AlternateContent xmlns:mc="http://schemas.openxmlformats.org/markup-compatibility/2006">
          <mc:Choice Requires="x14">
            <control shapeId="13147020" r:id="rId368" name="Check Box 1932">
              <controlPr defaultSize="0" autoFill="0" autoLine="0" autoPict="0">
                <anchor moveWithCells="1">
                  <from>
                    <xdr:col>4</xdr:col>
                    <xdr:colOff>0</xdr:colOff>
                    <xdr:row>78</xdr:row>
                    <xdr:rowOff>0</xdr:rowOff>
                  </from>
                  <to>
                    <xdr:col>4</xdr:col>
                    <xdr:colOff>295275</xdr:colOff>
                    <xdr:row>79</xdr:row>
                    <xdr:rowOff>47625</xdr:rowOff>
                  </to>
                </anchor>
              </controlPr>
            </control>
          </mc:Choice>
        </mc:AlternateContent>
        <mc:AlternateContent xmlns:mc="http://schemas.openxmlformats.org/markup-compatibility/2006">
          <mc:Choice Requires="x14">
            <control shapeId="13147021" r:id="rId369" name="Check Box 1933">
              <controlPr defaultSize="0" autoFill="0" autoLine="0" autoPict="0">
                <anchor moveWithCells="1">
                  <from>
                    <xdr:col>9</xdr:col>
                    <xdr:colOff>0</xdr:colOff>
                    <xdr:row>77</xdr:row>
                    <xdr:rowOff>0</xdr:rowOff>
                  </from>
                  <to>
                    <xdr:col>9</xdr:col>
                    <xdr:colOff>295275</xdr:colOff>
                    <xdr:row>78</xdr:row>
                    <xdr:rowOff>47625</xdr:rowOff>
                  </to>
                </anchor>
              </controlPr>
            </control>
          </mc:Choice>
        </mc:AlternateContent>
        <mc:AlternateContent xmlns:mc="http://schemas.openxmlformats.org/markup-compatibility/2006">
          <mc:Choice Requires="x14">
            <control shapeId="13147022" r:id="rId370" name="Check Box 1934">
              <controlPr defaultSize="0" autoFill="0" autoLine="0" autoPict="0">
                <anchor moveWithCells="1">
                  <from>
                    <xdr:col>4</xdr:col>
                    <xdr:colOff>0</xdr:colOff>
                    <xdr:row>77</xdr:row>
                    <xdr:rowOff>0</xdr:rowOff>
                  </from>
                  <to>
                    <xdr:col>4</xdr:col>
                    <xdr:colOff>295275</xdr:colOff>
                    <xdr:row>78</xdr:row>
                    <xdr:rowOff>47625</xdr:rowOff>
                  </to>
                </anchor>
              </controlPr>
            </control>
          </mc:Choice>
        </mc:AlternateContent>
        <mc:AlternateContent xmlns:mc="http://schemas.openxmlformats.org/markup-compatibility/2006">
          <mc:Choice Requires="x14">
            <control shapeId="13147023" r:id="rId371" name="Check Box 1935">
              <controlPr defaultSize="0" autoFill="0" autoLine="0" autoPict="0">
                <anchor moveWithCells="1">
                  <from>
                    <xdr:col>9</xdr:col>
                    <xdr:colOff>0</xdr:colOff>
                    <xdr:row>76</xdr:row>
                    <xdr:rowOff>0</xdr:rowOff>
                  </from>
                  <to>
                    <xdr:col>9</xdr:col>
                    <xdr:colOff>295275</xdr:colOff>
                    <xdr:row>77</xdr:row>
                    <xdr:rowOff>47625</xdr:rowOff>
                  </to>
                </anchor>
              </controlPr>
            </control>
          </mc:Choice>
        </mc:AlternateContent>
        <mc:AlternateContent xmlns:mc="http://schemas.openxmlformats.org/markup-compatibility/2006">
          <mc:Choice Requires="x14">
            <control shapeId="13147024" r:id="rId372" name="Check Box 1936">
              <controlPr defaultSize="0" autoFill="0" autoLine="0" autoPict="0">
                <anchor moveWithCells="1">
                  <from>
                    <xdr:col>4</xdr:col>
                    <xdr:colOff>0</xdr:colOff>
                    <xdr:row>76</xdr:row>
                    <xdr:rowOff>0</xdr:rowOff>
                  </from>
                  <to>
                    <xdr:col>4</xdr:col>
                    <xdr:colOff>295275</xdr:colOff>
                    <xdr:row>77</xdr:row>
                    <xdr:rowOff>47625</xdr:rowOff>
                  </to>
                </anchor>
              </controlPr>
            </control>
          </mc:Choice>
        </mc:AlternateContent>
        <mc:AlternateContent xmlns:mc="http://schemas.openxmlformats.org/markup-compatibility/2006">
          <mc:Choice Requires="x14">
            <control shapeId="13147025" r:id="rId373" name="Check Box 1937">
              <controlPr defaultSize="0" autoFill="0" autoLine="0" autoPict="0">
                <anchor moveWithCells="1">
                  <from>
                    <xdr:col>9</xdr:col>
                    <xdr:colOff>0</xdr:colOff>
                    <xdr:row>75</xdr:row>
                    <xdr:rowOff>0</xdr:rowOff>
                  </from>
                  <to>
                    <xdr:col>9</xdr:col>
                    <xdr:colOff>295275</xdr:colOff>
                    <xdr:row>76</xdr:row>
                    <xdr:rowOff>47625</xdr:rowOff>
                  </to>
                </anchor>
              </controlPr>
            </control>
          </mc:Choice>
        </mc:AlternateContent>
        <mc:AlternateContent xmlns:mc="http://schemas.openxmlformats.org/markup-compatibility/2006">
          <mc:Choice Requires="x14">
            <control shapeId="13147026" r:id="rId374" name="Check Box 1938">
              <controlPr defaultSize="0" autoFill="0" autoLine="0" autoPict="0">
                <anchor moveWithCells="1">
                  <from>
                    <xdr:col>4</xdr:col>
                    <xdr:colOff>0</xdr:colOff>
                    <xdr:row>75</xdr:row>
                    <xdr:rowOff>0</xdr:rowOff>
                  </from>
                  <to>
                    <xdr:col>4</xdr:col>
                    <xdr:colOff>295275</xdr:colOff>
                    <xdr:row>76</xdr:row>
                    <xdr:rowOff>47625</xdr:rowOff>
                  </to>
                </anchor>
              </controlPr>
            </control>
          </mc:Choice>
        </mc:AlternateContent>
        <mc:AlternateContent xmlns:mc="http://schemas.openxmlformats.org/markup-compatibility/2006">
          <mc:Choice Requires="x14">
            <control shapeId="13147027" r:id="rId375" name="Check Box 1939">
              <controlPr defaultSize="0" autoFill="0" autoLine="0" autoPict="0">
                <anchor moveWithCells="1">
                  <from>
                    <xdr:col>9</xdr:col>
                    <xdr:colOff>0</xdr:colOff>
                    <xdr:row>74</xdr:row>
                    <xdr:rowOff>0</xdr:rowOff>
                  </from>
                  <to>
                    <xdr:col>9</xdr:col>
                    <xdr:colOff>295275</xdr:colOff>
                    <xdr:row>75</xdr:row>
                    <xdr:rowOff>47625</xdr:rowOff>
                  </to>
                </anchor>
              </controlPr>
            </control>
          </mc:Choice>
        </mc:AlternateContent>
        <mc:AlternateContent xmlns:mc="http://schemas.openxmlformats.org/markup-compatibility/2006">
          <mc:Choice Requires="x14">
            <control shapeId="13147028" r:id="rId376" name="Check Box 1940">
              <controlPr defaultSize="0" autoFill="0" autoLine="0" autoPict="0">
                <anchor moveWithCells="1">
                  <from>
                    <xdr:col>4</xdr:col>
                    <xdr:colOff>0</xdr:colOff>
                    <xdr:row>74</xdr:row>
                    <xdr:rowOff>0</xdr:rowOff>
                  </from>
                  <to>
                    <xdr:col>4</xdr:col>
                    <xdr:colOff>295275</xdr:colOff>
                    <xdr:row>75</xdr:row>
                    <xdr:rowOff>47625</xdr:rowOff>
                  </to>
                </anchor>
              </controlPr>
            </control>
          </mc:Choice>
        </mc:AlternateContent>
        <mc:AlternateContent xmlns:mc="http://schemas.openxmlformats.org/markup-compatibility/2006">
          <mc:Choice Requires="x14">
            <control shapeId="13147029" r:id="rId377" name="Check Box 1941">
              <controlPr defaultSize="0" autoFill="0" autoLine="0" autoPict="0">
                <anchor moveWithCells="1">
                  <from>
                    <xdr:col>9</xdr:col>
                    <xdr:colOff>0</xdr:colOff>
                    <xdr:row>73</xdr:row>
                    <xdr:rowOff>0</xdr:rowOff>
                  </from>
                  <to>
                    <xdr:col>9</xdr:col>
                    <xdr:colOff>295275</xdr:colOff>
                    <xdr:row>74</xdr:row>
                    <xdr:rowOff>47625</xdr:rowOff>
                  </to>
                </anchor>
              </controlPr>
            </control>
          </mc:Choice>
        </mc:AlternateContent>
        <mc:AlternateContent xmlns:mc="http://schemas.openxmlformats.org/markup-compatibility/2006">
          <mc:Choice Requires="x14">
            <control shapeId="13147030" r:id="rId378" name="Check Box 1942">
              <controlPr defaultSize="0" autoFill="0" autoLine="0" autoPict="0">
                <anchor moveWithCells="1">
                  <from>
                    <xdr:col>4</xdr:col>
                    <xdr:colOff>0</xdr:colOff>
                    <xdr:row>73</xdr:row>
                    <xdr:rowOff>0</xdr:rowOff>
                  </from>
                  <to>
                    <xdr:col>4</xdr:col>
                    <xdr:colOff>295275</xdr:colOff>
                    <xdr:row>74</xdr:row>
                    <xdr:rowOff>47625</xdr:rowOff>
                  </to>
                </anchor>
              </controlPr>
            </control>
          </mc:Choice>
        </mc:AlternateContent>
        <mc:AlternateContent xmlns:mc="http://schemas.openxmlformats.org/markup-compatibility/2006">
          <mc:Choice Requires="x14">
            <control shapeId="13147031" r:id="rId379" name="Check Box 1943">
              <controlPr defaultSize="0" autoFill="0" autoLine="0" autoPict="0">
                <anchor moveWithCells="1">
                  <from>
                    <xdr:col>9</xdr:col>
                    <xdr:colOff>0</xdr:colOff>
                    <xdr:row>72</xdr:row>
                    <xdr:rowOff>0</xdr:rowOff>
                  </from>
                  <to>
                    <xdr:col>9</xdr:col>
                    <xdr:colOff>295275</xdr:colOff>
                    <xdr:row>73</xdr:row>
                    <xdr:rowOff>47625</xdr:rowOff>
                  </to>
                </anchor>
              </controlPr>
            </control>
          </mc:Choice>
        </mc:AlternateContent>
        <mc:AlternateContent xmlns:mc="http://schemas.openxmlformats.org/markup-compatibility/2006">
          <mc:Choice Requires="x14">
            <control shapeId="13147032" r:id="rId380" name="Check Box 1944">
              <controlPr defaultSize="0" autoFill="0" autoLine="0" autoPict="0">
                <anchor moveWithCells="1">
                  <from>
                    <xdr:col>4</xdr:col>
                    <xdr:colOff>0</xdr:colOff>
                    <xdr:row>72</xdr:row>
                    <xdr:rowOff>0</xdr:rowOff>
                  </from>
                  <to>
                    <xdr:col>4</xdr:col>
                    <xdr:colOff>295275</xdr:colOff>
                    <xdr:row>73</xdr:row>
                    <xdr:rowOff>47625</xdr:rowOff>
                  </to>
                </anchor>
              </controlPr>
            </control>
          </mc:Choice>
        </mc:AlternateContent>
        <mc:AlternateContent xmlns:mc="http://schemas.openxmlformats.org/markup-compatibility/2006">
          <mc:Choice Requires="x14">
            <control shapeId="13147033" r:id="rId381" name="Check Box 1945">
              <controlPr defaultSize="0" autoFill="0" autoLine="0" autoPict="0">
                <anchor moveWithCells="1">
                  <from>
                    <xdr:col>9</xdr:col>
                    <xdr:colOff>0</xdr:colOff>
                    <xdr:row>71</xdr:row>
                    <xdr:rowOff>0</xdr:rowOff>
                  </from>
                  <to>
                    <xdr:col>9</xdr:col>
                    <xdr:colOff>295275</xdr:colOff>
                    <xdr:row>72</xdr:row>
                    <xdr:rowOff>47625</xdr:rowOff>
                  </to>
                </anchor>
              </controlPr>
            </control>
          </mc:Choice>
        </mc:AlternateContent>
        <mc:AlternateContent xmlns:mc="http://schemas.openxmlformats.org/markup-compatibility/2006">
          <mc:Choice Requires="x14">
            <control shapeId="13147034" r:id="rId382" name="Check Box 1946">
              <controlPr defaultSize="0" autoFill="0" autoLine="0" autoPict="0">
                <anchor moveWithCells="1">
                  <from>
                    <xdr:col>4</xdr:col>
                    <xdr:colOff>0</xdr:colOff>
                    <xdr:row>71</xdr:row>
                    <xdr:rowOff>0</xdr:rowOff>
                  </from>
                  <to>
                    <xdr:col>4</xdr:col>
                    <xdr:colOff>295275</xdr:colOff>
                    <xdr:row>72</xdr:row>
                    <xdr:rowOff>47625</xdr:rowOff>
                  </to>
                </anchor>
              </controlPr>
            </control>
          </mc:Choice>
        </mc:AlternateContent>
        <mc:AlternateContent xmlns:mc="http://schemas.openxmlformats.org/markup-compatibility/2006">
          <mc:Choice Requires="x14">
            <control shapeId="13147035" r:id="rId383" name="Check Box 1947">
              <controlPr defaultSize="0" autoFill="0" autoLine="0" autoPict="0">
                <anchor moveWithCells="1">
                  <from>
                    <xdr:col>9</xdr:col>
                    <xdr:colOff>0</xdr:colOff>
                    <xdr:row>70</xdr:row>
                    <xdr:rowOff>0</xdr:rowOff>
                  </from>
                  <to>
                    <xdr:col>9</xdr:col>
                    <xdr:colOff>295275</xdr:colOff>
                    <xdr:row>71</xdr:row>
                    <xdr:rowOff>47625</xdr:rowOff>
                  </to>
                </anchor>
              </controlPr>
            </control>
          </mc:Choice>
        </mc:AlternateContent>
        <mc:AlternateContent xmlns:mc="http://schemas.openxmlformats.org/markup-compatibility/2006">
          <mc:Choice Requires="x14">
            <control shapeId="13147036" r:id="rId384" name="Check Box 1948">
              <controlPr defaultSize="0" autoFill="0" autoLine="0" autoPict="0">
                <anchor moveWithCells="1">
                  <from>
                    <xdr:col>4</xdr:col>
                    <xdr:colOff>0</xdr:colOff>
                    <xdr:row>70</xdr:row>
                    <xdr:rowOff>0</xdr:rowOff>
                  </from>
                  <to>
                    <xdr:col>4</xdr:col>
                    <xdr:colOff>295275</xdr:colOff>
                    <xdr:row>71</xdr:row>
                    <xdr:rowOff>47625</xdr:rowOff>
                  </to>
                </anchor>
              </controlPr>
            </control>
          </mc:Choice>
        </mc:AlternateContent>
        <mc:AlternateContent xmlns:mc="http://schemas.openxmlformats.org/markup-compatibility/2006">
          <mc:Choice Requires="x14">
            <control shapeId="13147037" r:id="rId385" name="Check Box 1949">
              <controlPr defaultSize="0" autoFill="0" autoLine="0" autoPict="0">
                <anchor moveWithCells="1">
                  <from>
                    <xdr:col>9</xdr:col>
                    <xdr:colOff>0</xdr:colOff>
                    <xdr:row>69</xdr:row>
                    <xdr:rowOff>0</xdr:rowOff>
                  </from>
                  <to>
                    <xdr:col>9</xdr:col>
                    <xdr:colOff>295275</xdr:colOff>
                    <xdr:row>70</xdr:row>
                    <xdr:rowOff>66675</xdr:rowOff>
                  </to>
                </anchor>
              </controlPr>
            </control>
          </mc:Choice>
        </mc:AlternateContent>
        <mc:AlternateContent xmlns:mc="http://schemas.openxmlformats.org/markup-compatibility/2006">
          <mc:Choice Requires="x14">
            <control shapeId="13147038" r:id="rId386" name="Check Box 1950">
              <controlPr defaultSize="0" autoFill="0" autoLine="0" autoPict="0">
                <anchor moveWithCells="1">
                  <from>
                    <xdr:col>4</xdr:col>
                    <xdr:colOff>0</xdr:colOff>
                    <xdr:row>69</xdr:row>
                    <xdr:rowOff>0</xdr:rowOff>
                  </from>
                  <to>
                    <xdr:col>4</xdr:col>
                    <xdr:colOff>295275</xdr:colOff>
                    <xdr:row>70</xdr:row>
                    <xdr:rowOff>66675</xdr:rowOff>
                  </to>
                </anchor>
              </controlPr>
            </control>
          </mc:Choice>
        </mc:AlternateContent>
        <mc:AlternateContent xmlns:mc="http://schemas.openxmlformats.org/markup-compatibility/2006">
          <mc:Choice Requires="x14">
            <control shapeId="13147041" r:id="rId387" name="Check Box 1953">
              <controlPr defaultSize="0" autoFill="0" autoLine="0" autoPict="0">
                <anchor moveWithCells="1">
                  <from>
                    <xdr:col>9</xdr:col>
                    <xdr:colOff>0</xdr:colOff>
                    <xdr:row>68</xdr:row>
                    <xdr:rowOff>0</xdr:rowOff>
                  </from>
                  <to>
                    <xdr:col>9</xdr:col>
                    <xdr:colOff>295275</xdr:colOff>
                    <xdr:row>69</xdr:row>
                    <xdr:rowOff>47625</xdr:rowOff>
                  </to>
                </anchor>
              </controlPr>
            </control>
          </mc:Choice>
        </mc:AlternateContent>
        <mc:AlternateContent xmlns:mc="http://schemas.openxmlformats.org/markup-compatibility/2006">
          <mc:Choice Requires="x14">
            <control shapeId="13147042" r:id="rId388" name="Check Box 1954">
              <controlPr defaultSize="0" autoFill="0" autoLine="0" autoPict="0">
                <anchor moveWithCells="1">
                  <from>
                    <xdr:col>4</xdr:col>
                    <xdr:colOff>0</xdr:colOff>
                    <xdr:row>68</xdr:row>
                    <xdr:rowOff>0</xdr:rowOff>
                  </from>
                  <to>
                    <xdr:col>4</xdr:col>
                    <xdr:colOff>295275</xdr:colOff>
                    <xdr:row>69</xdr:row>
                    <xdr:rowOff>47625</xdr:rowOff>
                  </to>
                </anchor>
              </controlPr>
            </control>
          </mc:Choice>
        </mc:AlternateContent>
        <mc:AlternateContent xmlns:mc="http://schemas.openxmlformats.org/markup-compatibility/2006">
          <mc:Choice Requires="x14">
            <control shapeId="13147045" r:id="rId389" name="Check Box 1957">
              <controlPr defaultSize="0" autoFill="0" autoLine="0" autoPict="0">
                <anchor moveWithCells="1">
                  <from>
                    <xdr:col>9</xdr:col>
                    <xdr:colOff>0</xdr:colOff>
                    <xdr:row>67</xdr:row>
                    <xdr:rowOff>0</xdr:rowOff>
                  </from>
                  <to>
                    <xdr:col>9</xdr:col>
                    <xdr:colOff>295275</xdr:colOff>
                    <xdr:row>68</xdr:row>
                    <xdr:rowOff>47625</xdr:rowOff>
                  </to>
                </anchor>
              </controlPr>
            </control>
          </mc:Choice>
        </mc:AlternateContent>
        <mc:AlternateContent xmlns:mc="http://schemas.openxmlformats.org/markup-compatibility/2006">
          <mc:Choice Requires="x14">
            <control shapeId="13147046" r:id="rId390" name="Check Box 1958">
              <controlPr defaultSize="0" autoFill="0" autoLine="0" autoPict="0">
                <anchor moveWithCells="1">
                  <from>
                    <xdr:col>4</xdr:col>
                    <xdr:colOff>0</xdr:colOff>
                    <xdr:row>67</xdr:row>
                    <xdr:rowOff>0</xdr:rowOff>
                  </from>
                  <to>
                    <xdr:col>4</xdr:col>
                    <xdr:colOff>295275</xdr:colOff>
                    <xdr:row>68</xdr:row>
                    <xdr:rowOff>47625</xdr:rowOff>
                  </to>
                </anchor>
              </controlPr>
            </control>
          </mc:Choice>
        </mc:AlternateContent>
        <mc:AlternateContent xmlns:mc="http://schemas.openxmlformats.org/markup-compatibility/2006">
          <mc:Choice Requires="x14">
            <control shapeId="13147047" r:id="rId391" name="Check Box 1959">
              <controlPr defaultSize="0" autoFill="0" autoLine="0" autoPict="0">
                <anchor moveWithCells="1">
                  <from>
                    <xdr:col>9</xdr:col>
                    <xdr:colOff>0</xdr:colOff>
                    <xdr:row>66</xdr:row>
                    <xdr:rowOff>0</xdr:rowOff>
                  </from>
                  <to>
                    <xdr:col>9</xdr:col>
                    <xdr:colOff>295275</xdr:colOff>
                    <xdr:row>67</xdr:row>
                    <xdr:rowOff>47625</xdr:rowOff>
                  </to>
                </anchor>
              </controlPr>
            </control>
          </mc:Choice>
        </mc:AlternateContent>
        <mc:AlternateContent xmlns:mc="http://schemas.openxmlformats.org/markup-compatibility/2006">
          <mc:Choice Requires="x14">
            <control shapeId="13147048" r:id="rId392" name="Check Box 1960">
              <controlPr defaultSize="0" autoFill="0" autoLine="0" autoPict="0">
                <anchor moveWithCells="1">
                  <from>
                    <xdr:col>4</xdr:col>
                    <xdr:colOff>0</xdr:colOff>
                    <xdr:row>66</xdr:row>
                    <xdr:rowOff>0</xdr:rowOff>
                  </from>
                  <to>
                    <xdr:col>4</xdr:col>
                    <xdr:colOff>295275</xdr:colOff>
                    <xdr:row>67</xdr:row>
                    <xdr:rowOff>47625</xdr:rowOff>
                  </to>
                </anchor>
              </controlPr>
            </control>
          </mc:Choice>
        </mc:AlternateContent>
        <mc:AlternateContent xmlns:mc="http://schemas.openxmlformats.org/markup-compatibility/2006">
          <mc:Choice Requires="x14">
            <control shapeId="13147051" r:id="rId393" name="Check Box 1963">
              <controlPr defaultSize="0" autoFill="0" autoLine="0" autoPict="0">
                <anchor moveWithCells="1">
                  <from>
                    <xdr:col>9</xdr:col>
                    <xdr:colOff>0</xdr:colOff>
                    <xdr:row>65</xdr:row>
                    <xdr:rowOff>0</xdr:rowOff>
                  </from>
                  <to>
                    <xdr:col>9</xdr:col>
                    <xdr:colOff>295275</xdr:colOff>
                    <xdr:row>66</xdr:row>
                    <xdr:rowOff>47625</xdr:rowOff>
                  </to>
                </anchor>
              </controlPr>
            </control>
          </mc:Choice>
        </mc:AlternateContent>
        <mc:AlternateContent xmlns:mc="http://schemas.openxmlformats.org/markup-compatibility/2006">
          <mc:Choice Requires="x14">
            <control shapeId="13147052" r:id="rId394" name="Check Box 1964">
              <controlPr defaultSize="0" autoFill="0" autoLine="0" autoPict="0">
                <anchor moveWithCells="1">
                  <from>
                    <xdr:col>4</xdr:col>
                    <xdr:colOff>0</xdr:colOff>
                    <xdr:row>65</xdr:row>
                    <xdr:rowOff>0</xdr:rowOff>
                  </from>
                  <to>
                    <xdr:col>4</xdr:col>
                    <xdr:colOff>295275</xdr:colOff>
                    <xdr:row>66</xdr:row>
                    <xdr:rowOff>47625</xdr:rowOff>
                  </to>
                </anchor>
              </controlPr>
            </control>
          </mc:Choice>
        </mc:AlternateContent>
        <mc:AlternateContent xmlns:mc="http://schemas.openxmlformats.org/markup-compatibility/2006">
          <mc:Choice Requires="x14">
            <control shapeId="13147053" r:id="rId395" name="Check Box 1965">
              <controlPr defaultSize="0" autoFill="0" autoLine="0" autoPict="0">
                <anchor moveWithCells="1">
                  <from>
                    <xdr:col>9</xdr:col>
                    <xdr:colOff>0</xdr:colOff>
                    <xdr:row>64</xdr:row>
                    <xdr:rowOff>0</xdr:rowOff>
                  </from>
                  <to>
                    <xdr:col>9</xdr:col>
                    <xdr:colOff>295275</xdr:colOff>
                    <xdr:row>65</xdr:row>
                    <xdr:rowOff>47625</xdr:rowOff>
                  </to>
                </anchor>
              </controlPr>
            </control>
          </mc:Choice>
        </mc:AlternateContent>
        <mc:AlternateContent xmlns:mc="http://schemas.openxmlformats.org/markup-compatibility/2006">
          <mc:Choice Requires="x14">
            <control shapeId="13147054" r:id="rId396" name="Check Box 1966">
              <controlPr defaultSize="0" autoFill="0" autoLine="0" autoPict="0">
                <anchor moveWithCells="1">
                  <from>
                    <xdr:col>4</xdr:col>
                    <xdr:colOff>0</xdr:colOff>
                    <xdr:row>64</xdr:row>
                    <xdr:rowOff>0</xdr:rowOff>
                  </from>
                  <to>
                    <xdr:col>4</xdr:col>
                    <xdr:colOff>295275</xdr:colOff>
                    <xdr:row>65</xdr:row>
                    <xdr:rowOff>47625</xdr:rowOff>
                  </to>
                </anchor>
              </controlPr>
            </control>
          </mc:Choice>
        </mc:AlternateContent>
        <mc:AlternateContent xmlns:mc="http://schemas.openxmlformats.org/markup-compatibility/2006">
          <mc:Choice Requires="x14">
            <control shapeId="13147055" r:id="rId397" name="Check Box 1967">
              <controlPr defaultSize="0" autoFill="0" autoLine="0" autoPict="0">
                <anchor moveWithCells="1">
                  <from>
                    <xdr:col>9</xdr:col>
                    <xdr:colOff>0</xdr:colOff>
                    <xdr:row>63</xdr:row>
                    <xdr:rowOff>0</xdr:rowOff>
                  </from>
                  <to>
                    <xdr:col>9</xdr:col>
                    <xdr:colOff>295275</xdr:colOff>
                    <xdr:row>64</xdr:row>
                    <xdr:rowOff>47625</xdr:rowOff>
                  </to>
                </anchor>
              </controlPr>
            </control>
          </mc:Choice>
        </mc:AlternateContent>
        <mc:AlternateContent xmlns:mc="http://schemas.openxmlformats.org/markup-compatibility/2006">
          <mc:Choice Requires="x14">
            <control shapeId="13147056" r:id="rId398" name="Check Box 1968">
              <controlPr defaultSize="0" autoFill="0" autoLine="0" autoPict="0">
                <anchor moveWithCells="1">
                  <from>
                    <xdr:col>4</xdr:col>
                    <xdr:colOff>0</xdr:colOff>
                    <xdr:row>63</xdr:row>
                    <xdr:rowOff>0</xdr:rowOff>
                  </from>
                  <to>
                    <xdr:col>4</xdr:col>
                    <xdr:colOff>295275</xdr:colOff>
                    <xdr:row>64</xdr:row>
                    <xdr:rowOff>47625</xdr:rowOff>
                  </to>
                </anchor>
              </controlPr>
            </control>
          </mc:Choice>
        </mc:AlternateContent>
        <mc:AlternateContent xmlns:mc="http://schemas.openxmlformats.org/markup-compatibility/2006">
          <mc:Choice Requires="x14">
            <control shapeId="13147057" r:id="rId399" name="Check Box 1969">
              <controlPr defaultSize="0" autoFill="0" autoLine="0" autoPict="0">
                <anchor moveWithCells="1">
                  <from>
                    <xdr:col>9</xdr:col>
                    <xdr:colOff>0</xdr:colOff>
                    <xdr:row>62</xdr:row>
                    <xdr:rowOff>0</xdr:rowOff>
                  </from>
                  <to>
                    <xdr:col>9</xdr:col>
                    <xdr:colOff>295275</xdr:colOff>
                    <xdr:row>63</xdr:row>
                    <xdr:rowOff>47625</xdr:rowOff>
                  </to>
                </anchor>
              </controlPr>
            </control>
          </mc:Choice>
        </mc:AlternateContent>
        <mc:AlternateContent xmlns:mc="http://schemas.openxmlformats.org/markup-compatibility/2006">
          <mc:Choice Requires="x14">
            <control shapeId="13147058" r:id="rId400" name="Check Box 1970">
              <controlPr defaultSize="0" autoFill="0" autoLine="0" autoPict="0">
                <anchor moveWithCells="1">
                  <from>
                    <xdr:col>4</xdr:col>
                    <xdr:colOff>0</xdr:colOff>
                    <xdr:row>62</xdr:row>
                    <xdr:rowOff>0</xdr:rowOff>
                  </from>
                  <to>
                    <xdr:col>4</xdr:col>
                    <xdr:colOff>295275</xdr:colOff>
                    <xdr:row>63</xdr:row>
                    <xdr:rowOff>47625</xdr:rowOff>
                  </to>
                </anchor>
              </controlPr>
            </control>
          </mc:Choice>
        </mc:AlternateContent>
        <mc:AlternateContent xmlns:mc="http://schemas.openxmlformats.org/markup-compatibility/2006">
          <mc:Choice Requires="x14">
            <control shapeId="13147059" r:id="rId401" name="Check Box 1971">
              <controlPr defaultSize="0" autoFill="0" autoLine="0" autoPict="0">
                <anchor moveWithCells="1">
                  <from>
                    <xdr:col>9</xdr:col>
                    <xdr:colOff>0</xdr:colOff>
                    <xdr:row>61</xdr:row>
                    <xdr:rowOff>0</xdr:rowOff>
                  </from>
                  <to>
                    <xdr:col>9</xdr:col>
                    <xdr:colOff>295275</xdr:colOff>
                    <xdr:row>62</xdr:row>
                    <xdr:rowOff>47625</xdr:rowOff>
                  </to>
                </anchor>
              </controlPr>
            </control>
          </mc:Choice>
        </mc:AlternateContent>
        <mc:AlternateContent xmlns:mc="http://schemas.openxmlformats.org/markup-compatibility/2006">
          <mc:Choice Requires="x14">
            <control shapeId="13147060" r:id="rId402" name="Check Box 1972">
              <controlPr defaultSize="0" autoFill="0" autoLine="0" autoPict="0">
                <anchor moveWithCells="1">
                  <from>
                    <xdr:col>4</xdr:col>
                    <xdr:colOff>0</xdr:colOff>
                    <xdr:row>61</xdr:row>
                    <xdr:rowOff>0</xdr:rowOff>
                  </from>
                  <to>
                    <xdr:col>4</xdr:col>
                    <xdr:colOff>295275</xdr:colOff>
                    <xdr:row>62</xdr:row>
                    <xdr:rowOff>47625</xdr:rowOff>
                  </to>
                </anchor>
              </controlPr>
            </control>
          </mc:Choice>
        </mc:AlternateContent>
        <mc:AlternateContent xmlns:mc="http://schemas.openxmlformats.org/markup-compatibility/2006">
          <mc:Choice Requires="x14">
            <control shapeId="13147061" r:id="rId403" name="Check Box 1973">
              <controlPr defaultSize="0" autoFill="0" autoLine="0" autoPict="0">
                <anchor moveWithCells="1">
                  <from>
                    <xdr:col>9</xdr:col>
                    <xdr:colOff>0</xdr:colOff>
                    <xdr:row>60</xdr:row>
                    <xdr:rowOff>0</xdr:rowOff>
                  </from>
                  <to>
                    <xdr:col>9</xdr:col>
                    <xdr:colOff>295275</xdr:colOff>
                    <xdr:row>61</xdr:row>
                    <xdr:rowOff>47625</xdr:rowOff>
                  </to>
                </anchor>
              </controlPr>
            </control>
          </mc:Choice>
        </mc:AlternateContent>
        <mc:AlternateContent xmlns:mc="http://schemas.openxmlformats.org/markup-compatibility/2006">
          <mc:Choice Requires="x14">
            <control shapeId="13147062" r:id="rId404" name="Check Box 1974">
              <controlPr defaultSize="0" autoFill="0" autoLine="0" autoPict="0">
                <anchor moveWithCells="1">
                  <from>
                    <xdr:col>4</xdr:col>
                    <xdr:colOff>0</xdr:colOff>
                    <xdr:row>60</xdr:row>
                    <xdr:rowOff>0</xdr:rowOff>
                  </from>
                  <to>
                    <xdr:col>4</xdr:col>
                    <xdr:colOff>295275</xdr:colOff>
                    <xdr:row>61</xdr:row>
                    <xdr:rowOff>47625</xdr:rowOff>
                  </to>
                </anchor>
              </controlPr>
            </control>
          </mc:Choice>
        </mc:AlternateContent>
        <mc:AlternateContent xmlns:mc="http://schemas.openxmlformats.org/markup-compatibility/2006">
          <mc:Choice Requires="x14">
            <control shapeId="13147063" r:id="rId405" name="Check Box 1975">
              <controlPr defaultSize="0" autoFill="0" autoLine="0" autoPict="0">
                <anchor moveWithCells="1">
                  <from>
                    <xdr:col>9</xdr:col>
                    <xdr:colOff>0</xdr:colOff>
                    <xdr:row>59</xdr:row>
                    <xdr:rowOff>0</xdr:rowOff>
                  </from>
                  <to>
                    <xdr:col>9</xdr:col>
                    <xdr:colOff>295275</xdr:colOff>
                    <xdr:row>60</xdr:row>
                    <xdr:rowOff>47625</xdr:rowOff>
                  </to>
                </anchor>
              </controlPr>
            </control>
          </mc:Choice>
        </mc:AlternateContent>
        <mc:AlternateContent xmlns:mc="http://schemas.openxmlformats.org/markup-compatibility/2006">
          <mc:Choice Requires="x14">
            <control shapeId="13147064" r:id="rId406" name="Check Box 1976">
              <controlPr defaultSize="0" autoFill="0" autoLine="0" autoPict="0">
                <anchor moveWithCells="1">
                  <from>
                    <xdr:col>4</xdr:col>
                    <xdr:colOff>0</xdr:colOff>
                    <xdr:row>59</xdr:row>
                    <xdr:rowOff>0</xdr:rowOff>
                  </from>
                  <to>
                    <xdr:col>4</xdr:col>
                    <xdr:colOff>295275</xdr:colOff>
                    <xdr:row>60</xdr:row>
                    <xdr:rowOff>47625</xdr:rowOff>
                  </to>
                </anchor>
              </controlPr>
            </control>
          </mc:Choice>
        </mc:AlternateContent>
        <mc:AlternateContent xmlns:mc="http://schemas.openxmlformats.org/markup-compatibility/2006">
          <mc:Choice Requires="x14">
            <control shapeId="13147065" r:id="rId407" name="Check Box 1977">
              <controlPr defaultSize="0" autoFill="0" autoLine="0" autoPict="0">
                <anchor moveWithCells="1">
                  <from>
                    <xdr:col>9</xdr:col>
                    <xdr:colOff>0</xdr:colOff>
                    <xdr:row>58</xdr:row>
                    <xdr:rowOff>0</xdr:rowOff>
                  </from>
                  <to>
                    <xdr:col>9</xdr:col>
                    <xdr:colOff>295275</xdr:colOff>
                    <xdr:row>59</xdr:row>
                    <xdr:rowOff>66675</xdr:rowOff>
                  </to>
                </anchor>
              </controlPr>
            </control>
          </mc:Choice>
        </mc:AlternateContent>
        <mc:AlternateContent xmlns:mc="http://schemas.openxmlformats.org/markup-compatibility/2006">
          <mc:Choice Requires="x14">
            <control shapeId="13147066" r:id="rId408" name="Check Box 1978">
              <controlPr defaultSize="0" autoFill="0" autoLine="0" autoPict="0">
                <anchor moveWithCells="1">
                  <from>
                    <xdr:col>4</xdr:col>
                    <xdr:colOff>0</xdr:colOff>
                    <xdr:row>58</xdr:row>
                    <xdr:rowOff>0</xdr:rowOff>
                  </from>
                  <to>
                    <xdr:col>4</xdr:col>
                    <xdr:colOff>295275</xdr:colOff>
                    <xdr:row>59</xdr:row>
                    <xdr:rowOff>66675</xdr:rowOff>
                  </to>
                </anchor>
              </controlPr>
            </control>
          </mc:Choice>
        </mc:AlternateContent>
        <mc:AlternateContent xmlns:mc="http://schemas.openxmlformats.org/markup-compatibility/2006">
          <mc:Choice Requires="x14">
            <control shapeId="13147069" r:id="rId409" name="Check Box 1981">
              <controlPr defaultSize="0" autoFill="0" autoLine="0" autoPict="0">
                <anchor moveWithCells="1">
                  <from>
                    <xdr:col>9</xdr:col>
                    <xdr:colOff>0</xdr:colOff>
                    <xdr:row>57</xdr:row>
                    <xdr:rowOff>0</xdr:rowOff>
                  </from>
                  <to>
                    <xdr:col>9</xdr:col>
                    <xdr:colOff>295275</xdr:colOff>
                    <xdr:row>58</xdr:row>
                    <xdr:rowOff>47625</xdr:rowOff>
                  </to>
                </anchor>
              </controlPr>
            </control>
          </mc:Choice>
        </mc:AlternateContent>
        <mc:AlternateContent xmlns:mc="http://schemas.openxmlformats.org/markup-compatibility/2006">
          <mc:Choice Requires="x14">
            <control shapeId="13147070" r:id="rId410" name="Check Box 1982">
              <controlPr defaultSize="0" autoFill="0" autoLine="0" autoPict="0">
                <anchor moveWithCells="1">
                  <from>
                    <xdr:col>4</xdr:col>
                    <xdr:colOff>0</xdr:colOff>
                    <xdr:row>57</xdr:row>
                    <xdr:rowOff>0</xdr:rowOff>
                  </from>
                  <to>
                    <xdr:col>4</xdr:col>
                    <xdr:colOff>295275</xdr:colOff>
                    <xdr:row>58</xdr:row>
                    <xdr:rowOff>47625</xdr:rowOff>
                  </to>
                </anchor>
              </controlPr>
            </control>
          </mc:Choice>
        </mc:AlternateContent>
        <mc:AlternateContent xmlns:mc="http://schemas.openxmlformats.org/markup-compatibility/2006">
          <mc:Choice Requires="x14">
            <control shapeId="13147071" r:id="rId411" name="Check Box 1983">
              <controlPr defaultSize="0" autoFill="0" autoLine="0" autoPict="0">
                <anchor moveWithCells="1">
                  <from>
                    <xdr:col>9</xdr:col>
                    <xdr:colOff>0</xdr:colOff>
                    <xdr:row>56</xdr:row>
                    <xdr:rowOff>0</xdr:rowOff>
                  </from>
                  <to>
                    <xdr:col>9</xdr:col>
                    <xdr:colOff>295275</xdr:colOff>
                    <xdr:row>57</xdr:row>
                    <xdr:rowOff>47625</xdr:rowOff>
                  </to>
                </anchor>
              </controlPr>
            </control>
          </mc:Choice>
        </mc:AlternateContent>
        <mc:AlternateContent xmlns:mc="http://schemas.openxmlformats.org/markup-compatibility/2006">
          <mc:Choice Requires="x14">
            <control shapeId="13147072" r:id="rId412" name="Check Box 1984">
              <controlPr defaultSize="0" autoFill="0" autoLine="0" autoPict="0">
                <anchor moveWithCells="1">
                  <from>
                    <xdr:col>4</xdr:col>
                    <xdr:colOff>0</xdr:colOff>
                    <xdr:row>56</xdr:row>
                    <xdr:rowOff>0</xdr:rowOff>
                  </from>
                  <to>
                    <xdr:col>4</xdr:col>
                    <xdr:colOff>295275</xdr:colOff>
                    <xdr:row>57</xdr:row>
                    <xdr:rowOff>47625</xdr:rowOff>
                  </to>
                </anchor>
              </controlPr>
            </control>
          </mc:Choice>
        </mc:AlternateContent>
        <mc:AlternateContent xmlns:mc="http://schemas.openxmlformats.org/markup-compatibility/2006">
          <mc:Choice Requires="x14">
            <control shapeId="13147075" r:id="rId413" name="Check Box 1987">
              <controlPr defaultSize="0" autoFill="0" autoLine="0" autoPict="0">
                <anchor moveWithCells="1">
                  <from>
                    <xdr:col>9</xdr:col>
                    <xdr:colOff>0</xdr:colOff>
                    <xdr:row>55</xdr:row>
                    <xdr:rowOff>0</xdr:rowOff>
                  </from>
                  <to>
                    <xdr:col>9</xdr:col>
                    <xdr:colOff>295275</xdr:colOff>
                    <xdr:row>56</xdr:row>
                    <xdr:rowOff>47625</xdr:rowOff>
                  </to>
                </anchor>
              </controlPr>
            </control>
          </mc:Choice>
        </mc:AlternateContent>
        <mc:AlternateContent xmlns:mc="http://schemas.openxmlformats.org/markup-compatibility/2006">
          <mc:Choice Requires="x14">
            <control shapeId="13147076" r:id="rId414" name="Check Box 1988">
              <controlPr defaultSize="0" autoFill="0" autoLine="0" autoPict="0">
                <anchor moveWithCells="1">
                  <from>
                    <xdr:col>4</xdr:col>
                    <xdr:colOff>0</xdr:colOff>
                    <xdr:row>55</xdr:row>
                    <xdr:rowOff>0</xdr:rowOff>
                  </from>
                  <to>
                    <xdr:col>4</xdr:col>
                    <xdr:colOff>295275</xdr:colOff>
                    <xdr:row>56</xdr:row>
                    <xdr:rowOff>47625</xdr:rowOff>
                  </to>
                </anchor>
              </controlPr>
            </control>
          </mc:Choice>
        </mc:AlternateContent>
        <mc:AlternateContent xmlns:mc="http://schemas.openxmlformats.org/markup-compatibility/2006">
          <mc:Choice Requires="x14">
            <control shapeId="13147079" r:id="rId415" name="Check Box 1991">
              <controlPr defaultSize="0" autoFill="0" autoLine="0" autoPict="0">
                <anchor moveWithCells="1">
                  <from>
                    <xdr:col>9</xdr:col>
                    <xdr:colOff>0</xdr:colOff>
                    <xdr:row>54</xdr:row>
                    <xdr:rowOff>0</xdr:rowOff>
                  </from>
                  <to>
                    <xdr:col>9</xdr:col>
                    <xdr:colOff>295275</xdr:colOff>
                    <xdr:row>55</xdr:row>
                    <xdr:rowOff>47625</xdr:rowOff>
                  </to>
                </anchor>
              </controlPr>
            </control>
          </mc:Choice>
        </mc:AlternateContent>
        <mc:AlternateContent xmlns:mc="http://schemas.openxmlformats.org/markup-compatibility/2006">
          <mc:Choice Requires="x14">
            <control shapeId="13147080" r:id="rId416" name="Check Box 1992">
              <controlPr defaultSize="0" autoFill="0" autoLine="0" autoPict="0">
                <anchor moveWithCells="1">
                  <from>
                    <xdr:col>4</xdr:col>
                    <xdr:colOff>0</xdr:colOff>
                    <xdr:row>54</xdr:row>
                    <xdr:rowOff>0</xdr:rowOff>
                  </from>
                  <to>
                    <xdr:col>4</xdr:col>
                    <xdr:colOff>295275</xdr:colOff>
                    <xdr:row>55</xdr:row>
                    <xdr:rowOff>47625</xdr:rowOff>
                  </to>
                </anchor>
              </controlPr>
            </control>
          </mc:Choice>
        </mc:AlternateContent>
        <mc:AlternateContent xmlns:mc="http://schemas.openxmlformats.org/markup-compatibility/2006">
          <mc:Choice Requires="x14">
            <control shapeId="13147087" r:id="rId417" name="Check Box 1999">
              <controlPr defaultSize="0" autoFill="0" autoLine="0" autoPict="0">
                <anchor moveWithCells="1">
                  <from>
                    <xdr:col>9</xdr:col>
                    <xdr:colOff>0</xdr:colOff>
                    <xdr:row>53</xdr:row>
                    <xdr:rowOff>0</xdr:rowOff>
                  </from>
                  <to>
                    <xdr:col>9</xdr:col>
                    <xdr:colOff>295275</xdr:colOff>
                    <xdr:row>54</xdr:row>
                    <xdr:rowOff>47625</xdr:rowOff>
                  </to>
                </anchor>
              </controlPr>
            </control>
          </mc:Choice>
        </mc:AlternateContent>
        <mc:AlternateContent xmlns:mc="http://schemas.openxmlformats.org/markup-compatibility/2006">
          <mc:Choice Requires="x14">
            <control shapeId="13147088" r:id="rId418" name="Check Box 2000">
              <controlPr defaultSize="0" autoFill="0" autoLine="0" autoPict="0">
                <anchor moveWithCells="1">
                  <from>
                    <xdr:col>4</xdr:col>
                    <xdr:colOff>0</xdr:colOff>
                    <xdr:row>53</xdr:row>
                    <xdr:rowOff>0</xdr:rowOff>
                  </from>
                  <to>
                    <xdr:col>4</xdr:col>
                    <xdr:colOff>295275</xdr:colOff>
                    <xdr:row>54</xdr:row>
                    <xdr:rowOff>47625</xdr:rowOff>
                  </to>
                </anchor>
              </controlPr>
            </control>
          </mc:Choice>
        </mc:AlternateContent>
        <mc:AlternateContent xmlns:mc="http://schemas.openxmlformats.org/markup-compatibility/2006">
          <mc:Choice Requires="x14">
            <control shapeId="13147089" r:id="rId419" name="Check Box 2001">
              <controlPr defaultSize="0" autoFill="0" autoLine="0" autoPict="0">
                <anchor moveWithCells="1">
                  <from>
                    <xdr:col>9</xdr:col>
                    <xdr:colOff>0</xdr:colOff>
                    <xdr:row>52</xdr:row>
                    <xdr:rowOff>0</xdr:rowOff>
                  </from>
                  <to>
                    <xdr:col>9</xdr:col>
                    <xdr:colOff>295275</xdr:colOff>
                    <xdr:row>53</xdr:row>
                    <xdr:rowOff>47625</xdr:rowOff>
                  </to>
                </anchor>
              </controlPr>
            </control>
          </mc:Choice>
        </mc:AlternateContent>
        <mc:AlternateContent xmlns:mc="http://schemas.openxmlformats.org/markup-compatibility/2006">
          <mc:Choice Requires="x14">
            <control shapeId="13147090" r:id="rId420" name="Check Box 2002">
              <controlPr defaultSize="0" autoFill="0" autoLine="0" autoPict="0">
                <anchor moveWithCells="1">
                  <from>
                    <xdr:col>4</xdr:col>
                    <xdr:colOff>0</xdr:colOff>
                    <xdr:row>52</xdr:row>
                    <xdr:rowOff>0</xdr:rowOff>
                  </from>
                  <to>
                    <xdr:col>4</xdr:col>
                    <xdr:colOff>295275</xdr:colOff>
                    <xdr:row>53</xdr:row>
                    <xdr:rowOff>47625</xdr:rowOff>
                  </to>
                </anchor>
              </controlPr>
            </control>
          </mc:Choice>
        </mc:AlternateContent>
        <mc:AlternateContent xmlns:mc="http://schemas.openxmlformats.org/markup-compatibility/2006">
          <mc:Choice Requires="x14">
            <control shapeId="13147091" r:id="rId421" name="Check Box 2003">
              <controlPr defaultSize="0" autoFill="0" autoLine="0" autoPict="0">
                <anchor moveWithCells="1">
                  <from>
                    <xdr:col>9</xdr:col>
                    <xdr:colOff>0</xdr:colOff>
                    <xdr:row>51</xdr:row>
                    <xdr:rowOff>0</xdr:rowOff>
                  </from>
                  <to>
                    <xdr:col>9</xdr:col>
                    <xdr:colOff>295275</xdr:colOff>
                    <xdr:row>52</xdr:row>
                    <xdr:rowOff>47625</xdr:rowOff>
                  </to>
                </anchor>
              </controlPr>
            </control>
          </mc:Choice>
        </mc:AlternateContent>
        <mc:AlternateContent xmlns:mc="http://schemas.openxmlformats.org/markup-compatibility/2006">
          <mc:Choice Requires="x14">
            <control shapeId="13147092" r:id="rId422" name="Check Box 2004">
              <controlPr defaultSize="0" autoFill="0" autoLine="0" autoPict="0">
                <anchor moveWithCells="1">
                  <from>
                    <xdr:col>4</xdr:col>
                    <xdr:colOff>0</xdr:colOff>
                    <xdr:row>51</xdr:row>
                    <xdr:rowOff>0</xdr:rowOff>
                  </from>
                  <to>
                    <xdr:col>4</xdr:col>
                    <xdr:colOff>295275</xdr:colOff>
                    <xdr:row>52</xdr:row>
                    <xdr:rowOff>47625</xdr:rowOff>
                  </to>
                </anchor>
              </controlPr>
            </control>
          </mc:Choice>
        </mc:AlternateContent>
        <mc:AlternateContent xmlns:mc="http://schemas.openxmlformats.org/markup-compatibility/2006">
          <mc:Choice Requires="x14">
            <control shapeId="13147095" r:id="rId423" name="Check Box 2007">
              <controlPr defaultSize="0" autoFill="0" autoLine="0" autoPict="0">
                <anchor moveWithCells="1">
                  <from>
                    <xdr:col>9</xdr:col>
                    <xdr:colOff>0</xdr:colOff>
                    <xdr:row>49</xdr:row>
                    <xdr:rowOff>0</xdr:rowOff>
                  </from>
                  <to>
                    <xdr:col>9</xdr:col>
                    <xdr:colOff>295275</xdr:colOff>
                    <xdr:row>50</xdr:row>
                    <xdr:rowOff>47625</xdr:rowOff>
                  </to>
                </anchor>
              </controlPr>
            </control>
          </mc:Choice>
        </mc:AlternateContent>
        <mc:AlternateContent xmlns:mc="http://schemas.openxmlformats.org/markup-compatibility/2006">
          <mc:Choice Requires="x14">
            <control shapeId="13147096" r:id="rId424" name="Check Box 2008">
              <controlPr defaultSize="0" autoFill="0" autoLine="0" autoPict="0">
                <anchor moveWithCells="1">
                  <from>
                    <xdr:col>4</xdr:col>
                    <xdr:colOff>0</xdr:colOff>
                    <xdr:row>49</xdr:row>
                    <xdr:rowOff>0</xdr:rowOff>
                  </from>
                  <to>
                    <xdr:col>4</xdr:col>
                    <xdr:colOff>295275</xdr:colOff>
                    <xdr:row>50</xdr:row>
                    <xdr:rowOff>47625</xdr:rowOff>
                  </to>
                </anchor>
              </controlPr>
            </control>
          </mc:Choice>
        </mc:AlternateContent>
        <mc:AlternateContent xmlns:mc="http://schemas.openxmlformats.org/markup-compatibility/2006">
          <mc:Choice Requires="x14">
            <control shapeId="13147097" r:id="rId425" name="Check Box 2009">
              <controlPr defaultSize="0" autoFill="0" autoLine="0" autoPict="0">
                <anchor moveWithCells="1">
                  <from>
                    <xdr:col>9</xdr:col>
                    <xdr:colOff>0</xdr:colOff>
                    <xdr:row>48</xdr:row>
                    <xdr:rowOff>0</xdr:rowOff>
                  </from>
                  <to>
                    <xdr:col>9</xdr:col>
                    <xdr:colOff>295275</xdr:colOff>
                    <xdr:row>49</xdr:row>
                    <xdr:rowOff>47625</xdr:rowOff>
                  </to>
                </anchor>
              </controlPr>
            </control>
          </mc:Choice>
        </mc:AlternateContent>
        <mc:AlternateContent xmlns:mc="http://schemas.openxmlformats.org/markup-compatibility/2006">
          <mc:Choice Requires="x14">
            <control shapeId="13147098" r:id="rId426" name="Check Box 2010">
              <controlPr defaultSize="0" autoFill="0" autoLine="0" autoPict="0">
                <anchor moveWithCells="1">
                  <from>
                    <xdr:col>4</xdr:col>
                    <xdr:colOff>0</xdr:colOff>
                    <xdr:row>48</xdr:row>
                    <xdr:rowOff>0</xdr:rowOff>
                  </from>
                  <to>
                    <xdr:col>4</xdr:col>
                    <xdr:colOff>295275</xdr:colOff>
                    <xdr:row>49</xdr:row>
                    <xdr:rowOff>47625</xdr:rowOff>
                  </to>
                </anchor>
              </controlPr>
            </control>
          </mc:Choice>
        </mc:AlternateContent>
        <mc:AlternateContent xmlns:mc="http://schemas.openxmlformats.org/markup-compatibility/2006">
          <mc:Choice Requires="x14">
            <control shapeId="13147099" r:id="rId427" name="Check Box 2011">
              <controlPr defaultSize="0" autoFill="0" autoLine="0" autoPict="0">
                <anchor moveWithCells="1">
                  <from>
                    <xdr:col>9</xdr:col>
                    <xdr:colOff>0</xdr:colOff>
                    <xdr:row>47</xdr:row>
                    <xdr:rowOff>0</xdr:rowOff>
                  </from>
                  <to>
                    <xdr:col>9</xdr:col>
                    <xdr:colOff>295275</xdr:colOff>
                    <xdr:row>48</xdr:row>
                    <xdr:rowOff>47625</xdr:rowOff>
                  </to>
                </anchor>
              </controlPr>
            </control>
          </mc:Choice>
        </mc:AlternateContent>
        <mc:AlternateContent xmlns:mc="http://schemas.openxmlformats.org/markup-compatibility/2006">
          <mc:Choice Requires="x14">
            <control shapeId="13147100" r:id="rId428" name="Check Box 2012">
              <controlPr defaultSize="0" autoFill="0" autoLine="0" autoPict="0">
                <anchor moveWithCells="1">
                  <from>
                    <xdr:col>4</xdr:col>
                    <xdr:colOff>0</xdr:colOff>
                    <xdr:row>47</xdr:row>
                    <xdr:rowOff>0</xdr:rowOff>
                  </from>
                  <to>
                    <xdr:col>4</xdr:col>
                    <xdr:colOff>295275</xdr:colOff>
                    <xdr:row>48</xdr:row>
                    <xdr:rowOff>47625</xdr:rowOff>
                  </to>
                </anchor>
              </controlPr>
            </control>
          </mc:Choice>
        </mc:AlternateContent>
        <mc:AlternateContent xmlns:mc="http://schemas.openxmlformats.org/markup-compatibility/2006">
          <mc:Choice Requires="x14">
            <control shapeId="13147101" r:id="rId429" name="Check Box 2013">
              <controlPr defaultSize="0" autoFill="0" autoLine="0" autoPict="0">
                <anchor moveWithCells="1">
                  <from>
                    <xdr:col>9</xdr:col>
                    <xdr:colOff>0</xdr:colOff>
                    <xdr:row>46</xdr:row>
                    <xdr:rowOff>0</xdr:rowOff>
                  </from>
                  <to>
                    <xdr:col>9</xdr:col>
                    <xdr:colOff>295275</xdr:colOff>
                    <xdr:row>47</xdr:row>
                    <xdr:rowOff>47625</xdr:rowOff>
                  </to>
                </anchor>
              </controlPr>
            </control>
          </mc:Choice>
        </mc:AlternateContent>
        <mc:AlternateContent xmlns:mc="http://schemas.openxmlformats.org/markup-compatibility/2006">
          <mc:Choice Requires="x14">
            <control shapeId="13147102" r:id="rId430" name="Check Box 2014">
              <controlPr defaultSize="0" autoFill="0" autoLine="0" autoPict="0">
                <anchor moveWithCells="1">
                  <from>
                    <xdr:col>4</xdr:col>
                    <xdr:colOff>0</xdr:colOff>
                    <xdr:row>46</xdr:row>
                    <xdr:rowOff>0</xdr:rowOff>
                  </from>
                  <to>
                    <xdr:col>4</xdr:col>
                    <xdr:colOff>295275</xdr:colOff>
                    <xdr:row>47</xdr:row>
                    <xdr:rowOff>47625</xdr:rowOff>
                  </to>
                </anchor>
              </controlPr>
            </control>
          </mc:Choice>
        </mc:AlternateContent>
        <mc:AlternateContent xmlns:mc="http://schemas.openxmlformats.org/markup-compatibility/2006">
          <mc:Choice Requires="x14">
            <control shapeId="13147103" r:id="rId431" name="Check Box 2015">
              <controlPr defaultSize="0" autoFill="0" autoLine="0" autoPict="0">
                <anchor moveWithCells="1">
                  <from>
                    <xdr:col>9</xdr:col>
                    <xdr:colOff>0</xdr:colOff>
                    <xdr:row>45</xdr:row>
                    <xdr:rowOff>0</xdr:rowOff>
                  </from>
                  <to>
                    <xdr:col>9</xdr:col>
                    <xdr:colOff>295275</xdr:colOff>
                    <xdr:row>46</xdr:row>
                    <xdr:rowOff>47625</xdr:rowOff>
                  </to>
                </anchor>
              </controlPr>
            </control>
          </mc:Choice>
        </mc:AlternateContent>
        <mc:AlternateContent xmlns:mc="http://schemas.openxmlformats.org/markup-compatibility/2006">
          <mc:Choice Requires="x14">
            <control shapeId="13147104" r:id="rId432" name="Check Box 2016">
              <controlPr defaultSize="0" autoFill="0" autoLine="0" autoPict="0">
                <anchor moveWithCells="1">
                  <from>
                    <xdr:col>4</xdr:col>
                    <xdr:colOff>0</xdr:colOff>
                    <xdr:row>45</xdr:row>
                    <xdr:rowOff>0</xdr:rowOff>
                  </from>
                  <to>
                    <xdr:col>4</xdr:col>
                    <xdr:colOff>295275</xdr:colOff>
                    <xdr:row>46</xdr:row>
                    <xdr:rowOff>47625</xdr:rowOff>
                  </to>
                </anchor>
              </controlPr>
            </control>
          </mc:Choice>
        </mc:AlternateContent>
        <mc:AlternateContent xmlns:mc="http://schemas.openxmlformats.org/markup-compatibility/2006">
          <mc:Choice Requires="x14">
            <control shapeId="13147105" r:id="rId433" name="Check Box 2017">
              <controlPr defaultSize="0" autoFill="0" autoLine="0" autoPict="0">
                <anchor moveWithCells="1">
                  <from>
                    <xdr:col>9</xdr:col>
                    <xdr:colOff>0</xdr:colOff>
                    <xdr:row>44</xdr:row>
                    <xdr:rowOff>0</xdr:rowOff>
                  </from>
                  <to>
                    <xdr:col>9</xdr:col>
                    <xdr:colOff>295275</xdr:colOff>
                    <xdr:row>45</xdr:row>
                    <xdr:rowOff>47625</xdr:rowOff>
                  </to>
                </anchor>
              </controlPr>
            </control>
          </mc:Choice>
        </mc:AlternateContent>
        <mc:AlternateContent xmlns:mc="http://schemas.openxmlformats.org/markup-compatibility/2006">
          <mc:Choice Requires="x14">
            <control shapeId="13147106" r:id="rId434" name="Check Box 2018">
              <controlPr defaultSize="0" autoFill="0" autoLine="0" autoPict="0">
                <anchor moveWithCells="1">
                  <from>
                    <xdr:col>4</xdr:col>
                    <xdr:colOff>0</xdr:colOff>
                    <xdr:row>44</xdr:row>
                    <xdr:rowOff>0</xdr:rowOff>
                  </from>
                  <to>
                    <xdr:col>4</xdr:col>
                    <xdr:colOff>295275</xdr:colOff>
                    <xdr:row>45</xdr:row>
                    <xdr:rowOff>47625</xdr:rowOff>
                  </to>
                </anchor>
              </controlPr>
            </control>
          </mc:Choice>
        </mc:AlternateContent>
        <mc:AlternateContent xmlns:mc="http://schemas.openxmlformats.org/markup-compatibility/2006">
          <mc:Choice Requires="x14">
            <control shapeId="13147107" r:id="rId435" name="Check Box 2019">
              <controlPr defaultSize="0" autoFill="0" autoLine="0" autoPict="0">
                <anchor moveWithCells="1">
                  <from>
                    <xdr:col>9</xdr:col>
                    <xdr:colOff>0</xdr:colOff>
                    <xdr:row>43</xdr:row>
                    <xdr:rowOff>0</xdr:rowOff>
                  </from>
                  <to>
                    <xdr:col>9</xdr:col>
                    <xdr:colOff>295275</xdr:colOff>
                    <xdr:row>44</xdr:row>
                    <xdr:rowOff>47625</xdr:rowOff>
                  </to>
                </anchor>
              </controlPr>
            </control>
          </mc:Choice>
        </mc:AlternateContent>
        <mc:AlternateContent xmlns:mc="http://schemas.openxmlformats.org/markup-compatibility/2006">
          <mc:Choice Requires="x14">
            <control shapeId="13147108" r:id="rId436" name="Check Box 2020">
              <controlPr defaultSize="0" autoFill="0" autoLine="0" autoPict="0">
                <anchor moveWithCells="1">
                  <from>
                    <xdr:col>4</xdr:col>
                    <xdr:colOff>0</xdr:colOff>
                    <xdr:row>43</xdr:row>
                    <xdr:rowOff>0</xdr:rowOff>
                  </from>
                  <to>
                    <xdr:col>4</xdr:col>
                    <xdr:colOff>295275</xdr:colOff>
                    <xdr:row>44</xdr:row>
                    <xdr:rowOff>47625</xdr:rowOff>
                  </to>
                </anchor>
              </controlPr>
            </control>
          </mc:Choice>
        </mc:AlternateContent>
        <mc:AlternateContent xmlns:mc="http://schemas.openxmlformats.org/markup-compatibility/2006">
          <mc:Choice Requires="x14">
            <control shapeId="13147109" r:id="rId437" name="Check Box 2021">
              <controlPr defaultSize="0" autoFill="0" autoLine="0" autoPict="0">
                <anchor moveWithCells="1">
                  <from>
                    <xdr:col>9</xdr:col>
                    <xdr:colOff>0</xdr:colOff>
                    <xdr:row>42</xdr:row>
                    <xdr:rowOff>0</xdr:rowOff>
                  </from>
                  <to>
                    <xdr:col>9</xdr:col>
                    <xdr:colOff>295275</xdr:colOff>
                    <xdr:row>43</xdr:row>
                    <xdr:rowOff>66675</xdr:rowOff>
                  </to>
                </anchor>
              </controlPr>
            </control>
          </mc:Choice>
        </mc:AlternateContent>
        <mc:AlternateContent xmlns:mc="http://schemas.openxmlformats.org/markup-compatibility/2006">
          <mc:Choice Requires="x14">
            <control shapeId="13147110" r:id="rId438" name="Check Box 2022">
              <controlPr defaultSize="0" autoFill="0" autoLine="0" autoPict="0">
                <anchor moveWithCells="1">
                  <from>
                    <xdr:col>4</xdr:col>
                    <xdr:colOff>0</xdr:colOff>
                    <xdr:row>42</xdr:row>
                    <xdr:rowOff>0</xdr:rowOff>
                  </from>
                  <to>
                    <xdr:col>4</xdr:col>
                    <xdr:colOff>295275</xdr:colOff>
                    <xdr:row>43</xdr:row>
                    <xdr:rowOff>66675</xdr:rowOff>
                  </to>
                </anchor>
              </controlPr>
            </control>
          </mc:Choice>
        </mc:AlternateContent>
        <mc:AlternateContent xmlns:mc="http://schemas.openxmlformats.org/markup-compatibility/2006">
          <mc:Choice Requires="x14">
            <control shapeId="13147111" r:id="rId439" name="Check Box 2023">
              <controlPr defaultSize="0" autoFill="0" autoLine="0" autoPict="0">
                <anchor moveWithCells="1">
                  <from>
                    <xdr:col>9</xdr:col>
                    <xdr:colOff>0</xdr:colOff>
                    <xdr:row>50</xdr:row>
                    <xdr:rowOff>0</xdr:rowOff>
                  </from>
                  <to>
                    <xdr:col>9</xdr:col>
                    <xdr:colOff>295275</xdr:colOff>
                    <xdr:row>51</xdr:row>
                    <xdr:rowOff>28575</xdr:rowOff>
                  </to>
                </anchor>
              </controlPr>
            </control>
          </mc:Choice>
        </mc:AlternateContent>
        <mc:AlternateContent xmlns:mc="http://schemas.openxmlformats.org/markup-compatibility/2006">
          <mc:Choice Requires="x14">
            <control shapeId="13147112" r:id="rId440" name="Check Box 2024">
              <controlPr defaultSize="0" autoFill="0" autoLine="0" autoPict="0">
                <anchor moveWithCells="1">
                  <from>
                    <xdr:col>4</xdr:col>
                    <xdr:colOff>0</xdr:colOff>
                    <xdr:row>50</xdr:row>
                    <xdr:rowOff>0</xdr:rowOff>
                  </from>
                  <to>
                    <xdr:col>4</xdr:col>
                    <xdr:colOff>295275</xdr:colOff>
                    <xdr:row>51</xdr:row>
                    <xdr:rowOff>28575</xdr:rowOff>
                  </to>
                </anchor>
              </controlPr>
            </control>
          </mc:Choice>
        </mc:AlternateContent>
        <mc:AlternateContent xmlns:mc="http://schemas.openxmlformats.org/markup-compatibility/2006">
          <mc:Choice Requires="x14">
            <control shapeId="13147113" r:id="rId441" name="Check Box 2025">
              <controlPr defaultSize="0" autoFill="0" autoLine="0" autoPict="0">
                <anchor moveWithCells="1">
                  <from>
                    <xdr:col>9</xdr:col>
                    <xdr:colOff>0</xdr:colOff>
                    <xdr:row>41</xdr:row>
                    <xdr:rowOff>0</xdr:rowOff>
                  </from>
                  <to>
                    <xdr:col>9</xdr:col>
                    <xdr:colOff>295275</xdr:colOff>
                    <xdr:row>42</xdr:row>
                    <xdr:rowOff>47625</xdr:rowOff>
                  </to>
                </anchor>
              </controlPr>
            </control>
          </mc:Choice>
        </mc:AlternateContent>
        <mc:AlternateContent xmlns:mc="http://schemas.openxmlformats.org/markup-compatibility/2006">
          <mc:Choice Requires="x14">
            <control shapeId="13147114" r:id="rId442" name="Check Box 2026">
              <controlPr defaultSize="0" autoFill="0" autoLine="0" autoPict="0">
                <anchor moveWithCells="1">
                  <from>
                    <xdr:col>4</xdr:col>
                    <xdr:colOff>0</xdr:colOff>
                    <xdr:row>41</xdr:row>
                    <xdr:rowOff>0</xdr:rowOff>
                  </from>
                  <to>
                    <xdr:col>4</xdr:col>
                    <xdr:colOff>295275</xdr:colOff>
                    <xdr:row>42</xdr:row>
                    <xdr:rowOff>47625</xdr:rowOff>
                  </to>
                </anchor>
              </controlPr>
            </control>
          </mc:Choice>
        </mc:AlternateContent>
        <mc:AlternateContent xmlns:mc="http://schemas.openxmlformats.org/markup-compatibility/2006">
          <mc:Choice Requires="x14">
            <control shapeId="13147115" r:id="rId443" name="Check Box 2027">
              <controlPr defaultSize="0" autoFill="0" autoLine="0" autoPict="0">
                <anchor moveWithCells="1">
                  <from>
                    <xdr:col>9</xdr:col>
                    <xdr:colOff>0</xdr:colOff>
                    <xdr:row>40</xdr:row>
                    <xdr:rowOff>0</xdr:rowOff>
                  </from>
                  <to>
                    <xdr:col>9</xdr:col>
                    <xdr:colOff>295275</xdr:colOff>
                    <xdr:row>41</xdr:row>
                    <xdr:rowOff>47625</xdr:rowOff>
                  </to>
                </anchor>
              </controlPr>
            </control>
          </mc:Choice>
        </mc:AlternateContent>
        <mc:AlternateContent xmlns:mc="http://schemas.openxmlformats.org/markup-compatibility/2006">
          <mc:Choice Requires="x14">
            <control shapeId="13147116" r:id="rId444" name="Check Box 2028">
              <controlPr defaultSize="0" autoFill="0" autoLine="0" autoPict="0">
                <anchor moveWithCells="1">
                  <from>
                    <xdr:col>4</xdr:col>
                    <xdr:colOff>0</xdr:colOff>
                    <xdr:row>40</xdr:row>
                    <xdr:rowOff>0</xdr:rowOff>
                  </from>
                  <to>
                    <xdr:col>4</xdr:col>
                    <xdr:colOff>295275</xdr:colOff>
                    <xdr:row>41</xdr:row>
                    <xdr:rowOff>47625</xdr:rowOff>
                  </to>
                </anchor>
              </controlPr>
            </control>
          </mc:Choice>
        </mc:AlternateContent>
        <mc:AlternateContent xmlns:mc="http://schemas.openxmlformats.org/markup-compatibility/2006">
          <mc:Choice Requires="x14">
            <control shapeId="13147117" r:id="rId445" name="Check Box 2029">
              <controlPr defaultSize="0" autoFill="0" autoLine="0" autoPict="0">
                <anchor moveWithCells="1">
                  <from>
                    <xdr:col>9</xdr:col>
                    <xdr:colOff>0</xdr:colOff>
                    <xdr:row>39</xdr:row>
                    <xdr:rowOff>0</xdr:rowOff>
                  </from>
                  <to>
                    <xdr:col>9</xdr:col>
                    <xdr:colOff>295275</xdr:colOff>
                    <xdr:row>40</xdr:row>
                    <xdr:rowOff>47625</xdr:rowOff>
                  </to>
                </anchor>
              </controlPr>
            </control>
          </mc:Choice>
        </mc:AlternateContent>
        <mc:AlternateContent xmlns:mc="http://schemas.openxmlformats.org/markup-compatibility/2006">
          <mc:Choice Requires="x14">
            <control shapeId="13147118" r:id="rId446" name="Check Box 2030">
              <controlPr defaultSize="0" autoFill="0" autoLine="0" autoPict="0">
                <anchor moveWithCells="1">
                  <from>
                    <xdr:col>4</xdr:col>
                    <xdr:colOff>0</xdr:colOff>
                    <xdr:row>39</xdr:row>
                    <xdr:rowOff>0</xdr:rowOff>
                  </from>
                  <to>
                    <xdr:col>4</xdr:col>
                    <xdr:colOff>295275</xdr:colOff>
                    <xdr:row>40</xdr:row>
                    <xdr:rowOff>47625</xdr:rowOff>
                  </to>
                </anchor>
              </controlPr>
            </control>
          </mc:Choice>
        </mc:AlternateContent>
        <mc:AlternateContent xmlns:mc="http://schemas.openxmlformats.org/markup-compatibility/2006">
          <mc:Choice Requires="x14">
            <control shapeId="13147119" r:id="rId447" name="Check Box 2031">
              <controlPr defaultSize="0" autoFill="0" autoLine="0" autoPict="0">
                <anchor moveWithCells="1">
                  <from>
                    <xdr:col>9</xdr:col>
                    <xdr:colOff>0</xdr:colOff>
                    <xdr:row>38</xdr:row>
                    <xdr:rowOff>0</xdr:rowOff>
                  </from>
                  <to>
                    <xdr:col>9</xdr:col>
                    <xdr:colOff>295275</xdr:colOff>
                    <xdr:row>39</xdr:row>
                    <xdr:rowOff>47625</xdr:rowOff>
                  </to>
                </anchor>
              </controlPr>
            </control>
          </mc:Choice>
        </mc:AlternateContent>
        <mc:AlternateContent xmlns:mc="http://schemas.openxmlformats.org/markup-compatibility/2006">
          <mc:Choice Requires="x14">
            <control shapeId="13147120" r:id="rId448" name="Check Box 2032">
              <controlPr defaultSize="0" autoFill="0" autoLine="0" autoPict="0">
                <anchor moveWithCells="1">
                  <from>
                    <xdr:col>4</xdr:col>
                    <xdr:colOff>0</xdr:colOff>
                    <xdr:row>38</xdr:row>
                    <xdr:rowOff>0</xdr:rowOff>
                  </from>
                  <to>
                    <xdr:col>4</xdr:col>
                    <xdr:colOff>295275</xdr:colOff>
                    <xdr:row>39</xdr:row>
                    <xdr:rowOff>47625</xdr:rowOff>
                  </to>
                </anchor>
              </controlPr>
            </control>
          </mc:Choice>
        </mc:AlternateContent>
        <mc:AlternateContent xmlns:mc="http://schemas.openxmlformats.org/markup-compatibility/2006">
          <mc:Choice Requires="x14">
            <control shapeId="13147121" r:id="rId449" name="Check Box 2033">
              <controlPr defaultSize="0" autoFill="0" autoLine="0" autoPict="0">
                <anchor moveWithCells="1">
                  <from>
                    <xdr:col>9</xdr:col>
                    <xdr:colOff>0</xdr:colOff>
                    <xdr:row>37</xdr:row>
                    <xdr:rowOff>0</xdr:rowOff>
                  </from>
                  <to>
                    <xdr:col>9</xdr:col>
                    <xdr:colOff>295275</xdr:colOff>
                    <xdr:row>38</xdr:row>
                    <xdr:rowOff>47625</xdr:rowOff>
                  </to>
                </anchor>
              </controlPr>
            </control>
          </mc:Choice>
        </mc:AlternateContent>
        <mc:AlternateContent xmlns:mc="http://schemas.openxmlformats.org/markup-compatibility/2006">
          <mc:Choice Requires="x14">
            <control shapeId="13147122" r:id="rId450" name="Check Box 2034">
              <controlPr defaultSize="0" autoFill="0" autoLine="0" autoPict="0">
                <anchor moveWithCells="1">
                  <from>
                    <xdr:col>4</xdr:col>
                    <xdr:colOff>0</xdr:colOff>
                    <xdr:row>37</xdr:row>
                    <xdr:rowOff>0</xdr:rowOff>
                  </from>
                  <to>
                    <xdr:col>4</xdr:col>
                    <xdr:colOff>295275</xdr:colOff>
                    <xdr:row>38</xdr:row>
                    <xdr:rowOff>47625</xdr:rowOff>
                  </to>
                </anchor>
              </controlPr>
            </control>
          </mc:Choice>
        </mc:AlternateContent>
        <mc:AlternateContent xmlns:mc="http://schemas.openxmlformats.org/markup-compatibility/2006">
          <mc:Choice Requires="x14">
            <control shapeId="13147123" r:id="rId451" name="Check Box 2035">
              <controlPr defaultSize="0" autoFill="0" autoLine="0" autoPict="0">
                <anchor moveWithCells="1">
                  <from>
                    <xdr:col>9</xdr:col>
                    <xdr:colOff>0</xdr:colOff>
                    <xdr:row>36</xdr:row>
                    <xdr:rowOff>0</xdr:rowOff>
                  </from>
                  <to>
                    <xdr:col>9</xdr:col>
                    <xdr:colOff>295275</xdr:colOff>
                    <xdr:row>37</xdr:row>
                    <xdr:rowOff>47625</xdr:rowOff>
                  </to>
                </anchor>
              </controlPr>
            </control>
          </mc:Choice>
        </mc:AlternateContent>
        <mc:AlternateContent xmlns:mc="http://schemas.openxmlformats.org/markup-compatibility/2006">
          <mc:Choice Requires="x14">
            <control shapeId="13147124" r:id="rId452" name="Check Box 2036">
              <controlPr defaultSize="0" autoFill="0" autoLine="0" autoPict="0">
                <anchor moveWithCells="1">
                  <from>
                    <xdr:col>4</xdr:col>
                    <xdr:colOff>0</xdr:colOff>
                    <xdr:row>36</xdr:row>
                    <xdr:rowOff>0</xdr:rowOff>
                  </from>
                  <to>
                    <xdr:col>4</xdr:col>
                    <xdr:colOff>295275</xdr:colOff>
                    <xdr:row>37</xdr:row>
                    <xdr:rowOff>47625</xdr:rowOff>
                  </to>
                </anchor>
              </controlPr>
            </control>
          </mc:Choice>
        </mc:AlternateContent>
        <mc:AlternateContent xmlns:mc="http://schemas.openxmlformats.org/markup-compatibility/2006">
          <mc:Choice Requires="x14">
            <control shapeId="13147125" r:id="rId453" name="Check Box 2037">
              <controlPr defaultSize="0" autoFill="0" autoLine="0" autoPict="0">
                <anchor moveWithCells="1">
                  <from>
                    <xdr:col>9</xdr:col>
                    <xdr:colOff>0</xdr:colOff>
                    <xdr:row>35</xdr:row>
                    <xdr:rowOff>0</xdr:rowOff>
                  </from>
                  <to>
                    <xdr:col>9</xdr:col>
                    <xdr:colOff>295275</xdr:colOff>
                    <xdr:row>36</xdr:row>
                    <xdr:rowOff>47625</xdr:rowOff>
                  </to>
                </anchor>
              </controlPr>
            </control>
          </mc:Choice>
        </mc:AlternateContent>
        <mc:AlternateContent xmlns:mc="http://schemas.openxmlformats.org/markup-compatibility/2006">
          <mc:Choice Requires="x14">
            <control shapeId="13147126" r:id="rId454" name="Check Box 2038">
              <controlPr defaultSize="0" autoFill="0" autoLine="0" autoPict="0">
                <anchor moveWithCells="1">
                  <from>
                    <xdr:col>4</xdr:col>
                    <xdr:colOff>0</xdr:colOff>
                    <xdr:row>35</xdr:row>
                    <xdr:rowOff>0</xdr:rowOff>
                  </from>
                  <to>
                    <xdr:col>4</xdr:col>
                    <xdr:colOff>295275</xdr:colOff>
                    <xdr:row>36</xdr:row>
                    <xdr:rowOff>47625</xdr:rowOff>
                  </to>
                </anchor>
              </controlPr>
            </control>
          </mc:Choice>
        </mc:AlternateContent>
        <mc:AlternateContent xmlns:mc="http://schemas.openxmlformats.org/markup-compatibility/2006">
          <mc:Choice Requires="x14">
            <control shapeId="13147127" r:id="rId455" name="Check Box 2039">
              <controlPr defaultSize="0" autoFill="0" autoLine="0" autoPict="0">
                <anchor moveWithCells="1">
                  <from>
                    <xdr:col>9</xdr:col>
                    <xdr:colOff>0</xdr:colOff>
                    <xdr:row>34</xdr:row>
                    <xdr:rowOff>0</xdr:rowOff>
                  </from>
                  <to>
                    <xdr:col>9</xdr:col>
                    <xdr:colOff>295275</xdr:colOff>
                    <xdr:row>35</xdr:row>
                    <xdr:rowOff>47625</xdr:rowOff>
                  </to>
                </anchor>
              </controlPr>
            </control>
          </mc:Choice>
        </mc:AlternateContent>
        <mc:AlternateContent xmlns:mc="http://schemas.openxmlformats.org/markup-compatibility/2006">
          <mc:Choice Requires="x14">
            <control shapeId="13147128" r:id="rId456" name="Check Box 2040">
              <controlPr defaultSize="0" autoFill="0" autoLine="0" autoPict="0">
                <anchor moveWithCells="1">
                  <from>
                    <xdr:col>4</xdr:col>
                    <xdr:colOff>0</xdr:colOff>
                    <xdr:row>34</xdr:row>
                    <xdr:rowOff>0</xdr:rowOff>
                  </from>
                  <to>
                    <xdr:col>4</xdr:col>
                    <xdr:colOff>295275</xdr:colOff>
                    <xdr:row>35</xdr:row>
                    <xdr:rowOff>47625</xdr:rowOff>
                  </to>
                </anchor>
              </controlPr>
            </control>
          </mc:Choice>
        </mc:AlternateContent>
        <mc:AlternateContent xmlns:mc="http://schemas.openxmlformats.org/markup-compatibility/2006">
          <mc:Choice Requires="x14">
            <control shapeId="13147129" r:id="rId457" name="Check Box 2041">
              <controlPr defaultSize="0" autoFill="0" autoLine="0" autoPict="0">
                <anchor moveWithCells="1">
                  <from>
                    <xdr:col>9</xdr:col>
                    <xdr:colOff>0</xdr:colOff>
                    <xdr:row>33</xdr:row>
                    <xdr:rowOff>0</xdr:rowOff>
                  </from>
                  <to>
                    <xdr:col>9</xdr:col>
                    <xdr:colOff>295275</xdr:colOff>
                    <xdr:row>34</xdr:row>
                    <xdr:rowOff>47625</xdr:rowOff>
                  </to>
                </anchor>
              </controlPr>
            </control>
          </mc:Choice>
        </mc:AlternateContent>
        <mc:AlternateContent xmlns:mc="http://schemas.openxmlformats.org/markup-compatibility/2006">
          <mc:Choice Requires="x14">
            <control shapeId="13147130" r:id="rId458" name="Check Box 2042">
              <controlPr defaultSize="0" autoFill="0" autoLine="0" autoPict="0">
                <anchor moveWithCells="1">
                  <from>
                    <xdr:col>4</xdr:col>
                    <xdr:colOff>0</xdr:colOff>
                    <xdr:row>33</xdr:row>
                    <xdr:rowOff>0</xdr:rowOff>
                  </from>
                  <to>
                    <xdr:col>4</xdr:col>
                    <xdr:colOff>295275</xdr:colOff>
                    <xdr:row>34</xdr:row>
                    <xdr:rowOff>47625</xdr:rowOff>
                  </to>
                </anchor>
              </controlPr>
            </control>
          </mc:Choice>
        </mc:AlternateContent>
        <mc:AlternateContent xmlns:mc="http://schemas.openxmlformats.org/markup-compatibility/2006">
          <mc:Choice Requires="x14">
            <control shapeId="13147131" r:id="rId459" name="Check Box 2043">
              <controlPr defaultSize="0" autoFill="0" autoLine="0" autoPict="0">
                <anchor moveWithCells="1">
                  <from>
                    <xdr:col>9</xdr:col>
                    <xdr:colOff>0</xdr:colOff>
                    <xdr:row>32</xdr:row>
                    <xdr:rowOff>0</xdr:rowOff>
                  </from>
                  <to>
                    <xdr:col>9</xdr:col>
                    <xdr:colOff>295275</xdr:colOff>
                    <xdr:row>33</xdr:row>
                    <xdr:rowOff>47625</xdr:rowOff>
                  </to>
                </anchor>
              </controlPr>
            </control>
          </mc:Choice>
        </mc:AlternateContent>
        <mc:AlternateContent xmlns:mc="http://schemas.openxmlformats.org/markup-compatibility/2006">
          <mc:Choice Requires="x14">
            <control shapeId="13147132" r:id="rId460" name="Check Box 2044">
              <controlPr defaultSize="0" autoFill="0" autoLine="0" autoPict="0">
                <anchor moveWithCells="1">
                  <from>
                    <xdr:col>4</xdr:col>
                    <xdr:colOff>0</xdr:colOff>
                    <xdr:row>32</xdr:row>
                    <xdr:rowOff>0</xdr:rowOff>
                  </from>
                  <to>
                    <xdr:col>4</xdr:col>
                    <xdr:colOff>295275</xdr:colOff>
                    <xdr:row>33</xdr:row>
                    <xdr:rowOff>47625</xdr:rowOff>
                  </to>
                </anchor>
              </controlPr>
            </control>
          </mc:Choice>
        </mc:AlternateContent>
        <mc:AlternateContent xmlns:mc="http://schemas.openxmlformats.org/markup-compatibility/2006">
          <mc:Choice Requires="x14">
            <control shapeId="13147133" r:id="rId461" name="Check Box 2045">
              <controlPr defaultSize="0" autoFill="0" autoLine="0" autoPict="0">
                <anchor moveWithCells="1">
                  <from>
                    <xdr:col>9</xdr:col>
                    <xdr:colOff>0</xdr:colOff>
                    <xdr:row>31</xdr:row>
                    <xdr:rowOff>0</xdr:rowOff>
                  </from>
                  <to>
                    <xdr:col>9</xdr:col>
                    <xdr:colOff>295275</xdr:colOff>
                    <xdr:row>32</xdr:row>
                    <xdr:rowOff>47625</xdr:rowOff>
                  </to>
                </anchor>
              </controlPr>
            </control>
          </mc:Choice>
        </mc:AlternateContent>
        <mc:AlternateContent xmlns:mc="http://schemas.openxmlformats.org/markup-compatibility/2006">
          <mc:Choice Requires="x14">
            <control shapeId="13147134" r:id="rId462" name="Check Box 2046">
              <controlPr defaultSize="0" autoFill="0" autoLine="0" autoPict="0">
                <anchor moveWithCells="1">
                  <from>
                    <xdr:col>4</xdr:col>
                    <xdr:colOff>0</xdr:colOff>
                    <xdr:row>31</xdr:row>
                    <xdr:rowOff>0</xdr:rowOff>
                  </from>
                  <to>
                    <xdr:col>4</xdr:col>
                    <xdr:colOff>295275</xdr:colOff>
                    <xdr:row>32</xdr:row>
                    <xdr:rowOff>47625</xdr:rowOff>
                  </to>
                </anchor>
              </controlPr>
            </control>
          </mc:Choice>
        </mc:AlternateContent>
        <mc:AlternateContent xmlns:mc="http://schemas.openxmlformats.org/markup-compatibility/2006">
          <mc:Choice Requires="x14">
            <control shapeId="13147135" r:id="rId463" name="Check Box 2047">
              <controlPr defaultSize="0" autoFill="0" autoLine="0" autoPict="0">
                <anchor moveWithCells="1">
                  <from>
                    <xdr:col>9</xdr:col>
                    <xdr:colOff>0</xdr:colOff>
                    <xdr:row>30</xdr:row>
                    <xdr:rowOff>0</xdr:rowOff>
                  </from>
                  <to>
                    <xdr:col>9</xdr:col>
                    <xdr:colOff>295275</xdr:colOff>
                    <xdr:row>31</xdr:row>
                    <xdr:rowOff>47625</xdr:rowOff>
                  </to>
                </anchor>
              </controlPr>
            </control>
          </mc:Choice>
        </mc:AlternateContent>
        <mc:AlternateContent xmlns:mc="http://schemas.openxmlformats.org/markup-compatibility/2006">
          <mc:Choice Requires="x14">
            <control shapeId="26188800" r:id="rId464" name="Check Box 2048">
              <controlPr defaultSize="0" autoFill="0" autoLine="0" autoPict="0">
                <anchor moveWithCells="1">
                  <from>
                    <xdr:col>4</xdr:col>
                    <xdr:colOff>0</xdr:colOff>
                    <xdr:row>30</xdr:row>
                    <xdr:rowOff>0</xdr:rowOff>
                  </from>
                  <to>
                    <xdr:col>4</xdr:col>
                    <xdr:colOff>295275</xdr:colOff>
                    <xdr:row>31</xdr:row>
                    <xdr:rowOff>47625</xdr:rowOff>
                  </to>
                </anchor>
              </controlPr>
            </control>
          </mc:Choice>
        </mc:AlternateContent>
        <mc:AlternateContent xmlns:mc="http://schemas.openxmlformats.org/markup-compatibility/2006">
          <mc:Choice Requires="x14">
            <control shapeId="26188801" r:id="rId465" name="Check Box 2049">
              <controlPr defaultSize="0" autoFill="0" autoLine="0" autoPict="0">
                <anchor moveWithCells="1">
                  <from>
                    <xdr:col>9</xdr:col>
                    <xdr:colOff>0</xdr:colOff>
                    <xdr:row>29</xdr:row>
                    <xdr:rowOff>0</xdr:rowOff>
                  </from>
                  <to>
                    <xdr:col>9</xdr:col>
                    <xdr:colOff>295275</xdr:colOff>
                    <xdr:row>30</xdr:row>
                    <xdr:rowOff>47625</xdr:rowOff>
                  </to>
                </anchor>
              </controlPr>
            </control>
          </mc:Choice>
        </mc:AlternateContent>
        <mc:AlternateContent xmlns:mc="http://schemas.openxmlformats.org/markup-compatibility/2006">
          <mc:Choice Requires="x14">
            <control shapeId="26188802" r:id="rId466" name="Check Box 2050">
              <controlPr defaultSize="0" autoFill="0" autoLine="0" autoPict="0">
                <anchor moveWithCells="1">
                  <from>
                    <xdr:col>4</xdr:col>
                    <xdr:colOff>0</xdr:colOff>
                    <xdr:row>29</xdr:row>
                    <xdr:rowOff>0</xdr:rowOff>
                  </from>
                  <to>
                    <xdr:col>4</xdr:col>
                    <xdr:colOff>295275</xdr:colOff>
                    <xdr:row>30</xdr:row>
                    <xdr:rowOff>47625</xdr:rowOff>
                  </to>
                </anchor>
              </controlPr>
            </control>
          </mc:Choice>
        </mc:AlternateContent>
        <mc:AlternateContent xmlns:mc="http://schemas.openxmlformats.org/markup-compatibility/2006">
          <mc:Choice Requires="x14">
            <control shapeId="26188803" r:id="rId467" name="Check Box 2051">
              <controlPr defaultSize="0" autoFill="0" autoLine="0" autoPict="0">
                <anchor moveWithCells="1">
                  <from>
                    <xdr:col>9</xdr:col>
                    <xdr:colOff>0</xdr:colOff>
                    <xdr:row>28</xdr:row>
                    <xdr:rowOff>0</xdr:rowOff>
                  </from>
                  <to>
                    <xdr:col>9</xdr:col>
                    <xdr:colOff>295275</xdr:colOff>
                    <xdr:row>29</xdr:row>
                    <xdr:rowOff>47625</xdr:rowOff>
                  </to>
                </anchor>
              </controlPr>
            </control>
          </mc:Choice>
        </mc:AlternateContent>
        <mc:AlternateContent xmlns:mc="http://schemas.openxmlformats.org/markup-compatibility/2006">
          <mc:Choice Requires="x14">
            <control shapeId="26188804" r:id="rId468" name="Check Box 2052">
              <controlPr defaultSize="0" autoFill="0" autoLine="0" autoPict="0">
                <anchor moveWithCells="1">
                  <from>
                    <xdr:col>4</xdr:col>
                    <xdr:colOff>0</xdr:colOff>
                    <xdr:row>28</xdr:row>
                    <xdr:rowOff>0</xdr:rowOff>
                  </from>
                  <to>
                    <xdr:col>4</xdr:col>
                    <xdr:colOff>295275</xdr:colOff>
                    <xdr:row>29</xdr:row>
                    <xdr:rowOff>47625</xdr:rowOff>
                  </to>
                </anchor>
              </controlPr>
            </control>
          </mc:Choice>
        </mc:AlternateContent>
        <mc:AlternateContent xmlns:mc="http://schemas.openxmlformats.org/markup-compatibility/2006">
          <mc:Choice Requires="x14">
            <control shapeId="26188805" r:id="rId469" name="Check Box 2053">
              <controlPr defaultSize="0" autoFill="0" autoLine="0" autoPict="0">
                <anchor moveWithCells="1">
                  <from>
                    <xdr:col>9</xdr:col>
                    <xdr:colOff>0</xdr:colOff>
                    <xdr:row>27</xdr:row>
                    <xdr:rowOff>0</xdr:rowOff>
                  </from>
                  <to>
                    <xdr:col>9</xdr:col>
                    <xdr:colOff>295275</xdr:colOff>
                    <xdr:row>28</xdr:row>
                    <xdr:rowOff>47625</xdr:rowOff>
                  </to>
                </anchor>
              </controlPr>
            </control>
          </mc:Choice>
        </mc:AlternateContent>
        <mc:AlternateContent xmlns:mc="http://schemas.openxmlformats.org/markup-compatibility/2006">
          <mc:Choice Requires="x14">
            <control shapeId="26188806" r:id="rId470" name="Check Box 2054">
              <controlPr defaultSize="0" autoFill="0" autoLine="0" autoPict="0">
                <anchor moveWithCells="1">
                  <from>
                    <xdr:col>4</xdr:col>
                    <xdr:colOff>0</xdr:colOff>
                    <xdr:row>27</xdr:row>
                    <xdr:rowOff>0</xdr:rowOff>
                  </from>
                  <to>
                    <xdr:col>4</xdr:col>
                    <xdr:colOff>295275</xdr:colOff>
                    <xdr:row>28</xdr:row>
                    <xdr:rowOff>47625</xdr:rowOff>
                  </to>
                </anchor>
              </controlPr>
            </control>
          </mc:Choice>
        </mc:AlternateContent>
        <mc:AlternateContent xmlns:mc="http://schemas.openxmlformats.org/markup-compatibility/2006">
          <mc:Choice Requires="x14">
            <control shapeId="26188807" r:id="rId471" name="Check Box 2055">
              <controlPr defaultSize="0" autoFill="0" autoLine="0" autoPict="0">
                <anchor moveWithCells="1">
                  <from>
                    <xdr:col>9</xdr:col>
                    <xdr:colOff>0</xdr:colOff>
                    <xdr:row>26</xdr:row>
                    <xdr:rowOff>0</xdr:rowOff>
                  </from>
                  <to>
                    <xdr:col>9</xdr:col>
                    <xdr:colOff>295275</xdr:colOff>
                    <xdr:row>27</xdr:row>
                    <xdr:rowOff>47625</xdr:rowOff>
                  </to>
                </anchor>
              </controlPr>
            </control>
          </mc:Choice>
        </mc:AlternateContent>
        <mc:AlternateContent xmlns:mc="http://schemas.openxmlformats.org/markup-compatibility/2006">
          <mc:Choice Requires="x14">
            <control shapeId="26188808" r:id="rId472" name="Check Box 2056">
              <controlPr defaultSize="0" autoFill="0" autoLine="0" autoPict="0">
                <anchor moveWithCells="1">
                  <from>
                    <xdr:col>4</xdr:col>
                    <xdr:colOff>0</xdr:colOff>
                    <xdr:row>26</xdr:row>
                    <xdr:rowOff>0</xdr:rowOff>
                  </from>
                  <to>
                    <xdr:col>4</xdr:col>
                    <xdr:colOff>295275</xdr:colOff>
                    <xdr:row>27</xdr:row>
                    <xdr:rowOff>47625</xdr:rowOff>
                  </to>
                </anchor>
              </controlPr>
            </control>
          </mc:Choice>
        </mc:AlternateContent>
        <mc:AlternateContent xmlns:mc="http://schemas.openxmlformats.org/markup-compatibility/2006">
          <mc:Choice Requires="x14">
            <control shapeId="26188809" r:id="rId473" name="Check Box 2057">
              <controlPr defaultSize="0" autoFill="0" autoLine="0" autoPict="0">
                <anchor moveWithCells="1">
                  <from>
                    <xdr:col>9</xdr:col>
                    <xdr:colOff>0</xdr:colOff>
                    <xdr:row>25</xdr:row>
                    <xdr:rowOff>0</xdr:rowOff>
                  </from>
                  <to>
                    <xdr:col>9</xdr:col>
                    <xdr:colOff>295275</xdr:colOff>
                    <xdr:row>26</xdr:row>
                    <xdr:rowOff>47625</xdr:rowOff>
                  </to>
                </anchor>
              </controlPr>
            </control>
          </mc:Choice>
        </mc:AlternateContent>
        <mc:AlternateContent xmlns:mc="http://schemas.openxmlformats.org/markup-compatibility/2006">
          <mc:Choice Requires="x14">
            <control shapeId="26188810" r:id="rId474" name="Check Box 2058">
              <controlPr defaultSize="0" autoFill="0" autoLine="0" autoPict="0">
                <anchor moveWithCells="1">
                  <from>
                    <xdr:col>4</xdr:col>
                    <xdr:colOff>0</xdr:colOff>
                    <xdr:row>25</xdr:row>
                    <xdr:rowOff>0</xdr:rowOff>
                  </from>
                  <to>
                    <xdr:col>4</xdr:col>
                    <xdr:colOff>295275</xdr:colOff>
                    <xdr:row>26</xdr:row>
                    <xdr:rowOff>47625</xdr:rowOff>
                  </to>
                </anchor>
              </controlPr>
            </control>
          </mc:Choice>
        </mc:AlternateContent>
        <mc:AlternateContent xmlns:mc="http://schemas.openxmlformats.org/markup-compatibility/2006">
          <mc:Choice Requires="x14">
            <control shapeId="26188811" r:id="rId475" name="Check Box 2059">
              <controlPr defaultSize="0" autoFill="0" autoLine="0" autoPict="0">
                <anchor moveWithCells="1">
                  <from>
                    <xdr:col>9</xdr:col>
                    <xdr:colOff>0</xdr:colOff>
                    <xdr:row>24</xdr:row>
                    <xdr:rowOff>0</xdr:rowOff>
                  </from>
                  <to>
                    <xdr:col>9</xdr:col>
                    <xdr:colOff>295275</xdr:colOff>
                    <xdr:row>25</xdr:row>
                    <xdr:rowOff>47625</xdr:rowOff>
                  </to>
                </anchor>
              </controlPr>
            </control>
          </mc:Choice>
        </mc:AlternateContent>
        <mc:AlternateContent xmlns:mc="http://schemas.openxmlformats.org/markup-compatibility/2006">
          <mc:Choice Requires="x14">
            <control shapeId="26188812" r:id="rId476" name="Check Box 2060">
              <controlPr defaultSize="0" autoFill="0" autoLine="0" autoPict="0">
                <anchor moveWithCells="1">
                  <from>
                    <xdr:col>4</xdr:col>
                    <xdr:colOff>0</xdr:colOff>
                    <xdr:row>24</xdr:row>
                    <xdr:rowOff>0</xdr:rowOff>
                  </from>
                  <to>
                    <xdr:col>4</xdr:col>
                    <xdr:colOff>295275</xdr:colOff>
                    <xdr:row>25</xdr:row>
                    <xdr:rowOff>47625</xdr:rowOff>
                  </to>
                </anchor>
              </controlPr>
            </control>
          </mc:Choice>
        </mc:AlternateContent>
        <mc:AlternateContent xmlns:mc="http://schemas.openxmlformats.org/markup-compatibility/2006">
          <mc:Choice Requires="x14">
            <control shapeId="26188813" r:id="rId477" name="Check Box 2061">
              <controlPr defaultSize="0" autoFill="0" autoLine="0" autoPict="0">
                <anchor moveWithCells="1">
                  <from>
                    <xdr:col>9</xdr:col>
                    <xdr:colOff>0</xdr:colOff>
                    <xdr:row>23</xdr:row>
                    <xdr:rowOff>0</xdr:rowOff>
                  </from>
                  <to>
                    <xdr:col>9</xdr:col>
                    <xdr:colOff>295275</xdr:colOff>
                    <xdr:row>24</xdr:row>
                    <xdr:rowOff>47625</xdr:rowOff>
                  </to>
                </anchor>
              </controlPr>
            </control>
          </mc:Choice>
        </mc:AlternateContent>
        <mc:AlternateContent xmlns:mc="http://schemas.openxmlformats.org/markup-compatibility/2006">
          <mc:Choice Requires="x14">
            <control shapeId="26188814" r:id="rId478" name="Check Box 2062">
              <controlPr defaultSize="0" autoFill="0" autoLine="0" autoPict="0">
                <anchor moveWithCells="1">
                  <from>
                    <xdr:col>4</xdr:col>
                    <xdr:colOff>0</xdr:colOff>
                    <xdr:row>23</xdr:row>
                    <xdr:rowOff>0</xdr:rowOff>
                  </from>
                  <to>
                    <xdr:col>4</xdr:col>
                    <xdr:colOff>295275</xdr:colOff>
                    <xdr:row>24</xdr:row>
                    <xdr:rowOff>47625</xdr:rowOff>
                  </to>
                </anchor>
              </controlPr>
            </control>
          </mc:Choice>
        </mc:AlternateContent>
        <mc:AlternateContent xmlns:mc="http://schemas.openxmlformats.org/markup-compatibility/2006">
          <mc:Choice Requires="x14">
            <control shapeId="26188815" r:id="rId479" name="Check Box 2063">
              <controlPr defaultSize="0" autoFill="0" autoLine="0" autoPict="0">
                <anchor moveWithCells="1">
                  <from>
                    <xdr:col>9</xdr:col>
                    <xdr:colOff>0</xdr:colOff>
                    <xdr:row>22</xdr:row>
                    <xdr:rowOff>0</xdr:rowOff>
                  </from>
                  <to>
                    <xdr:col>9</xdr:col>
                    <xdr:colOff>295275</xdr:colOff>
                    <xdr:row>23</xdr:row>
                    <xdr:rowOff>47625</xdr:rowOff>
                  </to>
                </anchor>
              </controlPr>
            </control>
          </mc:Choice>
        </mc:AlternateContent>
        <mc:AlternateContent xmlns:mc="http://schemas.openxmlformats.org/markup-compatibility/2006">
          <mc:Choice Requires="x14">
            <control shapeId="26188816" r:id="rId480" name="Check Box 2064">
              <controlPr defaultSize="0" autoFill="0" autoLine="0" autoPict="0">
                <anchor moveWithCells="1">
                  <from>
                    <xdr:col>4</xdr:col>
                    <xdr:colOff>0</xdr:colOff>
                    <xdr:row>22</xdr:row>
                    <xdr:rowOff>0</xdr:rowOff>
                  </from>
                  <to>
                    <xdr:col>4</xdr:col>
                    <xdr:colOff>295275</xdr:colOff>
                    <xdr:row>23</xdr:row>
                    <xdr:rowOff>47625</xdr:rowOff>
                  </to>
                </anchor>
              </controlPr>
            </control>
          </mc:Choice>
        </mc:AlternateContent>
        <mc:AlternateContent xmlns:mc="http://schemas.openxmlformats.org/markup-compatibility/2006">
          <mc:Choice Requires="x14">
            <control shapeId="26188817" r:id="rId481" name="Check Box 2065">
              <controlPr defaultSize="0" autoFill="0" autoLine="0" autoPict="0">
                <anchor moveWithCells="1">
                  <from>
                    <xdr:col>9</xdr:col>
                    <xdr:colOff>0</xdr:colOff>
                    <xdr:row>21</xdr:row>
                    <xdr:rowOff>0</xdr:rowOff>
                  </from>
                  <to>
                    <xdr:col>9</xdr:col>
                    <xdr:colOff>295275</xdr:colOff>
                    <xdr:row>22</xdr:row>
                    <xdr:rowOff>47625</xdr:rowOff>
                  </to>
                </anchor>
              </controlPr>
            </control>
          </mc:Choice>
        </mc:AlternateContent>
        <mc:AlternateContent xmlns:mc="http://schemas.openxmlformats.org/markup-compatibility/2006">
          <mc:Choice Requires="x14">
            <control shapeId="26188818" r:id="rId482" name="Check Box 2066">
              <controlPr defaultSize="0" autoFill="0" autoLine="0" autoPict="0">
                <anchor moveWithCells="1">
                  <from>
                    <xdr:col>4</xdr:col>
                    <xdr:colOff>0</xdr:colOff>
                    <xdr:row>21</xdr:row>
                    <xdr:rowOff>0</xdr:rowOff>
                  </from>
                  <to>
                    <xdr:col>4</xdr:col>
                    <xdr:colOff>295275</xdr:colOff>
                    <xdr:row>22</xdr:row>
                    <xdr:rowOff>47625</xdr:rowOff>
                  </to>
                </anchor>
              </controlPr>
            </control>
          </mc:Choice>
        </mc:AlternateContent>
        <mc:AlternateContent xmlns:mc="http://schemas.openxmlformats.org/markup-compatibility/2006">
          <mc:Choice Requires="x14">
            <control shapeId="26188821" r:id="rId483" name="Check Box 2069">
              <controlPr defaultSize="0" autoFill="0" autoLine="0" autoPict="0">
                <anchor moveWithCells="1">
                  <from>
                    <xdr:col>9</xdr:col>
                    <xdr:colOff>0</xdr:colOff>
                    <xdr:row>20</xdr:row>
                    <xdr:rowOff>0</xdr:rowOff>
                  </from>
                  <to>
                    <xdr:col>9</xdr:col>
                    <xdr:colOff>295275</xdr:colOff>
                    <xdr:row>21</xdr:row>
                    <xdr:rowOff>47625</xdr:rowOff>
                  </to>
                </anchor>
              </controlPr>
            </control>
          </mc:Choice>
        </mc:AlternateContent>
        <mc:AlternateContent xmlns:mc="http://schemas.openxmlformats.org/markup-compatibility/2006">
          <mc:Choice Requires="x14">
            <control shapeId="26188822" r:id="rId484" name="Check Box 2070">
              <controlPr defaultSize="0" autoFill="0" autoLine="0" autoPict="0">
                <anchor moveWithCells="1">
                  <from>
                    <xdr:col>4</xdr:col>
                    <xdr:colOff>0</xdr:colOff>
                    <xdr:row>20</xdr:row>
                    <xdr:rowOff>0</xdr:rowOff>
                  </from>
                  <to>
                    <xdr:col>4</xdr:col>
                    <xdr:colOff>295275</xdr:colOff>
                    <xdr:row>21</xdr:row>
                    <xdr:rowOff>47625</xdr:rowOff>
                  </to>
                </anchor>
              </controlPr>
            </control>
          </mc:Choice>
        </mc:AlternateContent>
        <mc:AlternateContent xmlns:mc="http://schemas.openxmlformats.org/markup-compatibility/2006">
          <mc:Choice Requires="x14">
            <control shapeId="26188823" r:id="rId485" name="Check Box 2071">
              <controlPr defaultSize="0" autoFill="0" autoLine="0" autoPict="0">
                <anchor moveWithCells="1">
                  <from>
                    <xdr:col>9</xdr:col>
                    <xdr:colOff>0</xdr:colOff>
                    <xdr:row>19</xdr:row>
                    <xdr:rowOff>0</xdr:rowOff>
                  </from>
                  <to>
                    <xdr:col>9</xdr:col>
                    <xdr:colOff>295275</xdr:colOff>
                    <xdr:row>20</xdr:row>
                    <xdr:rowOff>47625</xdr:rowOff>
                  </to>
                </anchor>
              </controlPr>
            </control>
          </mc:Choice>
        </mc:AlternateContent>
        <mc:AlternateContent xmlns:mc="http://schemas.openxmlformats.org/markup-compatibility/2006">
          <mc:Choice Requires="x14">
            <control shapeId="26188824" r:id="rId486" name="Check Box 2072">
              <controlPr defaultSize="0" autoFill="0" autoLine="0" autoPict="0">
                <anchor moveWithCells="1">
                  <from>
                    <xdr:col>4</xdr:col>
                    <xdr:colOff>0</xdr:colOff>
                    <xdr:row>19</xdr:row>
                    <xdr:rowOff>0</xdr:rowOff>
                  </from>
                  <to>
                    <xdr:col>4</xdr:col>
                    <xdr:colOff>295275</xdr:colOff>
                    <xdr:row>20</xdr:row>
                    <xdr:rowOff>47625</xdr:rowOff>
                  </to>
                </anchor>
              </controlPr>
            </control>
          </mc:Choice>
        </mc:AlternateContent>
        <mc:AlternateContent xmlns:mc="http://schemas.openxmlformats.org/markup-compatibility/2006">
          <mc:Choice Requires="x14">
            <control shapeId="26188825" r:id="rId487" name="Check Box 2073">
              <controlPr defaultSize="0" autoFill="0" autoLine="0" autoPict="0">
                <anchor moveWithCells="1">
                  <from>
                    <xdr:col>9</xdr:col>
                    <xdr:colOff>0</xdr:colOff>
                    <xdr:row>18</xdr:row>
                    <xdr:rowOff>0</xdr:rowOff>
                  </from>
                  <to>
                    <xdr:col>9</xdr:col>
                    <xdr:colOff>295275</xdr:colOff>
                    <xdr:row>19</xdr:row>
                    <xdr:rowOff>47625</xdr:rowOff>
                  </to>
                </anchor>
              </controlPr>
            </control>
          </mc:Choice>
        </mc:AlternateContent>
        <mc:AlternateContent xmlns:mc="http://schemas.openxmlformats.org/markup-compatibility/2006">
          <mc:Choice Requires="x14">
            <control shapeId="26188826" r:id="rId488" name="Check Box 2074">
              <controlPr defaultSize="0" autoFill="0" autoLine="0" autoPict="0">
                <anchor moveWithCells="1">
                  <from>
                    <xdr:col>4</xdr:col>
                    <xdr:colOff>0</xdr:colOff>
                    <xdr:row>18</xdr:row>
                    <xdr:rowOff>0</xdr:rowOff>
                  </from>
                  <to>
                    <xdr:col>4</xdr:col>
                    <xdr:colOff>295275</xdr:colOff>
                    <xdr:row>19</xdr:row>
                    <xdr:rowOff>47625</xdr:rowOff>
                  </to>
                </anchor>
              </controlPr>
            </control>
          </mc:Choice>
        </mc:AlternateContent>
        <mc:AlternateContent xmlns:mc="http://schemas.openxmlformats.org/markup-compatibility/2006">
          <mc:Choice Requires="x14">
            <control shapeId="26188827" r:id="rId489" name="Check Box 2075">
              <controlPr defaultSize="0" autoFill="0" autoLine="0" autoPict="0">
                <anchor moveWithCells="1">
                  <from>
                    <xdr:col>9</xdr:col>
                    <xdr:colOff>0</xdr:colOff>
                    <xdr:row>17</xdr:row>
                    <xdr:rowOff>0</xdr:rowOff>
                  </from>
                  <to>
                    <xdr:col>9</xdr:col>
                    <xdr:colOff>295275</xdr:colOff>
                    <xdr:row>18</xdr:row>
                    <xdr:rowOff>47625</xdr:rowOff>
                  </to>
                </anchor>
              </controlPr>
            </control>
          </mc:Choice>
        </mc:AlternateContent>
        <mc:AlternateContent xmlns:mc="http://schemas.openxmlformats.org/markup-compatibility/2006">
          <mc:Choice Requires="x14">
            <control shapeId="26188828" r:id="rId490" name="Check Box 2076">
              <controlPr defaultSize="0" autoFill="0" autoLine="0" autoPict="0">
                <anchor moveWithCells="1">
                  <from>
                    <xdr:col>4</xdr:col>
                    <xdr:colOff>0</xdr:colOff>
                    <xdr:row>17</xdr:row>
                    <xdr:rowOff>0</xdr:rowOff>
                  </from>
                  <to>
                    <xdr:col>4</xdr:col>
                    <xdr:colOff>295275</xdr:colOff>
                    <xdr:row>18</xdr:row>
                    <xdr:rowOff>47625</xdr:rowOff>
                  </to>
                </anchor>
              </controlPr>
            </control>
          </mc:Choice>
        </mc:AlternateContent>
        <mc:AlternateContent xmlns:mc="http://schemas.openxmlformats.org/markup-compatibility/2006">
          <mc:Choice Requires="x14">
            <control shapeId="26188829" r:id="rId491" name="Check Box 2077">
              <controlPr defaultSize="0" autoFill="0" autoLine="0" autoPict="0">
                <anchor moveWithCells="1">
                  <from>
                    <xdr:col>9</xdr:col>
                    <xdr:colOff>0</xdr:colOff>
                    <xdr:row>16</xdr:row>
                    <xdr:rowOff>0</xdr:rowOff>
                  </from>
                  <to>
                    <xdr:col>9</xdr:col>
                    <xdr:colOff>295275</xdr:colOff>
                    <xdr:row>17</xdr:row>
                    <xdr:rowOff>47625</xdr:rowOff>
                  </to>
                </anchor>
              </controlPr>
            </control>
          </mc:Choice>
        </mc:AlternateContent>
        <mc:AlternateContent xmlns:mc="http://schemas.openxmlformats.org/markup-compatibility/2006">
          <mc:Choice Requires="x14">
            <control shapeId="26188830" r:id="rId492" name="Check Box 2078">
              <controlPr defaultSize="0" autoFill="0" autoLine="0" autoPict="0">
                <anchor moveWithCells="1">
                  <from>
                    <xdr:col>4</xdr:col>
                    <xdr:colOff>0</xdr:colOff>
                    <xdr:row>16</xdr:row>
                    <xdr:rowOff>0</xdr:rowOff>
                  </from>
                  <to>
                    <xdr:col>4</xdr:col>
                    <xdr:colOff>295275</xdr:colOff>
                    <xdr:row>17</xdr:row>
                    <xdr:rowOff>47625</xdr:rowOff>
                  </to>
                </anchor>
              </controlPr>
            </control>
          </mc:Choice>
        </mc:AlternateContent>
        <mc:AlternateContent xmlns:mc="http://schemas.openxmlformats.org/markup-compatibility/2006">
          <mc:Choice Requires="x14">
            <control shapeId="26188831" r:id="rId493" name="Check Box 2079">
              <controlPr defaultSize="0" autoFill="0" autoLine="0" autoPict="0">
                <anchor moveWithCells="1">
                  <from>
                    <xdr:col>9</xdr:col>
                    <xdr:colOff>0</xdr:colOff>
                    <xdr:row>15</xdr:row>
                    <xdr:rowOff>0</xdr:rowOff>
                  </from>
                  <to>
                    <xdr:col>9</xdr:col>
                    <xdr:colOff>295275</xdr:colOff>
                    <xdr:row>16</xdr:row>
                    <xdr:rowOff>66675</xdr:rowOff>
                  </to>
                </anchor>
              </controlPr>
            </control>
          </mc:Choice>
        </mc:AlternateContent>
        <mc:AlternateContent xmlns:mc="http://schemas.openxmlformats.org/markup-compatibility/2006">
          <mc:Choice Requires="x14">
            <control shapeId="26188832" r:id="rId494" name="Check Box 2080">
              <controlPr defaultSize="0" autoFill="0" autoLine="0" autoPict="0">
                <anchor moveWithCells="1">
                  <from>
                    <xdr:col>4</xdr:col>
                    <xdr:colOff>0</xdr:colOff>
                    <xdr:row>15</xdr:row>
                    <xdr:rowOff>0</xdr:rowOff>
                  </from>
                  <to>
                    <xdr:col>4</xdr:col>
                    <xdr:colOff>295275</xdr:colOff>
                    <xdr:row>16</xdr:row>
                    <xdr:rowOff>66675</xdr:rowOff>
                  </to>
                </anchor>
              </controlPr>
            </control>
          </mc:Choice>
        </mc:AlternateContent>
        <mc:AlternateContent xmlns:mc="http://schemas.openxmlformats.org/markup-compatibility/2006">
          <mc:Choice Requires="x14">
            <control shapeId="26188835" r:id="rId495" name="Check Box 2083">
              <controlPr defaultSize="0" autoFill="0" autoLine="0" autoPict="0">
                <anchor moveWithCells="1">
                  <from>
                    <xdr:col>9</xdr:col>
                    <xdr:colOff>0</xdr:colOff>
                    <xdr:row>14</xdr:row>
                    <xdr:rowOff>0</xdr:rowOff>
                  </from>
                  <to>
                    <xdr:col>9</xdr:col>
                    <xdr:colOff>295275</xdr:colOff>
                    <xdr:row>15</xdr:row>
                    <xdr:rowOff>47625</xdr:rowOff>
                  </to>
                </anchor>
              </controlPr>
            </control>
          </mc:Choice>
        </mc:AlternateContent>
        <mc:AlternateContent xmlns:mc="http://schemas.openxmlformats.org/markup-compatibility/2006">
          <mc:Choice Requires="x14">
            <control shapeId="26188836" r:id="rId496" name="Check Box 2084">
              <controlPr defaultSize="0" autoFill="0" autoLine="0" autoPict="0">
                <anchor moveWithCells="1">
                  <from>
                    <xdr:col>4</xdr:col>
                    <xdr:colOff>0</xdr:colOff>
                    <xdr:row>14</xdr:row>
                    <xdr:rowOff>0</xdr:rowOff>
                  </from>
                  <to>
                    <xdr:col>4</xdr:col>
                    <xdr:colOff>295275</xdr:colOff>
                    <xdr:row>15</xdr:row>
                    <xdr:rowOff>47625</xdr:rowOff>
                  </to>
                </anchor>
              </controlPr>
            </control>
          </mc:Choice>
        </mc:AlternateContent>
        <mc:AlternateContent xmlns:mc="http://schemas.openxmlformats.org/markup-compatibility/2006">
          <mc:Choice Requires="x14">
            <control shapeId="26188837" r:id="rId497" name="Check Box 2085">
              <controlPr defaultSize="0" autoFill="0" autoLine="0" autoPict="0">
                <anchor moveWithCells="1">
                  <from>
                    <xdr:col>9</xdr:col>
                    <xdr:colOff>0</xdr:colOff>
                    <xdr:row>13</xdr:row>
                    <xdr:rowOff>0</xdr:rowOff>
                  </from>
                  <to>
                    <xdr:col>9</xdr:col>
                    <xdr:colOff>295275</xdr:colOff>
                    <xdr:row>14</xdr:row>
                    <xdr:rowOff>47625</xdr:rowOff>
                  </to>
                </anchor>
              </controlPr>
            </control>
          </mc:Choice>
        </mc:AlternateContent>
        <mc:AlternateContent xmlns:mc="http://schemas.openxmlformats.org/markup-compatibility/2006">
          <mc:Choice Requires="x14">
            <control shapeId="26188838" r:id="rId498" name="Check Box 2086">
              <controlPr defaultSize="0" autoFill="0" autoLine="0" autoPict="0">
                <anchor moveWithCells="1">
                  <from>
                    <xdr:col>4</xdr:col>
                    <xdr:colOff>0</xdr:colOff>
                    <xdr:row>13</xdr:row>
                    <xdr:rowOff>0</xdr:rowOff>
                  </from>
                  <to>
                    <xdr:col>4</xdr:col>
                    <xdr:colOff>295275</xdr:colOff>
                    <xdr:row>14</xdr:row>
                    <xdr:rowOff>47625</xdr:rowOff>
                  </to>
                </anchor>
              </controlPr>
            </control>
          </mc:Choice>
        </mc:AlternateContent>
        <mc:AlternateContent xmlns:mc="http://schemas.openxmlformats.org/markup-compatibility/2006">
          <mc:Choice Requires="x14">
            <control shapeId="26188839" r:id="rId499" name="Check Box 2087">
              <controlPr defaultSize="0" autoFill="0" autoLine="0" autoPict="0">
                <anchor moveWithCells="1">
                  <from>
                    <xdr:col>9</xdr:col>
                    <xdr:colOff>0</xdr:colOff>
                    <xdr:row>12</xdr:row>
                    <xdr:rowOff>0</xdr:rowOff>
                  </from>
                  <to>
                    <xdr:col>9</xdr:col>
                    <xdr:colOff>295275</xdr:colOff>
                    <xdr:row>13</xdr:row>
                    <xdr:rowOff>47625</xdr:rowOff>
                  </to>
                </anchor>
              </controlPr>
            </control>
          </mc:Choice>
        </mc:AlternateContent>
        <mc:AlternateContent xmlns:mc="http://schemas.openxmlformats.org/markup-compatibility/2006">
          <mc:Choice Requires="x14">
            <control shapeId="26188840" r:id="rId500" name="Check Box 2088">
              <controlPr defaultSize="0" autoFill="0" autoLine="0" autoPict="0">
                <anchor moveWithCells="1">
                  <from>
                    <xdr:col>4</xdr:col>
                    <xdr:colOff>0</xdr:colOff>
                    <xdr:row>12</xdr:row>
                    <xdr:rowOff>0</xdr:rowOff>
                  </from>
                  <to>
                    <xdr:col>4</xdr:col>
                    <xdr:colOff>295275</xdr:colOff>
                    <xdr:row>13</xdr:row>
                    <xdr:rowOff>47625</xdr:rowOff>
                  </to>
                </anchor>
              </controlPr>
            </control>
          </mc:Choice>
        </mc:AlternateContent>
        <mc:AlternateContent xmlns:mc="http://schemas.openxmlformats.org/markup-compatibility/2006">
          <mc:Choice Requires="x14">
            <control shapeId="26188841" r:id="rId501" name="Check Box 2089">
              <controlPr defaultSize="0" autoFill="0" autoLine="0" autoPict="0">
                <anchor moveWithCells="1">
                  <from>
                    <xdr:col>9</xdr:col>
                    <xdr:colOff>0</xdr:colOff>
                    <xdr:row>11</xdr:row>
                    <xdr:rowOff>0</xdr:rowOff>
                  </from>
                  <to>
                    <xdr:col>9</xdr:col>
                    <xdr:colOff>295275</xdr:colOff>
                    <xdr:row>12</xdr:row>
                    <xdr:rowOff>47625</xdr:rowOff>
                  </to>
                </anchor>
              </controlPr>
            </control>
          </mc:Choice>
        </mc:AlternateContent>
        <mc:AlternateContent xmlns:mc="http://schemas.openxmlformats.org/markup-compatibility/2006">
          <mc:Choice Requires="x14">
            <control shapeId="26188842" r:id="rId502" name="Check Box 2090">
              <controlPr defaultSize="0" autoFill="0" autoLine="0" autoPict="0">
                <anchor moveWithCells="1">
                  <from>
                    <xdr:col>4</xdr:col>
                    <xdr:colOff>0</xdr:colOff>
                    <xdr:row>11</xdr:row>
                    <xdr:rowOff>0</xdr:rowOff>
                  </from>
                  <to>
                    <xdr:col>4</xdr:col>
                    <xdr:colOff>295275</xdr:colOff>
                    <xdr:row>12</xdr:row>
                    <xdr:rowOff>47625</xdr:rowOff>
                  </to>
                </anchor>
              </controlPr>
            </control>
          </mc:Choice>
        </mc:AlternateContent>
        <mc:AlternateContent xmlns:mc="http://schemas.openxmlformats.org/markup-compatibility/2006">
          <mc:Choice Requires="x14">
            <control shapeId="26188843" r:id="rId503" name="Check Box 2091">
              <controlPr defaultSize="0" autoFill="0" autoLine="0" autoPict="0">
                <anchor moveWithCells="1">
                  <from>
                    <xdr:col>9</xdr:col>
                    <xdr:colOff>0</xdr:colOff>
                    <xdr:row>10</xdr:row>
                    <xdr:rowOff>0</xdr:rowOff>
                  </from>
                  <to>
                    <xdr:col>9</xdr:col>
                    <xdr:colOff>295275</xdr:colOff>
                    <xdr:row>11</xdr:row>
                    <xdr:rowOff>47625</xdr:rowOff>
                  </to>
                </anchor>
              </controlPr>
            </control>
          </mc:Choice>
        </mc:AlternateContent>
        <mc:AlternateContent xmlns:mc="http://schemas.openxmlformats.org/markup-compatibility/2006">
          <mc:Choice Requires="x14">
            <control shapeId="26188844" r:id="rId504" name="Check Box 2092">
              <controlPr defaultSize="0" autoFill="0" autoLine="0" autoPict="0">
                <anchor moveWithCells="1">
                  <from>
                    <xdr:col>4</xdr:col>
                    <xdr:colOff>0</xdr:colOff>
                    <xdr:row>10</xdr:row>
                    <xdr:rowOff>0</xdr:rowOff>
                  </from>
                  <to>
                    <xdr:col>4</xdr:col>
                    <xdr:colOff>295275</xdr:colOff>
                    <xdr:row>11</xdr:row>
                    <xdr:rowOff>47625</xdr:rowOff>
                  </to>
                </anchor>
              </controlPr>
            </control>
          </mc:Choice>
        </mc:AlternateContent>
        <mc:AlternateContent xmlns:mc="http://schemas.openxmlformats.org/markup-compatibility/2006">
          <mc:Choice Requires="x14">
            <control shapeId="26188845" r:id="rId505" name="Check Box 2093">
              <controlPr defaultSize="0" autoFill="0" autoLine="0" autoPict="0">
                <anchor moveWithCells="1">
                  <from>
                    <xdr:col>9</xdr:col>
                    <xdr:colOff>0</xdr:colOff>
                    <xdr:row>9</xdr:row>
                    <xdr:rowOff>0</xdr:rowOff>
                  </from>
                  <to>
                    <xdr:col>9</xdr:col>
                    <xdr:colOff>295275</xdr:colOff>
                    <xdr:row>10</xdr:row>
                    <xdr:rowOff>47625</xdr:rowOff>
                  </to>
                </anchor>
              </controlPr>
            </control>
          </mc:Choice>
        </mc:AlternateContent>
        <mc:AlternateContent xmlns:mc="http://schemas.openxmlformats.org/markup-compatibility/2006">
          <mc:Choice Requires="x14">
            <control shapeId="26188846" r:id="rId506" name="Check Box 2094">
              <controlPr defaultSize="0" autoFill="0" autoLine="0" autoPict="0">
                <anchor moveWithCells="1">
                  <from>
                    <xdr:col>4</xdr:col>
                    <xdr:colOff>0</xdr:colOff>
                    <xdr:row>9</xdr:row>
                    <xdr:rowOff>0</xdr:rowOff>
                  </from>
                  <to>
                    <xdr:col>4</xdr:col>
                    <xdr:colOff>295275</xdr:colOff>
                    <xdr:row>10</xdr:row>
                    <xdr:rowOff>47625</xdr:rowOff>
                  </to>
                </anchor>
              </controlPr>
            </control>
          </mc:Choice>
        </mc:AlternateContent>
        <mc:AlternateContent xmlns:mc="http://schemas.openxmlformats.org/markup-compatibility/2006">
          <mc:Choice Requires="x14">
            <control shapeId="26188851" r:id="rId507" name="Check Box 2099">
              <controlPr defaultSize="0" autoFill="0" autoLine="0" autoPict="0">
                <anchor moveWithCells="1">
                  <from>
                    <xdr:col>9</xdr:col>
                    <xdr:colOff>0</xdr:colOff>
                    <xdr:row>8</xdr:row>
                    <xdr:rowOff>0</xdr:rowOff>
                  </from>
                  <to>
                    <xdr:col>9</xdr:col>
                    <xdr:colOff>295275</xdr:colOff>
                    <xdr:row>9</xdr:row>
                    <xdr:rowOff>47625</xdr:rowOff>
                  </to>
                </anchor>
              </controlPr>
            </control>
          </mc:Choice>
        </mc:AlternateContent>
        <mc:AlternateContent xmlns:mc="http://schemas.openxmlformats.org/markup-compatibility/2006">
          <mc:Choice Requires="x14">
            <control shapeId="26188852" r:id="rId508" name="Check Box 2100">
              <controlPr defaultSize="0" autoFill="0" autoLine="0" autoPict="0">
                <anchor moveWithCells="1">
                  <from>
                    <xdr:col>4</xdr:col>
                    <xdr:colOff>0</xdr:colOff>
                    <xdr:row>8</xdr:row>
                    <xdr:rowOff>0</xdr:rowOff>
                  </from>
                  <to>
                    <xdr:col>4</xdr:col>
                    <xdr:colOff>295275</xdr:colOff>
                    <xdr:row>9</xdr:row>
                    <xdr:rowOff>47625</xdr:rowOff>
                  </to>
                </anchor>
              </controlPr>
            </control>
          </mc:Choice>
        </mc:AlternateContent>
        <mc:AlternateContent xmlns:mc="http://schemas.openxmlformats.org/markup-compatibility/2006">
          <mc:Choice Requires="x14">
            <control shapeId="26188853" r:id="rId509" name="Check Box 2101">
              <controlPr defaultSize="0" autoFill="0" autoLine="0" autoPict="0">
                <anchor moveWithCells="1">
                  <from>
                    <xdr:col>9</xdr:col>
                    <xdr:colOff>0</xdr:colOff>
                    <xdr:row>7</xdr:row>
                    <xdr:rowOff>0</xdr:rowOff>
                  </from>
                  <to>
                    <xdr:col>9</xdr:col>
                    <xdr:colOff>295275</xdr:colOff>
                    <xdr:row>8</xdr:row>
                    <xdr:rowOff>47625</xdr:rowOff>
                  </to>
                </anchor>
              </controlPr>
            </control>
          </mc:Choice>
        </mc:AlternateContent>
        <mc:AlternateContent xmlns:mc="http://schemas.openxmlformats.org/markup-compatibility/2006">
          <mc:Choice Requires="x14">
            <control shapeId="26188854" r:id="rId510" name="Check Box 2102">
              <controlPr defaultSize="0" autoFill="0" autoLine="0" autoPict="0">
                <anchor moveWithCells="1">
                  <from>
                    <xdr:col>4</xdr:col>
                    <xdr:colOff>0</xdr:colOff>
                    <xdr:row>7</xdr:row>
                    <xdr:rowOff>0</xdr:rowOff>
                  </from>
                  <to>
                    <xdr:col>4</xdr:col>
                    <xdr:colOff>295275</xdr:colOff>
                    <xdr:row>8</xdr:row>
                    <xdr:rowOff>47625</xdr:rowOff>
                  </to>
                </anchor>
              </controlPr>
            </control>
          </mc:Choice>
        </mc:AlternateContent>
        <mc:AlternateContent xmlns:mc="http://schemas.openxmlformats.org/markup-compatibility/2006">
          <mc:Choice Requires="x14">
            <control shapeId="26188857" r:id="rId511" name="Check Box 2105">
              <controlPr defaultSize="0" autoFill="0" autoLine="0" autoPict="0">
                <anchor moveWithCells="1">
                  <from>
                    <xdr:col>9</xdr:col>
                    <xdr:colOff>0</xdr:colOff>
                    <xdr:row>6</xdr:row>
                    <xdr:rowOff>0</xdr:rowOff>
                  </from>
                  <to>
                    <xdr:col>9</xdr:col>
                    <xdr:colOff>295275</xdr:colOff>
                    <xdr:row>7</xdr:row>
                    <xdr:rowOff>47625</xdr:rowOff>
                  </to>
                </anchor>
              </controlPr>
            </control>
          </mc:Choice>
        </mc:AlternateContent>
        <mc:AlternateContent xmlns:mc="http://schemas.openxmlformats.org/markup-compatibility/2006">
          <mc:Choice Requires="x14">
            <control shapeId="26188858" r:id="rId512" name="Check Box 2106">
              <controlPr defaultSize="0" autoFill="0" autoLine="0" autoPict="0">
                <anchor moveWithCells="1">
                  <from>
                    <xdr:col>4</xdr:col>
                    <xdr:colOff>0</xdr:colOff>
                    <xdr:row>6</xdr:row>
                    <xdr:rowOff>0</xdr:rowOff>
                  </from>
                  <to>
                    <xdr:col>4</xdr:col>
                    <xdr:colOff>295275</xdr:colOff>
                    <xdr:row>7</xdr:row>
                    <xdr:rowOff>47625</xdr:rowOff>
                  </to>
                </anchor>
              </controlPr>
            </control>
          </mc:Choice>
        </mc:AlternateContent>
        <mc:AlternateContent xmlns:mc="http://schemas.openxmlformats.org/markup-compatibility/2006">
          <mc:Choice Requires="x14">
            <control shapeId="26188859" r:id="rId513" name="Check Box 2107">
              <controlPr defaultSize="0" autoFill="0" autoLine="0" autoPict="0">
                <anchor moveWithCells="1">
                  <from>
                    <xdr:col>9</xdr:col>
                    <xdr:colOff>0</xdr:colOff>
                    <xdr:row>5</xdr:row>
                    <xdr:rowOff>0</xdr:rowOff>
                  </from>
                  <to>
                    <xdr:col>9</xdr:col>
                    <xdr:colOff>295275</xdr:colOff>
                    <xdr:row>6</xdr:row>
                    <xdr:rowOff>47625</xdr:rowOff>
                  </to>
                </anchor>
              </controlPr>
            </control>
          </mc:Choice>
        </mc:AlternateContent>
        <mc:AlternateContent xmlns:mc="http://schemas.openxmlformats.org/markup-compatibility/2006">
          <mc:Choice Requires="x14">
            <control shapeId="26188860" r:id="rId514" name="Check Box 2108">
              <controlPr defaultSize="0" autoFill="0" autoLine="0" autoPict="0">
                <anchor moveWithCells="1">
                  <from>
                    <xdr:col>4</xdr:col>
                    <xdr:colOff>0</xdr:colOff>
                    <xdr:row>5</xdr:row>
                    <xdr:rowOff>0</xdr:rowOff>
                  </from>
                  <to>
                    <xdr:col>4</xdr:col>
                    <xdr:colOff>295275</xdr:colOff>
                    <xdr:row>6</xdr:row>
                    <xdr:rowOff>47625</xdr:rowOff>
                  </to>
                </anchor>
              </controlPr>
            </control>
          </mc:Choice>
        </mc:AlternateContent>
        <mc:AlternateContent xmlns:mc="http://schemas.openxmlformats.org/markup-compatibility/2006">
          <mc:Choice Requires="x14">
            <control shapeId="26188861" r:id="rId515" name="Check Box 2109">
              <controlPr defaultSize="0" autoFill="0" autoLine="0" autoPict="0">
                <anchor moveWithCells="1">
                  <from>
                    <xdr:col>9</xdr:col>
                    <xdr:colOff>0</xdr:colOff>
                    <xdr:row>4</xdr:row>
                    <xdr:rowOff>0</xdr:rowOff>
                  </from>
                  <to>
                    <xdr:col>9</xdr:col>
                    <xdr:colOff>295275</xdr:colOff>
                    <xdr:row>5</xdr:row>
                    <xdr:rowOff>47625</xdr:rowOff>
                  </to>
                </anchor>
              </controlPr>
            </control>
          </mc:Choice>
        </mc:AlternateContent>
        <mc:AlternateContent xmlns:mc="http://schemas.openxmlformats.org/markup-compatibility/2006">
          <mc:Choice Requires="x14">
            <control shapeId="26188862" r:id="rId516" name="Check Box 2110">
              <controlPr defaultSize="0" autoFill="0" autoLine="0" autoPict="0">
                <anchor moveWithCells="1">
                  <from>
                    <xdr:col>4</xdr:col>
                    <xdr:colOff>0</xdr:colOff>
                    <xdr:row>4</xdr:row>
                    <xdr:rowOff>0</xdr:rowOff>
                  </from>
                  <to>
                    <xdr:col>4</xdr:col>
                    <xdr:colOff>295275</xdr:colOff>
                    <xdr:row>5</xdr:row>
                    <xdr:rowOff>47625</xdr:rowOff>
                  </to>
                </anchor>
              </controlPr>
            </control>
          </mc:Choice>
        </mc:AlternateContent>
        <mc:AlternateContent xmlns:mc="http://schemas.openxmlformats.org/markup-compatibility/2006">
          <mc:Choice Requires="x14">
            <control shapeId="26188863" r:id="rId517" name="Check Box 2111">
              <controlPr defaultSize="0" autoFill="0" autoLine="0" autoPict="0">
                <anchor moveWithCells="1">
                  <from>
                    <xdr:col>9</xdr:col>
                    <xdr:colOff>0</xdr:colOff>
                    <xdr:row>3</xdr:row>
                    <xdr:rowOff>0</xdr:rowOff>
                  </from>
                  <to>
                    <xdr:col>9</xdr:col>
                    <xdr:colOff>295275</xdr:colOff>
                    <xdr:row>4</xdr:row>
                    <xdr:rowOff>47625</xdr:rowOff>
                  </to>
                </anchor>
              </controlPr>
            </control>
          </mc:Choice>
        </mc:AlternateContent>
        <mc:AlternateContent xmlns:mc="http://schemas.openxmlformats.org/markup-compatibility/2006">
          <mc:Choice Requires="x14">
            <control shapeId="26188864" r:id="rId518" name="Check Box 2112">
              <controlPr defaultSize="0" autoFill="0" autoLine="0" autoPict="0">
                <anchor moveWithCells="1">
                  <from>
                    <xdr:col>4</xdr:col>
                    <xdr:colOff>0</xdr:colOff>
                    <xdr:row>3</xdr:row>
                    <xdr:rowOff>0</xdr:rowOff>
                  </from>
                  <to>
                    <xdr:col>4</xdr:col>
                    <xdr:colOff>295275</xdr:colOff>
                    <xdr:row>4</xdr:row>
                    <xdr:rowOff>47625</xdr:rowOff>
                  </to>
                </anchor>
              </controlPr>
            </control>
          </mc:Choice>
        </mc:AlternateContent>
        <mc:AlternateContent xmlns:mc="http://schemas.openxmlformats.org/markup-compatibility/2006">
          <mc:Choice Requires="x14">
            <control shapeId="26188865" r:id="rId519" name="Check Box 2113">
              <controlPr defaultSize="0" autoFill="0" autoLine="0" autoPict="0">
                <anchor moveWithCells="1">
                  <from>
                    <xdr:col>9</xdr:col>
                    <xdr:colOff>0</xdr:colOff>
                    <xdr:row>2</xdr:row>
                    <xdr:rowOff>0</xdr:rowOff>
                  </from>
                  <to>
                    <xdr:col>9</xdr:col>
                    <xdr:colOff>295275</xdr:colOff>
                    <xdr:row>3</xdr:row>
                    <xdr:rowOff>28575</xdr:rowOff>
                  </to>
                </anchor>
              </controlPr>
            </control>
          </mc:Choice>
        </mc:AlternateContent>
        <mc:AlternateContent xmlns:mc="http://schemas.openxmlformats.org/markup-compatibility/2006">
          <mc:Choice Requires="x14">
            <control shapeId="26188866" r:id="rId520" name="Check Box 2114">
              <controlPr defaultSize="0" autoFill="0" autoLine="0" autoPict="0">
                <anchor moveWithCells="1">
                  <from>
                    <xdr:col>4</xdr:col>
                    <xdr:colOff>0</xdr:colOff>
                    <xdr:row>2</xdr:row>
                    <xdr:rowOff>0</xdr:rowOff>
                  </from>
                  <to>
                    <xdr:col>4</xdr:col>
                    <xdr:colOff>295275</xdr:colOff>
                    <xdr:row>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E199D-804A-47ED-A929-B415D9611F33}">
  <sheetPr codeName="Sheet40"/>
  <dimension ref="A1:R43"/>
  <sheetViews>
    <sheetView workbookViewId="0">
      <selection activeCell="A15" sqref="A15"/>
    </sheetView>
  </sheetViews>
  <sheetFormatPr defaultColWidth="9.140625" defaultRowHeight="15" x14ac:dyDescent="0.25"/>
  <cols>
    <col min="1" max="1" width="10.42578125" customWidth="1"/>
    <col min="2" max="2" width="21" customWidth="1"/>
    <col min="3" max="3" width="10.42578125" customWidth="1"/>
    <col min="4" max="4" width="20.7109375" customWidth="1"/>
    <col min="5" max="6" width="10.42578125" customWidth="1"/>
    <col min="7" max="7" width="20.7109375" customWidth="1"/>
    <col min="8" max="38" width="10.42578125" customWidth="1"/>
  </cols>
  <sheetData>
    <row r="1" spans="1:18" s="11" customFormat="1" ht="15" customHeight="1" x14ac:dyDescent="0.25">
      <c r="A1" s="5"/>
      <c r="B1" s="5"/>
      <c r="C1" s="7"/>
      <c r="D1" s="8"/>
      <c r="E1" s="5"/>
      <c r="F1" s="5"/>
      <c r="G1" s="5"/>
      <c r="H1" s="5"/>
      <c r="I1" s="5"/>
      <c r="J1" s="50"/>
      <c r="K1" s="5"/>
      <c r="L1" s="5"/>
      <c r="M1" s="50"/>
      <c r="N1" s="5"/>
      <c r="O1" s="5"/>
      <c r="P1" s="5"/>
      <c r="Q1" s="5"/>
      <c r="R1" s="50"/>
    </row>
    <row r="2" spans="1:18" ht="15" customHeight="1" x14ac:dyDescent="0.25">
      <c r="A2" s="240" t="s">
        <v>2805</v>
      </c>
      <c r="B2" s="241"/>
      <c r="C2" s="241"/>
      <c r="D2" s="241"/>
      <c r="E2" s="241"/>
      <c r="F2" s="241"/>
      <c r="G2" s="242"/>
      <c r="H2" s="217"/>
      <c r="I2" s="217"/>
      <c r="J2" s="217"/>
      <c r="K2" s="217"/>
      <c r="L2" s="57"/>
      <c r="M2" s="58"/>
      <c r="N2" s="14"/>
      <c r="O2" s="14"/>
      <c r="P2" s="14"/>
      <c r="Q2" s="14"/>
      <c r="R2" s="50"/>
    </row>
    <row r="3" spans="1:18" ht="15" customHeight="1" x14ac:dyDescent="0.25">
      <c r="A3" s="218" t="s">
        <v>2806</v>
      </c>
      <c r="B3" s="219" t="s">
        <v>2807</v>
      </c>
      <c r="C3" s="220" t="s">
        <v>2808</v>
      </c>
      <c r="D3" s="221" t="s">
        <v>2809</v>
      </c>
      <c r="E3" s="222" t="s">
        <v>2810</v>
      </c>
      <c r="F3" s="222" t="s">
        <v>2811</v>
      </c>
      <c r="G3" s="223" t="s">
        <v>2812</v>
      </c>
      <c r="H3" s="57"/>
      <c r="I3" s="57"/>
      <c r="J3" s="58"/>
      <c r="K3" s="57"/>
      <c r="L3" s="57"/>
      <c r="M3" s="58"/>
      <c r="N3" s="14"/>
      <c r="O3" s="14"/>
      <c r="P3" s="14"/>
      <c r="Q3" s="14"/>
      <c r="R3" s="50"/>
    </row>
    <row r="4" spans="1:18" ht="15" customHeight="1" x14ac:dyDescent="0.25">
      <c r="A4" s="224" t="s">
        <v>2813</v>
      </c>
      <c r="B4" s="219" t="s">
        <v>455</v>
      </c>
      <c r="C4" s="220" t="s">
        <v>2814</v>
      </c>
      <c r="D4" s="221" t="s">
        <v>2815</v>
      </c>
      <c r="E4" s="222" t="s">
        <v>459</v>
      </c>
      <c r="F4" s="222">
        <v>3550</v>
      </c>
      <c r="G4" s="223" t="s">
        <v>2816</v>
      </c>
      <c r="H4" s="57"/>
      <c r="I4" s="57"/>
      <c r="J4" s="58"/>
      <c r="K4" s="57"/>
      <c r="L4" s="57"/>
      <c r="M4" s="58"/>
      <c r="N4" s="14"/>
      <c r="O4" s="14"/>
      <c r="P4" s="14"/>
      <c r="Q4" s="14"/>
      <c r="R4" s="50"/>
    </row>
    <row r="5" spans="1:18" ht="15" customHeight="1" x14ac:dyDescent="0.25">
      <c r="A5" s="224" t="s">
        <v>2817</v>
      </c>
      <c r="B5" s="219" t="s">
        <v>411</v>
      </c>
      <c r="C5" s="220" t="s">
        <v>2818</v>
      </c>
      <c r="D5" s="221" t="s">
        <v>2819</v>
      </c>
      <c r="E5" s="222" t="s">
        <v>360</v>
      </c>
      <c r="F5" s="222">
        <v>3551</v>
      </c>
      <c r="G5" s="223" t="s">
        <v>2816</v>
      </c>
      <c r="H5" s="155"/>
      <c r="I5" s="155"/>
      <c r="J5" s="58"/>
      <c r="K5" s="155"/>
      <c r="L5" s="155"/>
      <c r="M5" s="58"/>
      <c r="N5" s="14"/>
      <c r="O5" s="14"/>
      <c r="P5" s="14"/>
      <c r="Q5" s="14"/>
      <c r="R5" s="50"/>
    </row>
    <row r="6" spans="1:18" ht="15" customHeight="1" x14ac:dyDescent="0.25">
      <c r="A6" s="224" t="s">
        <v>2820</v>
      </c>
      <c r="B6" s="219" t="s">
        <v>237</v>
      </c>
      <c r="C6" s="225">
        <v>34</v>
      </c>
      <c r="D6" s="226" t="s">
        <v>2821</v>
      </c>
      <c r="E6" s="222" t="s">
        <v>241</v>
      </c>
      <c r="F6" s="222">
        <v>3550</v>
      </c>
      <c r="G6" s="227" t="s">
        <v>1136</v>
      </c>
    </row>
    <row r="7" spans="1:18" ht="15" customHeight="1" x14ac:dyDescent="0.25">
      <c r="A7" s="228"/>
      <c r="B7" s="229"/>
      <c r="C7" s="229"/>
      <c r="D7" s="230"/>
      <c r="E7" s="229"/>
      <c r="F7" s="229"/>
      <c r="G7" s="195"/>
    </row>
    <row r="8" spans="1:18" ht="15" customHeight="1" x14ac:dyDescent="0.25">
      <c r="A8" s="228"/>
      <c r="B8" s="229"/>
      <c r="C8" s="229"/>
      <c r="D8" s="230"/>
      <c r="E8" s="229"/>
      <c r="F8" s="229"/>
      <c r="G8" s="195"/>
    </row>
    <row r="9" spans="1:18" ht="15" customHeight="1" x14ac:dyDescent="0.25">
      <c r="A9" s="228"/>
      <c r="B9" s="229"/>
      <c r="C9" s="229"/>
      <c r="D9" s="230"/>
      <c r="E9" s="229"/>
      <c r="F9" s="229"/>
      <c r="G9" s="195"/>
    </row>
    <row r="10" spans="1:18" ht="15" customHeight="1" x14ac:dyDescent="0.25">
      <c r="A10" s="228"/>
      <c r="B10" s="229"/>
      <c r="C10" s="229"/>
      <c r="D10" s="230"/>
      <c r="E10" s="229"/>
      <c r="F10" s="229"/>
      <c r="G10" s="195"/>
    </row>
    <row r="11" spans="1:18" ht="15" customHeight="1" x14ac:dyDescent="0.25">
      <c r="A11" s="228"/>
      <c r="B11" s="229"/>
      <c r="C11" s="229"/>
      <c r="D11" s="230"/>
      <c r="E11" s="229"/>
      <c r="F11" s="229"/>
      <c r="G11" s="195"/>
    </row>
    <row r="12" spans="1:18" ht="15" customHeight="1" x14ac:dyDescent="0.25">
      <c r="A12" s="228"/>
      <c r="B12" s="229"/>
      <c r="C12" s="229"/>
      <c r="D12" s="230"/>
      <c r="E12" s="229"/>
      <c r="F12" s="229"/>
      <c r="G12" s="195"/>
    </row>
    <row r="13" spans="1:18" x14ac:dyDescent="0.25">
      <c r="A13" s="228"/>
      <c r="B13" s="229"/>
      <c r="C13" s="229"/>
      <c r="D13" s="230"/>
      <c r="E13" s="229"/>
      <c r="F13" s="229"/>
      <c r="G13" s="195"/>
    </row>
    <row r="14" spans="1:18" x14ac:dyDescent="0.25">
      <c r="A14" s="228"/>
      <c r="B14" s="229"/>
      <c r="C14" s="229"/>
      <c r="D14" s="230"/>
      <c r="E14" s="229"/>
      <c r="F14" s="229"/>
      <c r="G14" s="195"/>
    </row>
    <row r="15" spans="1:18" x14ac:dyDescent="0.25">
      <c r="A15" s="228"/>
      <c r="B15" s="229"/>
      <c r="C15" s="229"/>
      <c r="D15" s="230"/>
      <c r="E15" s="229"/>
      <c r="F15" s="229"/>
      <c r="G15" s="195"/>
    </row>
    <row r="16" spans="1:18" x14ac:dyDescent="0.25">
      <c r="A16" s="228"/>
      <c r="B16" s="229"/>
      <c r="C16" s="231"/>
      <c r="D16" s="230"/>
      <c r="E16" s="229"/>
      <c r="F16" s="229"/>
      <c r="G16" s="195"/>
    </row>
    <row r="17" spans="1:7" x14ac:dyDescent="0.25">
      <c r="A17" s="228"/>
      <c r="B17" s="229"/>
      <c r="C17" s="229"/>
      <c r="D17" s="230"/>
      <c r="E17" s="229"/>
      <c r="F17" s="229"/>
      <c r="G17" s="195"/>
    </row>
    <row r="18" spans="1:7" x14ac:dyDescent="0.25">
      <c r="A18" s="228"/>
      <c r="B18" s="229"/>
      <c r="C18" s="229"/>
      <c r="D18" s="230"/>
      <c r="E18" s="229"/>
      <c r="F18" s="229"/>
      <c r="G18" s="195"/>
    </row>
    <row r="19" spans="1:7" x14ac:dyDescent="0.25">
      <c r="A19" s="228"/>
      <c r="B19" s="229"/>
      <c r="C19" s="229"/>
      <c r="D19" s="230"/>
      <c r="E19" s="229"/>
      <c r="F19" s="229"/>
      <c r="G19" s="195"/>
    </row>
    <row r="20" spans="1:7" x14ac:dyDescent="0.25">
      <c r="A20" s="228"/>
      <c r="B20" s="229"/>
      <c r="C20" s="229"/>
      <c r="D20" s="230"/>
      <c r="E20" s="229"/>
      <c r="F20" s="229"/>
      <c r="G20" s="195"/>
    </row>
    <row r="21" spans="1:7" x14ac:dyDescent="0.25">
      <c r="A21" s="228"/>
      <c r="B21" s="229"/>
      <c r="C21" s="229"/>
      <c r="D21" s="230"/>
      <c r="E21" s="229"/>
      <c r="F21" s="229"/>
      <c r="G21" s="195"/>
    </row>
    <row r="22" spans="1:7" x14ac:dyDescent="0.25">
      <c r="A22" s="228"/>
      <c r="B22" s="229"/>
      <c r="C22" s="229"/>
      <c r="D22" s="230"/>
      <c r="E22" s="229"/>
      <c r="F22" s="229"/>
      <c r="G22" s="195"/>
    </row>
    <row r="23" spans="1:7" x14ac:dyDescent="0.25">
      <c r="A23" s="228"/>
      <c r="B23" s="229"/>
      <c r="C23" s="229"/>
      <c r="D23" s="230"/>
      <c r="E23" s="229"/>
      <c r="F23" s="229"/>
      <c r="G23" s="195"/>
    </row>
    <row r="24" spans="1:7" x14ac:dyDescent="0.25">
      <c r="A24" s="228"/>
      <c r="B24" s="229"/>
      <c r="C24" s="229"/>
      <c r="D24" s="230"/>
      <c r="E24" s="229"/>
      <c r="F24" s="229"/>
      <c r="G24" s="195"/>
    </row>
    <row r="25" spans="1:7" x14ac:dyDescent="0.25">
      <c r="A25" s="228"/>
      <c r="B25" s="229"/>
      <c r="C25" s="229"/>
      <c r="D25" s="230"/>
      <c r="E25" s="229"/>
      <c r="F25" s="229"/>
      <c r="G25" s="195"/>
    </row>
    <row r="26" spans="1:7" x14ac:dyDescent="0.25">
      <c r="A26" s="228"/>
      <c r="B26" s="229"/>
      <c r="C26" s="229"/>
      <c r="D26" s="230"/>
      <c r="E26" s="229"/>
      <c r="F26" s="229"/>
      <c r="G26" s="195"/>
    </row>
    <row r="27" spans="1:7" x14ac:dyDescent="0.25">
      <c r="A27" s="228"/>
      <c r="B27" s="229"/>
      <c r="C27" s="229"/>
      <c r="D27" s="230"/>
      <c r="E27" s="229"/>
      <c r="F27" s="229"/>
      <c r="G27" s="195"/>
    </row>
    <row r="28" spans="1:7" x14ac:dyDescent="0.25">
      <c r="A28" s="228"/>
      <c r="B28" s="229"/>
      <c r="C28" s="229"/>
      <c r="D28" s="230"/>
      <c r="E28" s="229"/>
      <c r="F28" s="229"/>
      <c r="G28" s="195"/>
    </row>
    <row r="29" spans="1:7" x14ac:dyDescent="0.25">
      <c r="D29" s="52"/>
    </row>
    <row r="30" spans="1:7" x14ac:dyDescent="0.25">
      <c r="D30" s="52"/>
    </row>
    <row r="31" spans="1:7" x14ac:dyDescent="0.25">
      <c r="D31" s="52"/>
    </row>
    <row r="32" spans="1:7" x14ac:dyDescent="0.25">
      <c r="D32" s="52"/>
    </row>
    <row r="33" spans="3:4" x14ac:dyDescent="0.25">
      <c r="D33" s="52"/>
    </row>
    <row r="34" spans="3:4" x14ac:dyDescent="0.25">
      <c r="D34" s="52"/>
    </row>
    <row r="35" spans="3:4" x14ac:dyDescent="0.25">
      <c r="D35" s="52"/>
    </row>
    <row r="36" spans="3:4" x14ac:dyDescent="0.25">
      <c r="D36" s="52"/>
    </row>
    <row r="37" spans="3:4" x14ac:dyDescent="0.25">
      <c r="D37" s="52"/>
    </row>
    <row r="38" spans="3:4" x14ac:dyDescent="0.25">
      <c r="C38" s="41"/>
      <c r="D38" s="52"/>
    </row>
    <row r="39" spans="3:4" x14ac:dyDescent="0.25">
      <c r="D39" s="52"/>
    </row>
    <row r="40" spans="3:4" x14ac:dyDescent="0.25">
      <c r="D40" s="52"/>
    </row>
    <row r="41" spans="3:4" x14ac:dyDescent="0.25">
      <c r="D41" s="52"/>
    </row>
    <row r="42" spans="3:4" x14ac:dyDescent="0.25">
      <c r="D42" s="52"/>
    </row>
    <row r="43" spans="3:4" x14ac:dyDescent="0.25">
      <c r="D43" s="13"/>
    </row>
  </sheetData>
  <mergeCells count="1">
    <mergeCell ref="A2:G2"/>
  </mergeCells>
  <conditionalFormatting sqref="A6:R42">
    <cfRule type="expression" dxfId="7" priority="1">
      <formula>$H6="TBA"</formula>
    </cfRule>
    <cfRule type="expression" dxfId="6" priority="2">
      <formula>$H6="Other"</formula>
    </cfRule>
    <cfRule type="expression" dxfId="5" priority="3">
      <formula>$H6="Building"</formula>
    </cfRule>
    <cfRule type="expression" dxfId="4" priority="4">
      <formula>$H6="Planning &amp; Building"</formula>
    </cfRule>
  </conditionalFormatting>
  <dataValidations count="10">
    <dataValidation type="list" allowBlank="1" showInputMessage="1" showErrorMessage="1" sqref="G6:G42" xr:uid="{6CDAD5FA-A7E3-4CA6-B748-CDBF1B1B80CD}">
      <formula1>$G$2:$G$5</formula1>
    </dataValidation>
    <dataValidation type="list" allowBlank="1" showInputMessage="1" showErrorMessage="1" sqref="H6:H42" xr:uid="{4EF8C711-89A4-45B1-B7E5-2949A27FF6A9}">
      <formula1>$H$2:$H$4</formula1>
    </dataValidation>
    <dataValidation type="list" allowBlank="1" showInputMessage="1" showErrorMessage="1" sqref="I6:I42" xr:uid="{D4AC74F9-AB81-4719-8339-736C419F7109}">
      <formula1>$I$2:$I$4</formula1>
    </dataValidation>
    <dataValidation type="list" allowBlank="1" showInputMessage="1" showErrorMessage="1" sqref="K6:K42" xr:uid="{69B715A9-9E2E-45C2-86C5-3A251DBDCBF7}">
      <formula1>$K$2:$K$4</formula1>
    </dataValidation>
    <dataValidation type="list" allowBlank="1" showInputMessage="1" showErrorMessage="1" sqref="L6:L42" xr:uid="{B837D488-B82E-4EE3-9BD3-7D8059902F92}">
      <formula1>$L$2:$L$4</formula1>
    </dataValidation>
    <dataValidation type="list" allowBlank="1" showInputMessage="1" showErrorMessage="1" sqref="P6:P42" xr:uid="{72A1344D-EBED-4F87-BAA5-D5AA4718F09F}">
      <formula1>$P$2</formula1>
    </dataValidation>
    <dataValidation type="list" allowBlank="1" showInputMessage="1" showErrorMessage="1" sqref="Q6:R42" xr:uid="{36EBC324-B859-4477-859F-057FD51FB53C}">
      <formula1>$Q$2</formula1>
    </dataValidation>
    <dataValidation type="list" allowBlank="1" showInputMessage="1" showErrorMessage="1" sqref="N6:N42" xr:uid="{0D1688CB-5EB7-444F-8510-678C95FC5F14}">
      <formula1>#REF!</formula1>
    </dataValidation>
    <dataValidation type="list" allowBlank="1" showInputMessage="1" showErrorMessage="1" sqref="M6:M42" xr:uid="{0855705E-2657-4670-8B60-EBD15EFCF4DA}">
      <formula1>$M$2:$M$3</formula1>
    </dataValidation>
    <dataValidation type="list" allowBlank="1" showInputMessage="1" showErrorMessage="1" sqref="O6:O42" xr:uid="{FB5B7577-D05C-4B04-9221-39C658415D62}">
      <formula1>$O$2</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D32D14B-D74E-43E6-A9D7-57F2FC671082}">
          <x14:formula1>
            <xm:f>Current!$I$2:$I$225</xm:f>
          </x14:formula1>
          <xm:sqref>H3:H4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46"/>
  <sheetViews>
    <sheetView workbookViewId="0">
      <selection activeCell="E18" sqref="E18"/>
    </sheetView>
  </sheetViews>
  <sheetFormatPr defaultColWidth="9.140625" defaultRowHeight="15" x14ac:dyDescent="0.25"/>
  <cols>
    <col min="1" max="1" width="10.42578125" bestFit="1" customWidth="1"/>
    <col min="2" max="2" width="24.7109375" customWidth="1"/>
    <col min="3" max="3" width="16.5703125" customWidth="1"/>
    <col min="4" max="4" width="13.85546875" customWidth="1"/>
    <col min="5" max="5" width="17.42578125" customWidth="1"/>
    <col min="6" max="6" width="14.7109375" customWidth="1"/>
    <col min="7" max="7" width="15.5703125" customWidth="1"/>
    <col min="8" max="9" width="13.140625" bestFit="1" customWidth="1"/>
    <col min="11" max="11" width="13.28515625" customWidth="1"/>
    <col min="12" max="12" width="13.140625" bestFit="1" customWidth="1"/>
    <col min="13" max="13" width="11.7109375" customWidth="1"/>
    <col min="14" max="15" width="8.140625" customWidth="1"/>
    <col min="16" max="16" width="12.140625" customWidth="1"/>
    <col min="17" max="17" width="12.28515625" bestFit="1" customWidth="1"/>
    <col min="18" max="18" width="23.85546875" customWidth="1"/>
  </cols>
  <sheetData>
    <row r="1" spans="1:18" s="11" customFormat="1" ht="45.75" thickBot="1" x14ac:dyDescent="0.3">
      <c r="A1" s="1" t="s">
        <v>2</v>
      </c>
      <c r="B1" s="3" t="s">
        <v>3</v>
      </c>
      <c r="C1" s="16" t="s">
        <v>4</v>
      </c>
      <c r="D1" s="2" t="s">
        <v>5</v>
      </c>
      <c r="E1" s="3" t="s">
        <v>7</v>
      </c>
      <c r="F1" s="3" t="s">
        <v>8</v>
      </c>
      <c r="G1" s="3" t="s">
        <v>9</v>
      </c>
      <c r="H1" s="3" t="s">
        <v>716</v>
      </c>
      <c r="I1" s="3" t="s">
        <v>2822</v>
      </c>
      <c r="J1" s="4" t="s">
        <v>2823</v>
      </c>
      <c r="K1" s="3" t="s">
        <v>2824</v>
      </c>
      <c r="L1" s="3" t="s">
        <v>2825</v>
      </c>
      <c r="M1" s="4" t="s">
        <v>2826</v>
      </c>
      <c r="N1" s="3" t="s">
        <v>2823</v>
      </c>
      <c r="O1" s="3" t="s">
        <v>2827</v>
      </c>
      <c r="P1" s="3" t="s">
        <v>2828</v>
      </c>
      <c r="Q1" s="3" t="s">
        <v>2829</v>
      </c>
      <c r="R1" s="17" t="s">
        <v>722</v>
      </c>
    </row>
    <row r="2" spans="1:18" ht="22.5" customHeight="1" x14ac:dyDescent="0.25">
      <c r="A2" s="18"/>
      <c r="B2" s="24"/>
      <c r="C2" s="20"/>
      <c r="D2" s="21"/>
      <c r="E2" s="19"/>
      <c r="F2" s="19"/>
      <c r="G2" s="55" t="s">
        <v>29</v>
      </c>
      <c r="H2" s="55" t="s">
        <v>30</v>
      </c>
      <c r="I2" s="55" t="s">
        <v>2830</v>
      </c>
      <c r="J2" s="56"/>
      <c r="K2" s="55" t="s">
        <v>31</v>
      </c>
      <c r="L2" s="55" t="s">
        <v>2831</v>
      </c>
      <c r="M2" s="56" t="s">
        <v>32</v>
      </c>
      <c r="N2" s="25"/>
      <c r="O2" s="25" t="s">
        <v>32</v>
      </c>
      <c r="P2" s="25" t="s">
        <v>32</v>
      </c>
      <c r="Q2" s="25" t="s">
        <v>32</v>
      </c>
      <c r="R2" s="22"/>
    </row>
    <row r="3" spans="1:18" ht="33" customHeight="1" x14ac:dyDescent="0.25">
      <c r="A3" s="26"/>
      <c r="B3" s="6"/>
      <c r="C3" s="7"/>
      <c r="D3" s="8"/>
      <c r="E3" s="5"/>
      <c r="F3" s="5"/>
      <c r="G3" s="57" t="s">
        <v>33</v>
      </c>
      <c r="H3" s="57" t="s">
        <v>782</v>
      </c>
      <c r="I3" s="57" t="s">
        <v>2832</v>
      </c>
      <c r="J3" s="58"/>
      <c r="K3" s="57" t="s">
        <v>35</v>
      </c>
      <c r="L3" s="57" t="s">
        <v>2807</v>
      </c>
      <c r="M3" s="58" t="s">
        <v>36</v>
      </c>
      <c r="N3" s="14"/>
      <c r="O3" s="14"/>
      <c r="P3" s="14"/>
      <c r="Q3" s="14"/>
      <c r="R3" s="27"/>
    </row>
    <row r="4" spans="1:18" ht="39" customHeight="1" x14ac:dyDescent="0.25">
      <c r="A4" s="26"/>
      <c r="B4" s="6"/>
      <c r="C4" s="7"/>
      <c r="D4" s="8"/>
      <c r="E4" s="5"/>
      <c r="F4" s="5"/>
      <c r="G4" s="57" t="s">
        <v>37</v>
      </c>
      <c r="H4" s="57" t="s">
        <v>38</v>
      </c>
      <c r="I4" s="57" t="s">
        <v>96</v>
      </c>
      <c r="J4" s="58"/>
      <c r="K4" s="57" t="s">
        <v>67</v>
      </c>
      <c r="L4" s="57" t="s">
        <v>2833</v>
      </c>
      <c r="M4" s="58"/>
      <c r="N4" s="14"/>
      <c r="O4" s="14"/>
      <c r="P4" s="14"/>
      <c r="Q4" s="14"/>
      <c r="R4" s="27"/>
    </row>
    <row r="5" spans="1:18" ht="33" customHeight="1" x14ac:dyDescent="0.25">
      <c r="A5" s="26"/>
      <c r="B5" s="6"/>
      <c r="C5" s="7"/>
      <c r="D5" s="8"/>
      <c r="E5" s="5"/>
      <c r="F5" s="5"/>
      <c r="G5" s="57" t="s">
        <v>40</v>
      </c>
      <c r="H5" s="57" t="s">
        <v>44</v>
      </c>
      <c r="I5" s="57" t="s">
        <v>44</v>
      </c>
      <c r="J5" s="58"/>
      <c r="K5" s="57" t="s">
        <v>303</v>
      </c>
      <c r="L5" s="57" t="s">
        <v>44</v>
      </c>
      <c r="M5" s="58"/>
      <c r="N5" s="14"/>
      <c r="O5" s="14"/>
      <c r="P5" s="14"/>
      <c r="Q5" s="14"/>
      <c r="R5" s="27"/>
    </row>
    <row r="6" spans="1:18" ht="15.75" customHeight="1" x14ac:dyDescent="0.25">
      <c r="A6" s="26"/>
      <c r="B6" s="6"/>
      <c r="C6" s="7"/>
      <c r="D6" s="8"/>
      <c r="E6" s="5"/>
      <c r="F6" s="5"/>
      <c r="G6" s="57" t="s">
        <v>42</v>
      </c>
      <c r="H6" s="57" t="s">
        <v>2833</v>
      </c>
      <c r="I6" s="57"/>
      <c r="J6" s="58"/>
      <c r="K6" s="57" t="s">
        <v>429</v>
      </c>
      <c r="L6" s="57"/>
      <c r="M6" s="58"/>
      <c r="N6" s="14"/>
      <c r="O6" s="14"/>
      <c r="P6" s="14"/>
      <c r="Q6" s="14"/>
      <c r="R6" s="27"/>
    </row>
    <row r="7" spans="1:18" ht="18.75" customHeight="1" thickBot="1" x14ac:dyDescent="0.3">
      <c r="A7" s="28"/>
      <c r="B7" s="29"/>
      <c r="C7" s="30"/>
      <c r="D7" s="31"/>
      <c r="E7" s="32"/>
      <c r="F7" s="32"/>
      <c r="G7" s="59" t="s">
        <v>44</v>
      </c>
      <c r="H7" s="60"/>
      <c r="I7" s="60"/>
      <c r="J7" s="61"/>
      <c r="K7" s="60"/>
      <c r="L7" s="60"/>
      <c r="M7" s="61"/>
      <c r="N7" s="33"/>
      <c r="O7" s="33"/>
      <c r="P7" s="33"/>
      <c r="Q7" s="33"/>
      <c r="R7" s="35"/>
    </row>
    <row r="8" spans="1:18" x14ac:dyDescent="0.25">
      <c r="A8" s="10"/>
      <c r="B8" s="10"/>
      <c r="C8" s="10"/>
      <c r="D8" s="23"/>
      <c r="E8" s="10"/>
      <c r="F8" s="10"/>
      <c r="G8" s="10"/>
      <c r="H8" s="10"/>
      <c r="I8" s="10"/>
      <c r="J8" s="10"/>
      <c r="K8" s="10"/>
      <c r="L8" s="10"/>
      <c r="M8" s="10"/>
      <c r="N8" s="10"/>
      <c r="O8" s="10"/>
      <c r="P8" s="10"/>
      <c r="Q8" s="10"/>
      <c r="R8" s="10"/>
    </row>
    <row r="9" spans="1:18" x14ac:dyDescent="0.25">
      <c r="A9" s="9"/>
      <c r="B9" s="9"/>
      <c r="C9" s="9"/>
      <c r="D9" s="12"/>
      <c r="E9" s="9"/>
      <c r="F9" s="9"/>
      <c r="G9" s="9"/>
      <c r="H9" s="9"/>
      <c r="I9" s="9"/>
      <c r="J9" s="9"/>
      <c r="K9" s="9"/>
      <c r="L9" s="9"/>
      <c r="M9" s="9"/>
      <c r="N9" s="9"/>
      <c r="O9" s="9"/>
      <c r="P9" s="9"/>
      <c r="Q9" s="9"/>
      <c r="R9" s="9"/>
    </row>
    <row r="10" spans="1:18" x14ac:dyDescent="0.25">
      <c r="A10" s="9"/>
      <c r="B10" s="9"/>
      <c r="C10" s="9"/>
      <c r="D10" s="12"/>
      <c r="E10" s="9"/>
      <c r="F10" s="9"/>
      <c r="G10" s="9"/>
      <c r="H10" s="9"/>
      <c r="I10" s="9"/>
      <c r="J10" s="9"/>
      <c r="K10" s="9"/>
      <c r="L10" s="9"/>
      <c r="M10" s="9"/>
      <c r="N10" s="9"/>
      <c r="O10" s="9"/>
      <c r="P10" s="9"/>
      <c r="Q10" s="9"/>
      <c r="R10" s="9"/>
    </row>
    <row r="11" spans="1:18" x14ac:dyDescent="0.25">
      <c r="A11" s="9"/>
      <c r="B11" s="9"/>
      <c r="C11" s="9"/>
      <c r="D11" s="12"/>
      <c r="E11" s="9"/>
      <c r="F11" s="9"/>
      <c r="G11" s="9"/>
      <c r="H11" s="9"/>
      <c r="I11" s="9"/>
      <c r="J11" s="9"/>
      <c r="K11" s="9"/>
      <c r="L11" s="9"/>
      <c r="M11" s="9"/>
      <c r="N11" s="9"/>
      <c r="O11" s="9"/>
      <c r="P11" s="9"/>
      <c r="Q11" s="9"/>
      <c r="R11" s="9"/>
    </row>
    <row r="12" spans="1:18" x14ac:dyDescent="0.25">
      <c r="A12" s="9"/>
      <c r="B12" s="9"/>
      <c r="C12" s="9"/>
      <c r="D12" s="12"/>
      <c r="E12" s="9"/>
      <c r="F12" s="9"/>
      <c r="G12" s="9"/>
      <c r="H12" s="9"/>
      <c r="I12" s="9"/>
      <c r="J12" s="9"/>
      <c r="K12" s="9"/>
      <c r="L12" s="9"/>
      <c r="M12" s="9"/>
      <c r="N12" s="9"/>
      <c r="O12" s="9"/>
      <c r="P12" s="9"/>
      <c r="Q12" s="9"/>
      <c r="R12" s="9"/>
    </row>
    <row r="13" spans="1:18" x14ac:dyDescent="0.25">
      <c r="A13" s="9"/>
      <c r="B13" s="9"/>
      <c r="C13" s="9"/>
      <c r="D13" s="12"/>
      <c r="E13" s="9"/>
      <c r="F13" s="9"/>
      <c r="G13" s="9"/>
      <c r="H13" s="9"/>
      <c r="I13" s="9"/>
      <c r="J13" s="9"/>
      <c r="K13" s="9"/>
      <c r="L13" s="9"/>
      <c r="M13" s="9"/>
      <c r="N13" s="9"/>
      <c r="O13" s="9"/>
      <c r="P13" s="9"/>
      <c r="Q13" s="9"/>
      <c r="R13" s="9"/>
    </row>
    <row r="14" spans="1:18" x14ac:dyDescent="0.25">
      <c r="A14" s="9"/>
      <c r="B14" s="9"/>
      <c r="C14" s="9"/>
      <c r="D14" s="12"/>
      <c r="E14" s="9"/>
      <c r="F14" s="9"/>
      <c r="G14" s="9"/>
      <c r="H14" s="9"/>
      <c r="I14" s="9"/>
      <c r="J14" s="9"/>
      <c r="K14" s="9"/>
      <c r="L14" s="9"/>
      <c r="M14" s="9"/>
      <c r="N14" s="9"/>
      <c r="O14" s="9"/>
      <c r="P14" s="9"/>
      <c r="Q14" s="9"/>
      <c r="R14" s="9"/>
    </row>
    <row r="15" spans="1:18" x14ac:dyDescent="0.25">
      <c r="A15" s="9"/>
      <c r="B15" s="9"/>
      <c r="C15" s="9"/>
      <c r="D15" s="12"/>
      <c r="E15" s="9"/>
      <c r="F15" s="9"/>
      <c r="G15" s="9"/>
      <c r="H15" s="9"/>
      <c r="I15" s="9"/>
      <c r="J15" s="9"/>
      <c r="K15" s="9"/>
      <c r="L15" s="9"/>
      <c r="M15" s="9"/>
      <c r="N15" s="9"/>
      <c r="O15" s="9"/>
      <c r="P15" s="9"/>
      <c r="Q15" s="9"/>
      <c r="R15" s="9"/>
    </row>
    <row r="16" spans="1:18" x14ac:dyDescent="0.25">
      <c r="A16" s="9"/>
      <c r="B16" s="9"/>
      <c r="C16" s="9"/>
      <c r="D16" s="12"/>
      <c r="E16" s="9"/>
      <c r="F16" s="9"/>
      <c r="G16" s="9"/>
      <c r="H16" s="9"/>
      <c r="I16" s="9"/>
      <c r="J16" s="9"/>
      <c r="K16" s="9"/>
      <c r="L16" s="9"/>
      <c r="M16" s="9"/>
      <c r="N16" s="9"/>
      <c r="O16" s="9"/>
      <c r="P16" s="9"/>
      <c r="Q16" s="9"/>
      <c r="R16" s="9"/>
    </row>
    <row r="17" spans="1:18" x14ac:dyDescent="0.25">
      <c r="A17" s="9"/>
      <c r="B17" s="9"/>
      <c r="C17" s="9"/>
      <c r="D17" s="12"/>
      <c r="E17" s="9"/>
      <c r="F17" s="9"/>
      <c r="G17" s="9"/>
      <c r="H17" s="9"/>
      <c r="I17" s="9"/>
      <c r="J17" s="9"/>
      <c r="K17" s="9"/>
      <c r="L17" s="9"/>
      <c r="M17" s="9"/>
      <c r="N17" s="9"/>
      <c r="O17" s="9"/>
      <c r="P17" s="9"/>
      <c r="Q17" s="9"/>
      <c r="R17" s="9"/>
    </row>
    <row r="18" spans="1:18" x14ac:dyDescent="0.25">
      <c r="A18" s="9"/>
      <c r="B18" s="9"/>
      <c r="C18" s="9"/>
      <c r="D18" s="12"/>
      <c r="E18" s="9"/>
      <c r="F18" s="9"/>
      <c r="G18" s="9"/>
      <c r="H18" s="9"/>
      <c r="I18" s="9"/>
      <c r="J18" s="9"/>
      <c r="K18" s="9"/>
      <c r="L18" s="9"/>
      <c r="M18" s="9"/>
      <c r="N18" s="9"/>
      <c r="O18" s="9"/>
      <c r="P18" s="9"/>
      <c r="Q18" s="9"/>
      <c r="R18" s="9"/>
    </row>
    <row r="19" spans="1:18" x14ac:dyDescent="0.25">
      <c r="A19" s="9"/>
      <c r="B19" s="9"/>
      <c r="C19" s="36"/>
      <c r="D19" s="12"/>
      <c r="E19" s="9"/>
      <c r="F19" s="9"/>
      <c r="G19" s="9"/>
      <c r="H19" s="9"/>
      <c r="I19" s="9"/>
      <c r="J19" s="9"/>
      <c r="K19" s="9"/>
      <c r="L19" s="9"/>
      <c r="M19" s="9"/>
      <c r="N19" s="9"/>
      <c r="O19" s="9"/>
      <c r="P19" s="9"/>
      <c r="Q19" s="9"/>
      <c r="R19" s="9"/>
    </row>
    <row r="20" spans="1:18" x14ac:dyDescent="0.25">
      <c r="A20" s="9"/>
      <c r="B20" s="9"/>
      <c r="C20" s="9"/>
      <c r="D20" s="12"/>
      <c r="E20" s="9"/>
      <c r="F20" s="9"/>
      <c r="G20" s="9"/>
      <c r="H20" s="9"/>
      <c r="I20" s="9"/>
      <c r="J20" s="9"/>
      <c r="K20" s="9"/>
      <c r="L20" s="9"/>
      <c r="M20" s="9"/>
      <c r="N20" s="9"/>
      <c r="O20" s="9"/>
      <c r="P20" s="9"/>
      <c r="Q20" s="9"/>
      <c r="R20" s="9"/>
    </row>
    <row r="21" spans="1:18" x14ac:dyDescent="0.25">
      <c r="A21" s="9"/>
      <c r="B21" s="9"/>
      <c r="C21" s="9"/>
      <c r="D21" s="12"/>
      <c r="E21" s="9"/>
      <c r="F21" s="9"/>
      <c r="G21" s="9"/>
      <c r="H21" s="9"/>
      <c r="I21" s="9"/>
      <c r="J21" s="9"/>
      <c r="K21" s="9"/>
      <c r="L21" s="9"/>
      <c r="M21" s="9"/>
      <c r="N21" s="9"/>
      <c r="O21" s="9"/>
      <c r="P21" s="9"/>
      <c r="Q21" s="9"/>
      <c r="R21" s="9"/>
    </row>
    <row r="22" spans="1:18" x14ac:dyDescent="0.25">
      <c r="A22" s="9"/>
      <c r="B22" s="9"/>
      <c r="C22" s="9"/>
      <c r="D22" s="12"/>
      <c r="E22" s="9"/>
      <c r="F22" s="9"/>
      <c r="G22" s="9"/>
      <c r="H22" s="9"/>
      <c r="I22" s="9"/>
      <c r="J22" s="9"/>
      <c r="K22" s="9"/>
      <c r="L22" s="9"/>
      <c r="M22" s="9"/>
      <c r="N22" s="9"/>
      <c r="O22" s="9"/>
      <c r="P22" s="9"/>
      <c r="Q22" s="9"/>
      <c r="R22" s="9"/>
    </row>
    <row r="23" spans="1:18" x14ac:dyDescent="0.25">
      <c r="A23" s="9"/>
      <c r="B23" s="9"/>
      <c r="C23" s="9"/>
      <c r="D23" s="12"/>
      <c r="E23" s="9"/>
      <c r="F23" s="9"/>
      <c r="G23" s="9"/>
      <c r="H23" s="9"/>
      <c r="I23" s="9"/>
      <c r="J23" s="9"/>
      <c r="K23" s="9"/>
      <c r="L23" s="9"/>
      <c r="M23" s="9"/>
      <c r="N23" s="9"/>
      <c r="O23" s="9"/>
      <c r="P23" s="9"/>
      <c r="Q23" s="9"/>
      <c r="R23" s="9"/>
    </row>
    <row r="24" spans="1:18" x14ac:dyDescent="0.25">
      <c r="A24" s="9"/>
      <c r="B24" s="9"/>
      <c r="C24" s="9"/>
      <c r="D24" s="12"/>
      <c r="E24" s="9"/>
      <c r="F24" s="9"/>
      <c r="G24" s="9"/>
      <c r="H24" s="9"/>
      <c r="I24" s="9"/>
      <c r="J24" s="9"/>
      <c r="K24" s="9"/>
      <c r="L24" s="9"/>
      <c r="M24" s="9"/>
      <c r="N24" s="9"/>
      <c r="O24" s="9"/>
      <c r="P24" s="9"/>
      <c r="Q24" s="9"/>
      <c r="R24" s="9"/>
    </row>
    <row r="25" spans="1:18" x14ac:dyDescent="0.25">
      <c r="A25" s="9"/>
      <c r="B25" s="9"/>
      <c r="C25" s="9"/>
      <c r="D25" s="12"/>
      <c r="E25" s="9"/>
      <c r="F25" s="9"/>
      <c r="G25" s="9"/>
      <c r="H25" s="9"/>
      <c r="I25" s="9"/>
      <c r="J25" s="9"/>
      <c r="K25" s="9"/>
      <c r="L25" s="9"/>
      <c r="M25" s="9"/>
      <c r="N25" s="9"/>
      <c r="O25" s="9"/>
      <c r="P25" s="9"/>
      <c r="Q25" s="9"/>
      <c r="R25" s="9"/>
    </row>
    <row r="26" spans="1:18" x14ac:dyDescent="0.25">
      <c r="A26" s="9"/>
      <c r="B26" s="9"/>
      <c r="C26" s="9"/>
      <c r="D26" s="12"/>
      <c r="E26" s="9"/>
      <c r="F26" s="9"/>
      <c r="G26" s="9"/>
      <c r="H26" s="9"/>
      <c r="I26" s="9"/>
      <c r="J26" s="9"/>
      <c r="K26" s="9"/>
      <c r="L26" s="9"/>
      <c r="M26" s="9"/>
      <c r="N26" s="9"/>
      <c r="O26" s="9"/>
      <c r="P26" s="9"/>
      <c r="Q26" s="9"/>
      <c r="R26" s="9"/>
    </row>
    <row r="27" spans="1:18" x14ac:dyDescent="0.25">
      <c r="A27" s="9"/>
      <c r="B27" s="9"/>
      <c r="C27" s="9"/>
      <c r="D27" s="12"/>
      <c r="E27" s="9"/>
      <c r="F27" s="9"/>
      <c r="G27" s="9"/>
      <c r="H27" s="9"/>
      <c r="I27" s="9"/>
      <c r="J27" s="9"/>
      <c r="K27" s="9"/>
      <c r="L27" s="9"/>
      <c r="M27" s="9"/>
      <c r="N27" s="9"/>
      <c r="O27" s="9"/>
      <c r="P27" s="9"/>
      <c r="Q27" s="9"/>
      <c r="R27" s="9"/>
    </row>
    <row r="28" spans="1:18" x14ac:dyDescent="0.25">
      <c r="A28" s="9"/>
      <c r="B28" s="9"/>
      <c r="C28" s="9"/>
      <c r="D28" s="12"/>
      <c r="E28" s="9"/>
      <c r="F28" s="9"/>
      <c r="G28" s="9"/>
      <c r="H28" s="9"/>
      <c r="I28" s="9"/>
      <c r="J28" s="9"/>
      <c r="K28" s="9"/>
      <c r="L28" s="9"/>
      <c r="M28" s="9"/>
      <c r="N28" s="9"/>
      <c r="O28" s="9"/>
      <c r="P28" s="9"/>
      <c r="Q28" s="9"/>
      <c r="R28" s="9"/>
    </row>
    <row r="29" spans="1:18" x14ac:dyDescent="0.25">
      <c r="A29" s="9"/>
      <c r="B29" s="9"/>
      <c r="C29" s="9"/>
      <c r="D29" s="12"/>
      <c r="E29" s="9"/>
      <c r="F29" s="9"/>
      <c r="G29" s="9"/>
      <c r="H29" s="9"/>
      <c r="I29" s="9"/>
      <c r="J29" s="9"/>
      <c r="K29" s="9"/>
      <c r="L29" s="9"/>
      <c r="M29" s="9"/>
      <c r="N29" s="9"/>
      <c r="O29" s="9"/>
      <c r="P29" s="9"/>
      <c r="Q29" s="9"/>
      <c r="R29" s="9"/>
    </row>
    <row r="30" spans="1:18" x14ac:dyDescent="0.25">
      <c r="A30" s="9"/>
      <c r="B30" s="9"/>
      <c r="C30" s="9"/>
      <c r="D30" s="12"/>
      <c r="E30" s="9"/>
      <c r="F30" s="9"/>
      <c r="G30" s="9"/>
      <c r="H30" s="9"/>
      <c r="I30" s="9"/>
      <c r="J30" s="9"/>
      <c r="K30" s="9"/>
      <c r="L30" s="9"/>
      <c r="M30" s="9"/>
      <c r="N30" s="9"/>
      <c r="O30" s="9"/>
      <c r="P30" s="9"/>
      <c r="Q30" s="9"/>
      <c r="R30" s="9"/>
    </row>
    <row r="31" spans="1:18" x14ac:dyDescent="0.25">
      <c r="A31" s="9"/>
      <c r="B31" s="9"/>
      <c r="C31" s="9"/>
      <c r="D31" s="12"/>
      <c r="E31" s="9"/>
      <c r="F31" s="9"/>
      <c r="G31" s="9"/>
      <c r="H31" s="9"/>
      <c r="I31" s="9"/>
      <c r="J31" s="9"/>
      <c r="K31" s="9"/>
      <c r="L31" s="9"/>
      <c r="M31" s="9"/>
      <c r="N31" s="9"/>
      <c r="O31" s="9"/>
      <c r="P31" s="9"/>
      <c r="Q31" s="9"/>
      <c r="R31" s="9"/>
    </row>
    <row r="32" spans="1:18" x14ac:dyDescent="0.25">
      <c r="A32" s="9"/>
      <c r="B32" s="9"/>
      <c r="C32" s="9"/>
      <c r="D32" s="12"/>
      <c r="E32" s="9"/>
      <c r="F32" s="9"/>
      <c r="G32" s="9"/>
      <c r="H32" s="9"/>
      <c r="I32" s="9"/>
      <c r="J32" s="9"/>
      <c r="K32" s="9"/>
      <c r="L32" s="9"/>
      <c r="M32" s="9"/>
      <c r="N32" s="9"/>
      <c r="O32" s="9"/>
      <c r="P32" s="9"/>
      <c r="Q32" s="9"/>
      <c r="R32" s="9"/>
    </row>
    <row r="33" spans="1:18" x14ac:dyDescent="0.25">
      <c r="A33" s="9"/>
      <c r="B33" s="9"/>
      <c r="C33" s="9"/>
      <c r="D33" s="12"/>
      <c r="E33" s="9"/>
      <c r="F33" s="9"/>
      <c r="G33" s="9"/>
      <c r="H33" s="9"/>
      <c r="I33" s="9"/>
      <c r="J33" s="9"/>
      <c r="K33" s="9"/>
      <c r="L33" s="9"/>
      <c r="M33" s="9"/>
      <c r="N33" s="9"/>
      <c r="O33" s="9"/>
      <c r="P33" s="9"/>
      <c r="Q33" s="9"/>
      <c r="R33" s="9"/>
    </row>
    <row r="34" spans="1:18" x14ac:dyDescent="0.25">
      <c r="A34" s="9"/>
      <c r="B34" s="9"/>
      <c r="C34" s="9"/>
      <c r="D34" s="12"/>
      <c r="E34" s="9"/>
      <c r="F34" s="9"/>
      <c r="G34" s="9"/>
      <c r="H34" s="9"/>
      <c r="I34" s="9"/>
      <c r="J34" s="9"/>
      <c r="K34" s="9"/>
      <c r="L34" s="9"/>
      <c r="M34" s="9"/>
      <c r="N34" s="9"/>
      <c r="O34" s="9"/>
      <c r="P34" s="9"/>
      <c r="Q34" s="9"/>
      <c r="R34" s="9"/>
    </row>
    <row r="35" spans="1:18" x14ac:dyDescent="0.25">
      <c r="A35" s="9"/>
      <c r="B35" s="9"/>
      <c r="C35" s="9"/>
      <c r="D35" s="12"/>
      <c r="E35" s="9"/>
      <c r="F35" s="9"/>
      <c r="G35" s="9"/>
      <c r="H35" s="9"/>
      <c r="I35" s="9"/>
      <c r="J35" s="9"/>
      <c r="K35" s="9"/>
      <c r="L35" s="9"/>
      <c r="M35" s="9"/>
      <c r="N35" s="9"/>
      <c r="O35" s="9"/>
      <c r="P35" s="9"/>
      <c r="Q35" s="9"/>
      <c r="R35" s="9"/>
    </row>
    <row r="36" spans="1:18" x14ac:dyDescent="0.25">
      <c r="A36" s="9"/>
      <c r="B36" s="9"/>
      <c r="C36" s="9"/>
      <c r="D36" s="12"/>
      <c r="E36" s="9"/>
      <c r="F36" s="9"/>
      <c r="G36" s="9"/>
      <c r="H36" s="9"/>
      <c r="I36" s="9"/>
      <c r="J36" s="9"/>
      <c r="K36" s="9"/>
      <c r="L36" s="9"/>
      <c r="M36" s="9"/>
      <c r="N36" s="9"/>
      <c r="O36" s="9"/>
      <c r="P36" s="9"/>
      <c r="Q36" s="9"/>
      <c r="R36" s="9"/>
    </row>
    <row r="37" spans="1:18" x14ac:dyDescent="0.25">
      <c r="A37" s="9"/>
      <c r="B37" s="9"/>
      <c r="C37" s="9"/>
      <c r="D37" s="12"/>
      <c r="E37" s="9"/>
      <c r="F37" s="9"/>
      <c r="G37" s="9"/>
      <c r="H37" s="9"/>
      <c r="I37" s="9"/>
      <c r="J37" s="9"/>
      <c r="K37" s="9"/>
      <c r="L37" s="9"/>
      <c r="M37" s="9"/>
      <c r="N37" s="9"/>
      <c r="O37" s="9"/>
      <c r="P37" s="9"/>
      <c r="Q37" s="9"/>
      <c r="R37" s="9"/>
    </row>
    <row r="38" spans="1:18" x14ac:dyDescent="0.25">
      <c r="A38" s="9"/>
      <c r="B38" s="9"/>
      <c r="C38" s="9"/>
      <c r="D38" s="12"/>
      <c r="E38" s="9"/>
      <c r="F38" s="9"/>
      <c r="G38" s="9"/>
      <c r="H38" s="9"/>
      <c r="I38" s="9"/>
      <c r="J38" s="9"/>
      <c r="K38" s="9"/>
      <c r="L38" s="9"/>
      <c r="M38" s="9"/>
      <c r="N38" s="9"/>
      <c r="O38" s="9"/>
      <c r="P38" s="9"/>
      <c r="Q38" s="9"/>
      <c r="R38" s="9"/>
    </row>
    <row r="39" spans="1:18" x14ac:dyDescent="0.25">
      <c r="A39" s="9"/>
      <c r="B39" s="9"/>
      <c r="C39" s="9"/>
      <c r="D39" s="12"/>
      <c r="E39" s="9"/>
      <c r="F39" s="9"/>
      <c r="G39" s="9"/>
      <c r="H39" s="9"/>
      <c r="I39" s="9"/>
      <c r="J39" s="9"/>
      <c r="K39" s="9"/>
      <c r="L39" s="9"/>
      <c r="M39" s="9"/>
      <c r="N39" s="9"/>
      <c r="O39" s="9"/>
      <c r="P39" s="9"/>
      <c r="Q39" s="9"/>
      <c r="R39" s="9"/>
    </row>
    <row r="40" spans="1:18" x14ac:dyDescent="0.25">
      <c r="A40" s="9"/>
      <c r="B40" s="9"/>
      <c r="C40" s="9"/>
      <c r="D40" s="12"/>
      <c r="E40" s="9"/>
      <c r="F40" s="9"/>
      <c r="G40" s="9"/>
      <c r="H40" s="9"/>
      <c r="I40" s="9"/>
      <c r="J40" s="9"/>
      <c r="K40" s="9"/>
      <c r="L40" s="9"/>
      <c r="M40" s="9"/>
      <c r="N40" s="9"/>
      <c r="O40" s="9"/>
      <c r="P40" s="9"/>
      <c r="Q40" s="9"/>
      <c r="R40" s="9"/>
    </row>
    <row r="41" spans="1:18" x14ac:dyDescent="0.25">
      <c r="A41" s="9"/>
      <c r="B41" s="9"/>
      <c r="C41" s="36"/>
      <c r="D41" s="12"/>
      <c r="E41" s="9"/>
      <c r="F41" s="9"/>
      <c r="G41" s="9"/>
      <c r="H41" s="9"/>
      <c r="I41" s="9"/>
      <c r="J41" s="9"/>
      <c r="K41" s="9"/>
      <c r="L41" s="9"/>
      <c r="M41" s="9"/>
      <c r="N41" s="9"/>
      <c r="O41" s="9"/>
      <c r="P41" s="9"/>
      <c r="Q41" s="9"/>
      <c r="R41" s="9"/>
    </row>
    <row r="42" spans="1:18" x14ac:dyDescent="0.25">
      <c r="A42" s="9"/>
      <c r="B42" s="9"/>
      <c r="C42" s="9"/>
      <c r="D42" s="12"/>
      <c r="E42" s="9"/>
      <c r="F42" s="9"/>
      <c r="G42" s="9"/>
      <c r="H42" s="9"/>
      <c r="I42" s="9"/>
      <c r="J42" s="9"/>
      <c r="K42" s="9"/>
      <c r="L42" s="9"/>
      <c r="M42" s="9"/>
      <c r="N42" s="9"/>
      <c r="O42" s="9"/>
      <c r="P42" s="9"/>
      <c r="Q42" s="9"/>
      <c r="R42" s="9"/>
    </row>
    <row r="43" spans="1:18" x14ac:dyDescent="0.25">
      <c r="A43" s="9"/>
      <c r="B43" s="9"/>
      <c r="C43" s="9"/>
      <c r="D43" s="12"/>
      <c r="E43" s="9"/>
      <c r="F43" s="9"/>
      <c r="G43" s="9"/>
      <c r="H43" s="9"/>
      <c r="I43" s="9"/>
      <c r="J43" s="9"/>
      <c r="K43" s="9"/>
      <c r="L43" s="9"/>
      <c r="M43" s="9"/>
      <c r="N43" s="9"/>
      <c r="O43" s="9"/>
      <c r="P43" s="9"/>
      <c r="Q43" s="9"/>
      <c r="R43" s="9"/>
    </row>
    <row r="44" spans="1:18" x14ac:dyDescent="0.25">
      <c r="A44" s="9"/>
      <c r="B44" s="9"/>
      <c r="C44" s="9"/>
      <c r="D44" s="12"/>
      <c r="E44" s="9"/>
      <c r="F44" s="9"/>
      <c r="G44" s="9"/>
      <c r="H44" s="9"/>
      <c r="I44" s="9"/>
      <c r="J44" s="9"/>
      <c r="K44" s="9"/>
      <c r="L44" s="9"/>
      <c r="M44" s="9"/>
      <c r="N44" s="9"/>
      <c r="O44" s="9"/>
      <c r="P44" s="9"/>
      <c r="Q44" s="9"/>
      <c r="R44" s="9"/>
    </row>
    <row r="45" spans="1:18" x14ac:dyDescent="0.25">
      <c r="A45" s="9"/>
      <c r="B45" s="9"/>
      <c r="C45" s="9"/>
      <c r="D45" s="12"/>
      <c r="E45" s="9"/>
      <c r="F45" s="9"/>
      <c r="G45" s="9"/>
      <c r="H45" s="9"/>
      <c r="I45" s="9"/>
      <c r="J45" s="9"/>
      <c r="K45" s="9"/>
      <c r="L45" s="9"/>
      <c r="M45" s="9"/>
      <c r="N45" s="9"/>
      <c r="O45" s="9"/>
      <c r="P45" s="9"/>
      <c r="Q45" s="9"/>
      <c r="R45" s="9"/>
    </row>
    <row r="46" spans="1:18" x14ac:dyDescent="0.25">
      <c r="D46" s="13"/>
    </row>
  </sheetData>
  <conditionalFormatting sqref="A8:R45">
    <cfRule type="expression" dxfId="3" priority="1">
      <formula>$H8="TBA"</formula>
    </cfRule>
    <cfRule type="expression" dxfId="2" priority="2">
      <formula>$H8="Other"</formula>
    </cfRule>
    <cfRule type="expression" dxfId="1" priority="3">
      <formula>$H8="Building"</formula>
    </cfRule>
    <cfRule type="expression" dxfId="0" priority="4">
      <formula>$H8="Planning &amp; Building"</formula>
    </cfRule>
  </conditionalFormatting>
  <dataValidations count="10">
    <dataValidation type="list" allowBlank="1" showInputMessage="1" showErrorMessage="1" sqref="O8:O45" xr:uid="{00000000-0002-0000-0300-000000000000}">
      <formula1>$O$2</formula1>
    </dataValidation>
    <dataValidation type="list" allowBlank="1" showInputMessage="1" showErrorMessage="1" sqref="M8:M45" xr:uid="{00000000-0002-0000-0300-000001000000}">
      <formula1>$M$2:$M$3</formula1>
    </dataValidation>
    <dataValidation type="list" allowBlank="1" showInputMessage="1" showErrorMessage="1" sqref="N8:N45" xr:uid="{00000000-0002-0000-0300-000002000000}">
      <formula1>#REF!</formula1>
    </dataValidation>
    <dataValidation type="list" allowBlank="1" showInputMessage="1" showErrorMessage="1" sqref="Q8:R45" xr:uid="{00000000-0002-0000-0300-000003000000}">
      <formula1>$Q$2</formula1>
    </dataValidation>
    <dataValidation type="list" allowBlank="1" showInputMessage="1" showErrorMessage="1" sqref="P8:P45" xr:uid="{00000000-0002-0000-0300-000004000000}">
      <formula1>$P$2</formula1>
    </dataValidation>
    <dataValidation type="list" allowBlank="1" showInputMessage="1" showErrorMessage="1" sqref="G8:G45" xr:uid="{00000000-0002-0000-0300-000005000000}">
      <formula1>$G$2:$G$7</formula1>
    </dataValidation>
    <dataValidation type="list" allowBlank="1" showInputMessage="1" showErrorMessage="1" sqref="L8:L45" xr:uid="{00000000-0002-0000-0300-000006000000}">
      <formula1>$L$2:$L$6</formula1>
    </dataValidation>
    <dataValidation type="list" allowBlank="1" showInputMessage="1" showErrorMessage="1" sqref="K8:K45" xr:uid="{00000000-0002-0000-0300-000007000000}">
      <formula1>$K$2:$K$6</formula1>
    </dataValidation>
    <dataValidation type="list" allowBlank="1" showInputMessage="1" showErrorMessage="1" sqref="I8:I45" xr:uid="{00000000-0002-0000-0300-000008000000}">
      <formula1>$I$2:$I$6</formula1>
    </dataValidation>
    <dataValidation type="list" allowBlank="1" showInputMessage="1" showErrorMessage="1" sqref="H8:H45" xr:uid="{00000000-0002-0000-0300-000009000000}">
      <formula1>$H$2:$H$6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0FF676B-7048-42F0-A22E-65123541C12C}">
          <x14:formula1>
            <xm:f>Current!$I$2:$I$225</xm:f>
          </x14:formula1>
          <xm:sqref>H2:H6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50"/>
  <sheetViews>
    <sheetView zoomScale="115" zoomScaleNormal="115" workbookViewId="0">
      <selection activeCell="L12" sqref="L1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Job Template</v>
      </c>
    </row>
    <row r="2" spans="1:14" ht="15.75" customHeight="1" thickTop="1" x14ac:dyDescent="0.35">
      <c r="A2" s="248" t="str">
        <f ca="1">C4&amp;" - "&amp;C5&amp;" - "&amp;C7</f>
        <v xml:space="preserve">Job Template -  - </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Job Template</v>
      </c>
      <c r="D4" s="134"/>
      <c r="E4" s="134"/>
      <c r="F4" s="134"/>
      <c r="G4" s="134"/>
      <c r="H4" s="123"/>
      <c r="I4" s="123"/>
      <c r="N4" t="s">
        <v>1125</v>
      </c>
    </row>
    <row r="5" spans="1:14" ht="15.75" thickBot="1" x14ac:dyDescent="0.3">
      <c r="A5" s="254" t="s">
        <v>2835</v>
      </c>
      <c r="B5" s="255"/>
      <c r="C5" s="123"/>
      <c r="D5" s="123"/>
      <c r="E5" s="123"/>
      <c r="F5" s="123"/>
      <c r="G5" s="123"/>
      <c r="H5" s="123"/>
      <c r="I5" s="124"/>
      <c r="M5" s="193">
        <v>6.5</v>
      </c>
      <c r="N5" s="194" t="s">
        <v>2836</v>
      </c>
    </row>
    <row r="6" spans="1:14" ht="15.75" thickTop="1" x14ac:dyDescent="0.25">
      <c r="A6" s="254" t="s">
        <v>2837</v>
      </c>
      <c r="B6" s="255"/>
      <c r="C6" s="123"/>
      <c r="D6" s="123"/>
      <c r="E6" s="123"/>
      <c r="F6" s="123"/>
      <c r="G6" s="123"/>
      <c r="H6" s="123"/>
      <c r="I6" s="124"/>
      <c r="K6" s="243" t="s">
        <v>2838</v>
      </c>
      <c r="L6" s="244"/>
      <c r="M6" s="195">
        <v>5.5</v>
      </c>
      <c r="N6" s="194" t="s">
        <v>2839</v>
      </c>
    </row>
    <row r="7" spans="1:14" x14ac:dyDescent="0.25">
      <c r="A7" s="254" t="s">
        <v>2840</v>
      </c>
      <c r="B7" s="255"/>
      <c r="C7" s="123"/>
      <c r="D7" s="123"/>
      <c r="E7" s="123"/>
      <c r="F7" s="123"/>
      <c r="G7" s="123"/>
      <c r="H7" s="123"/>
      <c r="I7" s="124"/>
      <c r="K7" s="211" t="s">
        <v>2841</v>
      </c>
      <c r="L7" s="212">
        <f>M5*M6</f>
        <v>35.75</v>
      </c>
    </row>
    <row r="8" spans="1:14" x14ac:dyDescent="0.25">
      <c r="A8" s="254" t="s">
        <v>2842</v>
      </c>
      <c r="B8" s="255"/>
      <c r="C8" s="123"/>
      <c r="D8" s="123"/>
      <c r="E8" s="123"/>
      <c r="F8" s="123"/>
      <c r="G8" s="123"/>
      <c r="H8" s="123"/>
      <c r="I8" s="124"/>
      <c r="K8" s="213" t="s">
        <v>2843</v>
      </c>
      <c r="L8" s="212">
        <v>0</v>
      </c>
    </row>
    <row r="9" spans="1:14" x14ac:dyDescent="0.25">
      <c r="A9" s="254" t="s">
        <v>2844</v>
      </c>
      <c r="B9" s="255"/>
      <c r="C9" s="123"/>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3575</v>
      </c>
    </row>
    <row r="11" spans="1:14" x14ac:dyDescent="0.25">
      <c r="A11" s="127"/>
      <c r="B11" s="127"/>
      <c r="C11" s="127"/>
      <c r="D11" s="127"/>
      <c r="E11" s="127"/>
      <c r="F11" s="127"/>
      <c r="G11" s="127"/>
      <c r="H11" s="127"/>
      <c r="I11" s="127"/>
      <c r="K11" s="211" t="s">
        <v>2848</v>
      </c>
      <c r="L11" s="212">
        <v>1</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-34.75</v>
      </c>
    </row>
    <row r="14" spans="1:14" ht="15.75" thickBot="1" x14ac:dyDescent="0.3">
      <c r="A14" s="128"/>
      <c r="B14" s="128"/>
      <c r="C14" s="128"/>
      <c r="D14" s="128"/>
      <c r="E14" s="128"/>
      <c r="F14" s="128"/>
      <c r="G14" s="128"/>
      <c r="H14" s="128"/>
      <c r="I14" s="128"/>
      <c r="K14" s="215" t="s">
        <v>2851</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10:B10"/>
    <mergeCell ref="A32:I32"/>
    <mergeCell ref="A2:G3"/>
    <mergeCell ref="A6:B6"/>
    <mergeCell ref="D22:H22"/>
    <mergeCell ref="A4:B4"/>
    <mergeCell ref="A5:B5"/>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65" r:id="rId4" name="Check Box 2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6166" r:id="rId5" name="Check Box 2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6167" r:id="rId6" name="Check Box 2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6168" r:id="rId7" name="Check Box 2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6169" r:id="rId8" name="Check Box 2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6170" r:id="rId9" name="Check Box 2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6171" r:id="rId10" name="Check Box 2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6172" r:id="rId11" name="Button 2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6173" r:id="rId12" name="Button 2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6176" r:id="rId13" name="Check Box 32">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6178" r:id="rId14" name="Button 34">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6179" r:id="rId15" name="Button 35">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6180" r:id="rId16" name="Button 36">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6183" r:id="rId17" name="Button 39">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6184" r:id="rId18" name="Check Box 40">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6145" r:id="rId19"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6146" r:id="rId20"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6147" r:id="rId21"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6148" r:id="rId22"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6149" r:id="rId23"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6151" r:id="rId24" name="Check Box 7">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6152" r:id="rId25" name="Check Box 8">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6154" r:id="rId26" name="Check Box 10">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6155" r:id="rId27" name="Check Box 11">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6156" r:id="rId28" name="Check Box 12">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6157" r:id="rId29" name="Check Box 13">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6158" r:id="rId30" name="Check Box 14">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6181" r:id="rId31" name="Button 37">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6182" r:id="rId32" name="Button 38">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6189" r:id="rId33" name="Check Box 45">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6190" r:id="rId34" name="Check Box 46">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6191" r:id="rId35" name="Check Box 47">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6192" r:id="rId36" name="Check Box 48">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6193" r:id="rId37" name="Check Box 49">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6194" r:id="rId38" name="Check Box 50">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6195" r:id="rId39" name="Check Box 51">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6196" r:id="rId40" name="Check Box 52">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0C4DA-46DF-446F-A3BF-66AB97078597}">
  <sheetPr codeName="Sheet107"/>
  <dimension ref="A1:N50"/>
  <sheetViews>
    <sheetView zoomScale="115" zoomScaleNormal="115" workbookViewId="0">
      <selection activeCell="K19" sqref="K1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BPA0363</v>
      </c>
    </row>
    <row r="2" spans="1:14" ht="15.75" customHeight="1" thickTop="1" x14ac:dyDescent="0.35">
      <c r="A2" s="248" t="str">
        <f ca="1">C4&amp;" - "&amp;C5&amp;" - "&amp;C7</f>
        <v>BPA0363 - Justin Arrowsmith - 5 Gunyah Flat Rd, Charlton VIC 3525</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BPA0363</v>
      </c>
      <c r="D4" s="134"/>
      <c r="E4" s="134"/>
      <c r="F4" s="134"/>
      <c r="G4" s="134"/>
      <c r="H4" s="123"/>
      <c r="I4" s="123"/>
      <c r="N4" t="s">
        <v>1125</v>
      </c>
    </row>
    <row r="5" spans="1:14" ht="15.75" thickBot="1" x14ac:dyDescent="0.3">
      <c r="A5" s="254" t="s">
        <v>2835</v>
      </c>
      <c r="B5" s="255"/>
      <c r="C5" s="123" t="s">
        <v>2718</v>
      </c>
      <c r="D5" s="123"/>
      <c r="E5" s="123"/>
      <c r="F5" s="123"/>
      <c r="G5" s="123"/>
      <c r="H5" s="123"/>
      <c r="I5" s="124"/>
      <c r="M5" s="193">
        <v>6.5</v>
      </c>
      <c r="N5" s="194" t="s">
        <v>2836</v>
      </c>
    </row>
    <row r="6" spans="1:14" ht="15.75" thickTop="1" x14ac:dyDescent="0.25">
      <c r="A6" s="254" t="s">
        <v>2837</v>
      </c>
      <c r="B6" s="255"/>
      <c r="C6" s="123"/>
      <c r="D6" s="123"/>
      <c r="E6" s="123"/>
      <c r="F6" s="123"/>
      <c r="G6" s="123"/>
      <c r="H6" s="123"/>
      <c r="I6" s="124"/>
      <c r="K6" s="243" t="s">
        <v>2838</v>
      </c>
      <c r="L6" s="244"/>
      <c r="M6" s="195">
        <v>5.5</v>
      </c>
      <c r="N6" s="194" t="s">
        <v>2839</v>
      </c>
    </row>
    <row r="7" spans="1:14" x14ac:dyDescent="0.25">
      <c r="A7" s="254" t="s">
        <v>2840</v>
      </c>
      <c r="B7" s="255"/>
      <c r="C7" s="123" t="s">
        <v>3293</v>
      </c>
      <c r="D7" s="123"/>
      <c r="E7" s="123"/>
      <c r="F7" s="123"/>
      <c r="G7" s="123"/>
      <c r="H7" s="123"/>
      <c r="I7" s="124"/>
      <c r="K7" s="211" t="s">
        <v>2841</v>
      </c>
      <c r="L7" s="212">
        <f>M5*M6</f>
        <v>35.75</v>
      </c>
    </row>
    <row r="8" spans="1:14" x14ac:dyDescent="0.25">
      <c r="A8" s="254" t="s">
        <v>2842</v>
      </c>
      <c r="B8" s="255"/>
      <c r="C8" s="123" t="s">
        <v>3290</v>
      </c>
      <c r="D8" s="123"/>
      <c r="E8" s="123"/>
      <c r="F8" s="123"/>
      <c r="G8" s="123"/>
      <c r="H8" s="123"/>
      <c r="I8" s="124"/>
      <c r="K8" s="213" t="s">
        <v>2843</v>
      </c>
      <c r="L8" s="212">
        <v>0</v>
      </c>
    </row>
    <row r="9" spans="1:14" x14ac:dyDescent="0.25">
      <c r="A9" s="254" t="s">
        <v>2844</v>
      </c>
      <c r="B9" s="255"/>
      <c r="C9" s="123" t="s">
        <v>3294</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3575</v>
      </c>
    </row>
    <row r="11" spans="1:14" x14ac:dyDescent="0.25">
      <c r="A11" s="127"/>
      <c r="B11" s="127"/>
      <c r="C11" s="127"/>
      <c r="D11" s="127"/>
      <c r="E11" s="127"/>
      <c r="F11" s="127"/>
      <c r="G11" s="127"/>
      <c r="H11" s="127"/>
      <c r="I11" s="127"/>
      <c r="K11" s="211" t="s">
        <v>2848</v>
      </c>
      <c r="L11" s="212">
        <v>1</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-34.75</v>
      </c>
    </row>
    <row r="14" spans="1:14" ht="15.75" thickBot="1" x14ac:dyDescent="0.3">
      <c r="A14" s="128"/>
      <c r="B14" s="128"/>
      <c r="C14" s="128"/>
      <c r="D14" s="128"/>
      <c r="E14" s="128"/>
      <c r="F14" s="128"/>
      <c r="G14" s="128"/>
      <c r="H14" s="128"/>
      <c r="I14" s="128"/>
      <c r="K14" s="215" t="s">
        <v>2851</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t="s">
        <v>3295</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c r="B31" s="123" t="s">
        <v>2867</v>
      </c>
      <c r="C31" s="123"/>
      <c r="D31" s="123"/>
      <c r="E31" s="123"/>
      <c r="F31" s="123"/>
      <c r="G31" s="123"/>
      <c r="I31" s="38">
        <v>45901</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8:B8"/>
    <mergeCell ref="A9:B9"/>
    <mergeCell ref="A10:B10"/>
    <mergeCell ref="D22:H22"/>
    <mergeCell ref="A32:I32"/>
    <mergeCell ref="A2:G3"/>
    <mergeCell ref="A4:B4"/>
    <mergeCell ref="A5:B5"/>
    <mergeCell ref="A6:B6"/>
    <mergeCell ref="K6:L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458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70458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70458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70458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70458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70458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70458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70458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70458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70458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70458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70459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70459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70459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70459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70459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70459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70459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70459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704590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70459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70459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70459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70459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70459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70459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70459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70459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70459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70459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70459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70459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70459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70459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70459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70459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70459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E731D-C13E-4BD5-84FB-B331F5D2C40D}">
  <sheetPr codeName="Sheet104"/>
  <dimension ref="A1:N50"/>
  <sheetViews>
    <sheetView topLeftCell="A9" zoomScale="115" zoomScaleNormal="115" workbookViewId="0">
      <selection activeCell="J29" sqref="J2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BPA0362</v>
      </c>
    </row>
    <row r="2" spans="1:14" ht="15.75" customHeight="1" thickTop="1" x14ac:dyDescent="0.35">
      <c r="A2" s="248" t="str">
        <f ca="1">C4&amp;" - "&amp;C5&amp;" - "&amp;C7</f>
        <v>BPA0362 - Mark &amp; Tracey Evans - 44 Janelle Drive, Maiden Gully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BPA0362</v>
      </c>
      <c r="D4" s="134"/>
      <c r="E4" s="134"/>
      <c r="F4" s="134"/>
      <c r="G4" s="134"/>
      <c r="H4" s="123"/>
      <c r="I4" s="123"/>
      <c r="N4" t="s">
        <v>1125</v>
      </c>
    </row>
    <row r="5" spans="1:14" ht="15.75" thickBot="1" x14ac:dyDescent="0.3">
      <c r="A5" s="254" t="s">
        <v>2835</v>
      </c>
      <c r="B5" s="255"/>
      <c r="C5" s="123" t="s">
        <v>3281</v>
      </c>
      <c r="D5" s="123"/>
      <c r="E5" s="123"/>
      <c r="F5" s="123"/>
      <c r="G5" s="123"/>
      <c r="H5" s="123"/>
      <c r="I5" s="124"/>
      <c r="M5" s="193">
        <v>6.5</v>
      </c>
      <c r="N5" s="194" t="s">
        <v>2836</v>
      </c>
    </row>
    <row r="6" spans="1:14" ht="15.75" thickTop="1" x14ac:dyDescent="0.25">
      <c r="A6" s="254" t="s">
        <v>2837</v>
      </c>
      <c r="B6" s="255"/>
      <c r="C6" s="123"/>
      <c r="D6" s="123"/>
      <c r="E6" s="123"/>
      <c r="F6" s="123"/>
      <c r="G6" s="123"/>
      <c r="H6" s="123"/>
      <c r="I6" s="124"/>
      <c r="K6" s="243" t="s">
        <v>2838</v>
      </c>
      <c r="L6" s="244"/>
      <c r="M6" s="195">
        <v>5.5</v>
      </c>
      <c r="N6" s="194" t="s">
        <v>2839</v>
      </c>
    </row>
    <row r="7" spans="1:14" x14ac:dyDescent="0.25">
      <c r="A7" s="254" t="s">
        <v>2840</v>
      </c>
      <c r="B7" s="255"/>
      <c r="C7" s="123" t="s">
        <v>3284</v>
      </c>
      <c r="D7" s="123"/>
      <c r="E7" s="123"/>
      <c r="F7" s="123"/>
      <c r="G7" s="123"/>
      <c r="H7" s="123"/>
      <c r="I7" s="124"/>
      <c r="K7" s="211" t="s">
        <v>2841</v>
      </c>
      <c r="L7" s="212">
        <f>M5*M6</f>
        <v>35.75</v>
      </c>
    </row>
    <row r="8" spans="1:14" x14ac:dyDescent="0.25">
      <c r="A8" s="254" t="s">
        <v>2842</v>
      </c>
      <c r="B8" s="255"/>
      <c r="C8" s="123" t="s">
        <v>3282</v>
      </c>
      <c r="D8" s="123"/>
      <c r="E8" s="123"/>
      <c r="F8" s="123"/>
      <c r="G8" s="123"/>
      <c r="H8" s="123"/>
      <c r="I8" s="124"/>
      <c r="K8" s="213" t="s">
        <v>2843</v>
      </c>
      <c r="L8" s="212">
        <v>0</v>
      </c>
    </row>
    <row r="9" spans="1:14" x14ac:dyDescent="0.25">
      <c r="A9" s="254" t="s">
        <v>2844</v>
      </c>
      <c r="B9" s="255"/>
      <c r="C9" s="123" t="s">
        <v>3285</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3575</v>
      </c>
    </row>
    <row r="11" spans="1:14" x14ac:dyDescent="0.25">
      <c r="A11" s="127"/>
      <c r="B11" s="127"/>
      <c r="C11" s="127"/>
      <c r="D11" s="127"/>
      <c r="E11" s="127"/>
      <c r="F11" s="127"/>
      <c r="G11" s="127"/>
      <c r="H11" s="127"/>
      <c r="I11" s="127"/>
      <c r="K11" s="211" t="s">
        <v>2848</v>
      </c>
      <c r="L11" s="212">
        <v>1</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-34.75</v>
      </c>
    </row>
    <row r="14" spans="1:14" ht="15.75" thickBot="1" x14ac:dyDescent="0.3">
      <c r="A14" s="128"/>
      <c r="B14" s="128"/>
      <c r="C14" s="128"/>
      <c r="D14" s="128"/>
      <c r="E14" s="128"/>
      <c r="F14" s="128"/>
      <c r="G14" s="128"/>
      <c r="H14" s="128"/>
      <c r="I14" s="128"/>
      <c r="K14" s="215" t="s">
        <v>2851</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45898</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7:B7"/>
    <mergeCell ref="A2:G3"/>
    <mergeCell ref="A4:B4"/>
    <mergeCell ref="A5:B5"/>
    <mergeCell ref="A6:B6"/>
    <mergeCell ref="K6:L6"/>
    <mergeCell ref="A8:B8"/>
    <mergeCell ref="A9:B9"/>
    <mergeCell ref="A10:B10"/>
    <mergeCell ref="D22:H22"/>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199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9199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9199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9199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9199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9199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9199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9199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9199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9199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9199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9199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9199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9199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9199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9199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9199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9199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9199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91995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9199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9199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9199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9199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9199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9199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9199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9199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9199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9199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9199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9199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9199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9199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9199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9199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9199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7344F-4C27-4C4E-848F-F5D3C78D6D2D}">
  <sheetPr codeName="Sheet25"/>
  <dimension ref="A1:N50"/>
  <sheetViews>
    <sheetView zoomScale="115" zoomScaleNormal="115" workbookViewId="0">
      <selection activeCell="K22" sqref="K2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BPA0361</v>
      </c>
    </row>
    <row r="2" spans="1:14" ht="15.75" customHeight="1" thickTop="1" x14ac:dyDescent="0.35">
      <c r="A2" s="248" t="str">
        <f ca="1">C4&amp;" - "&amp;C5&amp;" - "&amp;C7</f>
        <v>BPA0361 - Danny Marrinon - 28 First Ave, Cape Woolamai VIC 3925</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BPA0361</v>
      </c>
      <c r="D4" s="134"/>
      <c r="E4" s="134"/>
      <c r="F4" s="134"/>
      <c r="G4" s="134"/>
      <c r="H4" s="123"/>
      <c r="I4" s="123"/>
      <c r="N4" t="s">
        <v>1125</v>
      </c>
    </row>
    <row r="5" spans="1:14" ht="15.75" thickBot="1" x14ac:dyDescent="0.3">
      <c r="A5" s="254" t="s">
        <v>2835</v>
      </c>
      <c r="B5" s="255"/>
      <c r="C5" s="123" t="s">
        <v>3273</v>
      </c>
      <c r="D5" s="123"/>
      <c r="E5" s="123"/>
      <c r="F5" s="123"/>
      <c r="G5" s="123"/>
      <c r="H5" s="123"/>
      <c r="I5" s="124"/>
      <c r="M5" s="193">
        <v>6.5</v>
      </c>
      <c r="N5" s="194" t="s">
        <v>2836</v>
      </c>
    </row>
    <row r="6" spans="1:14" ht="15.75" thickTop="1" x14ac:dyDescent="0.25">
      <c r="A6" s="254" t="s">
        <v>2837</v>
      </c>
      <c r="B6" s="255"/>
      <c r="C6" s="123"/>
      <c r="D6" s="123"/>
      <c r="E6" s="123"/>
      <c r="F6" s="123"/>
      <c r="G6" s="123"/>
      <c r="H6" s="123"/>
      <c r="I6" s="124"/>
      <c r="K6" s="243" t="s">
        <v>2838</v>
      </c>
      <c r="L6" s="244"/>
      <c r="M6" s="195">
        <v>5.5</v>
      </c>
      <c r="N6" s="194" t="s">
        <v>2839</v>
      </c>
    </row>
    <row r="7" spans="1:14" x14ac:dyDescent="0.25">
      <c r="A7" s="254" t="s">
        <v>2840</v>
      </c>
      <c r="B7" s="255"/>
      <c r="C7" s="123" t="s">
        <v>3279</v>
      </c>
      <c r="D7" s="123"/>
      <c r="E7" s="123"/>
      <c r="F7" s="123"/>
      <c r="G7" s="123"/>
      <c r="H7" s="123"/>
      <c r="I7" s="124"/>
      <c r="K7" s="211" t="s">
        <v>2841</v>
      </c>
      <c r="L7" s="212">
        <f>M5*M6</f>
        <v>35.75</v>
      </c>
    </row>
    <row r="8" spans="1:14" x14ac:dyDescent="0.25">
      <c r="A8" s="254" t="s">
        <v>2842</v>
      </c>
      <c r="B8" s="255"/>
      <c r="C8" s="123" t="s">
        <v>3274</v>
      </c>
      <c r="D8" s="123"/>
      <c r="E8" s="123"/>
      <c r="F8" s="123"/>
      <c r="G8" s="123"/>
      <c r="H8" s="123"/>
      <c r="I8" s="124"/>
      <c r="K8" s="213" t="s">
        <v>2843</v>
      </c>
      <c r="L8" s="212">
        <v>0</v>
      </c>
    </row>
    <row r="9" spans="1:14" x14ac:dyDescent="0.25">
      <c r="A9" s="254" t="s">
        <v>2844</v>
      </c>
      <c r="B9" s="255"/>
      <c r="C9" s="123" t="s">
        <v>3280</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3575</v>
      </c>
    </row>
    <row r="11" spans="1:14" x14ac:dyDescent="0.25">
      <c r="A11" s="127"/>
      <c r="B11" s="127"/>
      <c r="C11" s="127"/>
      <c r="D11" s="127"/>
      <c r="E11" s="127"/>
      <c r="F11" s="127"/>
      <c r="G11" s="127"/>
      <c r="H11" s="127"/>
      <c r="I11" s="127"/>
      <c r="K11" s="211" t="s">
        <v>2848</v>
      </c>
      <c r="L11" s="212">
        <v>1</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-34.75</v>
      </c>
    </row>
    <row r="14" spans="1:14" ht="15.75" thickBot="1" x14ac:dyDescent="0.3">
      <c r="A14" s="128"/>
      <c r="B14" s="128"/>
      <c r="C14" s="128"/>
      <c r="D14" s="128"/>
      <c r="E14" s="128"/>
      <c r="F14" s="128"/>
      <c r="G14" s="128"/>
      <c r="H14" s="128"/>
      <c r="I14" s="128"/>
      <c r="K14" s="215" t="s">
        <v>2851</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45898</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32:I32"/>
    <mergeCell ref="K6:L6"/>
    <mergeCell ref="A8:B8"/>
    <mergeCell ref="A9:B9"/>
    <mergeCell ref="A10:B10"/>
    <mergeCell ref="D22:H22"/>
    <mergeCell ref="A7:B7"/>
    <mergeCell ref="A2:G3"/>
    <mergeCell ref="A4:B4"/>
    <mergeCell ref="A5:B5"/>
    <mergeCell ref="A6:B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7980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7980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7980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7980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7980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7980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7980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7980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7980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7980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7980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7980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7980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7980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7980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7980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7980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7980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7980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7981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7981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7981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7981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7981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7981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7981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7981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7981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7981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7981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7981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7981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7981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7981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7981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7981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7981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56C2C-CF2B-45D9-ABD3-6D46A0CCCEDE}">
  <sheetPr codeName="Sheet101"/>
  <dimension ref="A1:N50"/>
  <sheetViews>
    <sheetView zoomScale="115" zoomScaleNormal="115" workbookViewId="0">
      <selection activeCell="M19" sqref="M1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 xml:space="preserve">BPA0360 </v>
      </c>
    </row>
    <row r="2" spans="1:14" ht="15.75" customHeight="1" thickTop="1" x14ac:dyDescent="0.35">
      <c r="A2" s="248" t="str">
        <f ca="1">C4&amp;" - "&amp;C5&amp;" - "&amp;C7</f>
        <v>BPA0360  - Jesse Morton - 1B Kooroork Lane, Junortoun VIC 3550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 xml:space="preserve">BPA0360 </v>
      </c>
      <c r="D4" s="134"/>
      <c r="E4" s="134"/>
      <c r="F4" s="134"/>
      <c r="G4" s="134"/>
      <c r="H4" s="123"/>
      <c r="I4" s="123"/>
      <c r="N4" t="s">
        <v>1125</v>
      </c>
    </row>
    <row r="5" spans="1:14" ht="15.75" thickBot="1" x14ac:dyDescent="0.3">
      <c r="A5" s="254" t="s">
        <v>2835</v>
      </c>
      <c r="B5" s="255"/>
      <c r="C5" s="123" t="s">
        <v>2693</v>
      </c>
      <c r="D5" s="123"/>
      <c r="E5" s="123"/>
      <c r="F5" s="123"/>
      <c r="G5" s="123"/>
      <c r="H5" s="123"/>
      <c r="I5" s="124"/>
      <c r="M5" s="193">
        <v>6.5</v>
      </c>
      <c r="N5" s="194" t="s">
        <v>2836</v>
      </c>
    </row>
    <row r="6" spans="1:14" ht="15.75" thickTop="1" x14ac:dyDescent="0.25">
      <c r="A6" s="254" t="s">
        <v>2837</v>
      </c>
      <c r="B6" s="255"/>
      <c r="C6" s="123"/>
      <c r="D6" s="123"/>
      <c r="E6" s="123"/>
      <c r="F6" s="123"/>
      <c r="G6" s="123"/>
      <c r="H6" s="123"/>
      <c r="I6" s="124"/>
      <c r="K6" s="243" t="s">
        <v>2838</v>
      </c>
      <c r="L6" s="244"/>
      <c r="M6" s="195">
        <v>5.5</v>
      </c>
      <c r="N6" s="194" t="s">
        <v>2839</v>
      </c>
    </row>
    <row r="7" spans="1:14" x14ac:dyDescent="0.25">
      <c r="A7" s="254" t="s">
        <v>2840</v>
      </c>
      <c r="B7" s="255"/>
      <c r="C7" s="123" t="s">
        <v>3270</v>
      </c>
      <c r="D7" s="123"/>
      <c r="E7" s="123"/>
      <c r="F7" s="123"/>
      <c r="G7" s="123"/>
      <c r="H7" s="123"/>
      <c r="I7" s="124"/>
      <c r="K7" s="211" t="s">
        <v>2841</v>
      </c>
      <c r="L7" s="212">
        <f>M5*M6</f>
        <v>35.75</v>
      </c>
    </row>
    <row r="8" spans="1:14" x14ac:dyDescent="0.25">
      <c r="A8" s="254" t="s">
        <v>2842</v>
      </c>
      <c r="B8" s="255"/>
      <c r="C8" s="123" t="s">
        <v>3267</v>
      </c>
      <c r="D8" s="123"/>
      <c r="E8" s="123"/>
      <c r="F8" s="123"/>
      <c r="G8" s="123"/>
      <c r="H8" s="123"/>
      <c r="I8" s="124"/>
      <c r="K8" s="213" t="s">
        <v>2843</v>
      </c>
      <c r="L8" s="212">
        <v>0</v>
      </c>
    </row>
    <row r="9" spans="1:14" x14ac:dyDescent="0.25">
      <c r="A9" s="254" t="s">
        <v>2844</v>
      </c>
      <c r="B9" s="255"/>
      <c r="C9" s="123" t="s">
        <v>3271</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3575</v>
      </c>
    </row>
    <row r="11" spans="1:14" x14ac:dyDescent="0.25">
      <c r="A11" s="127"/>
      <c r="B11" s="127"/>
      <c r="C11" s="127"/>
      <c r="D11" s="127"/>
      <c r="E11" s="127"/>
      <c r="F11" s="127"/>
      <c r="G11" s="127"/>
      <c r="H11" s="127"/>
      <c r="I11" s="127"/>
      <c r="K11" s="211" t="s">
        <v>2848</v>
      </c>
      <c r="L11" s="212">
        <v>1</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-34.75</v>
      </c>
    </row>
    <row r="14" spans="1:14" ht="15.75" thickBot="1" x14ac:dyDescent="0.3">
      <c r="A14" s="128"/>
      <c r="B14" s="128"/>
      <c r="C14" s="128"/>
      <c r="D14" s="128"/>
      <c r="E14" s="128"/>
      <c r="F14" s="128"/>
      <c r="G14" s="128"/>
      <c r="H14" s="128"/>
      <c r="I14" s="128"/>
      <c r="K14" s="215" t="s">
        <v>2851</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45896</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7417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67417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67417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67418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67418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67418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67418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67418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67418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67418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67418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67418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67418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67419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67419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67419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67419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67419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67419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67419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67419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67419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67419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67420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67420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67420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67420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67420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67420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67420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67420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67420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67420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67421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67421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67421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67421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E9D0D-8617-46C8-B0F0-B6120769C788}">
  <sheetPr codeName="Sheet100"/>
  <dimension ref="A1:N50"/>
  <sheetViews>
    <sheetView zoomScale="115" zoomScaleNormal="115" workbookViewId="0">
      <selection activeCell="L12" sqref="L1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BPA0359</v>
      </c>
    </row>
    <row r="2" spans="1:14" ht="15.75" customHeight="1" thickTop="1" x14ac:dyDescent="0.35">
      <c r="A2" s="248" t="str">
        <f ca="1">C4&amp;" - "&amp;C5&amp;" - "&amp;C7</f>
        <v>BPA0359 - Jason Clark - 131 McDowalls Rd, East Bendigo VIC 3550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BPA0359</v>
      </c>
      <c r="D4" s="134"/>
      <c r="E4" s="134"/>
      <c r="F4" s="134"/>
      <c r="G4" s="134"/>
      <c r="H4" s="123"/>
      <c r="I4" s="123"/>
      <c r="N4" t="s">
        <v>1125</v>
      </c>
    </row>
    <row r="5" spans="1:14" ht="15.75" thickBot="1" x14ac:dyDescent="0.3">
      <c r="A5" s="254" t="s">
        <v>2835</v>
      </c>
      <c r="B5" s="255"/>
      <c r="C5" s="123" t="s">
        <v>3261</v>
      </c>
      <c r="D5" s="123"/>
      <c r="E5" s="123"/>
      <c r="F5" s="123"/>
      <c r="G5" s="123"/>
      <c r="H5" s="123"/>
      <c r="I5" s="124"/>
      <c r="M5" s="193">
        <v>6.5</v>
      </c>
      <c r="N5" s="194" t="s">
        <v>2836</v>
      </c>
    </row>
    <row r="6" spans="1:14" ht="15.75" thickTop="1" x14ac:dyDescent="0.25">
      <c r="A6" s="254" t="s">
        <v>2837</v>
      </c>
      <c r="B6" s="255"/>
      <c r="C6" s="123"/>
      <c r="D6" s="123"/>
      <c r="E6" s="123"/>
      <c r="F6" s="123"/>
      <c r="G6" s="123"/>
      <c r="H6" s="123"/>
      <c r="I6" s="124"/>
      <c r="K6" s="243" t="s">
        <v>2838</v>
      </c>
      <c r="L6" s="244"/>
      <c r="M6" s="195">
        <v>5.5</v>
      </c>
      <c r="N6" s="194" t="s">
        <v>2839</v>
      </c>
    </row>
    <row r="7" spans="1:14" x14ac:dyDescent="0.25">
      <c r="A7" s="254" t="s">
        <v>2840</v>
      </c>
      <c r="B7" s="255"/>
      <c r="C7" s="123" t="s">
        <v>3265</v>
      </c>
      <c r="D7" s="123"/>
      <c r="E7" s="123"/>
      <c r="F7" s="123"/>
      <c r="G7" s="123"/>
      <c r="H7" s="123"/>
      <c r="I7" s="124"/>
      <c r="K7" s="211" t="s">
        <v>2841</v>
      </c>
      <c r="L7" s="212">
        <f>M5*M6</f>
        <v>35.75</v>
      </c>
    </row>
    <row r="8" spans="1:14" x14ac:dyDescent="0.25">
      <c r="A8" s="254" t="s">
        <v>2842</v>
      </c>
      <c r="B8" s="255"/>
      <c r="C8" s="123" t="s">
        <v>3263</v>
      </c>
      <c r="D8" s="123"/>
      <c r="E8" s="123"/>
      <c r="F8" s="123"/>
      <c r="G8" s="123"/>
      <c r="H8" s="123"/>
      <c r="I8" s="124"/>
      <c r="K8" s="213" t="s">
        <v>2843</v>
      </c>
      <c r="L8" s="212">
        <v>0</v>
      </c>
    </row>
    <row r="9" spans="1:14" x14ac:dyDescent="0.25">
      <c r="A9" s="254" t="s">
        <v>2844</v>
      </c>
      <c r="B9" s="255"/>
      <c r="C9" s="123" t="s">
        <v>3266</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3575</v>
      </c>
    </row>
    <row r="11" spans="1:14" x14ac:dyDescent="0.25">
      <c r="A11" s="127"/>
      <c r="B11" s="127"/>
      <c r="C11" s="127"/>
      <c r="D11" s="127"/>
      <c r="E11" s="127"/>
      <c r="F11" s="127"/>
      <c r="G11" s="127"/>
      <c r="H11" s="127"/>
      <c r="I11" s="127"/>
      <c r="K11" s="211" t="s">
        <v>2848</v>
      </c>
      <c r="L11" s="212">
        <v>1</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-34.75</v>
      </c>
    </row>
    <row r="14" spans="1:14" ht="15.75" thickBot="1" x14ac:dyDescent="0.3">
      <c r="A14" s="128"/>
      <c r="B14" s="128"/>
      <c r="C14" s="128"/>
      <c r="D14" s="128"/>
      <c r="E14" s="128"/>
      <c r="F14" s="128"/>
      <c r="G14" s="128"/>
      <c r="H14" s="128"/>
      <c r="I14" s="128"/>
      <c r="K14" s="215" t="s">
        <v>2851</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45896</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7315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67315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67315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67315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67315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67315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67315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67316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67316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67316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67316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67316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67316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67316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67316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67316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67316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67317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67317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67317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67317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67317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67317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67317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67317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67317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67317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67318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67318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67318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67318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67318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67318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67318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67318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67318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67318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FA608-DE5B-4D54-8637-26D1BDA53858}">
  <sheetPr codeName="Sheet96"/>
  <dimension ref="A1:N50"/>
  <sheetViews>
    <sheetView zoomScale="115" zoomScaleNormal="115" workbookViewId="0">
      <selection activeCell="K18" sqref="K1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 xml:space="preserve">BPA0358 </v>
      </c>
    </row>
    <row r="2" spans="1:14" ht="15.75" customHeight="1" thickTop="1" x14ac:dyDescent="0.35">
      <c r="A2" s="248" t="str">
        <f ca="1">C4&amp;" - "&amp;C5&amp;" - "&amp;C7</f>
        <v>BPA0358  - Krystal Oats - 27 Silky Oak Ave, Wodonga VIC 3690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 xml:space="preserve">BPA0358 </v>
      </c>
      <c r="D4" s="134"/>
      <c r="E4" s="134"/>
      <c r="F4" s="134"/>
      <c r="G4" s="134"/>
      <c r="H4" s="123"/>
      <c r="I4" s="123"/>
      <c r="N4" t="s">
        <v>1125</v>
      </c>
    </row>
    <row r="5" spans="1:14" ht="15.75" thickBot="1" x14ac:dyDescent="0.3">
      <c r="A5" s="254" t="s">
        <v>2835</v>
      </c>
      <c r="B5" s="255"/>
      <c r="C5" s="123" t="s">
        <v>677</v>
      </c>
      <c r="D5" s="123"/>
      <c r="E5" s="123"/>
      <c r="F5" s="123"/>
      <c r="G5" s="123"/>
      <c r="H5" s="123"/>
      <c r="I5" s="124"/>
      <c r="M5" s="193">
        <v>6.5</v>
      </c>
      <c r="N5" s="194" t="s">
        <v>2836</v>
      </c>
    </row>
    <row r="6" spans="1:14" ht="15.75" thickTop="1" x14ac:dyDescent="0.25">
      <c r="A6" s="254" t="s">
        <v>2837</v>
      </c>
      <c r="B6" s="255"/>
      <c r="C6" s="123"/>
      <c r="D6" s="123"/>
      <c r="E6" s="123"/>
      <c r="F6" s="123"/>
      <c r="G6" s="123"/>
      <c r="H6" s="123"/>
      <c r="I6" s="124"/>
      <c r="K6" s="243" t="s">
        <v>2838</v>
      </c>
      <c r="L6" s="244"/>
      <c r="M6" s="195">
        <v>5.5</v>
      </c>
      <c r="N6" s="194" t="s">
        <v>2839</v>
      </c>
    </row>
    <row r="7" spans="1:14" x14ac:dyDescent="0.25">
      <c r="A7" s="254" t="s">
        <v>2840</v>
      </c>
      <c r="B7" s="255"/>
      <c r="C7" s="123" t="s">
        <v>2894</v>
      </c>
      <c r="D7" s="123"/>
      <c r="E7" s="123"/>
      <c r="F7" s="123"/>
      <c r="G7" s="123"/>
      <c r="H7" s="123"/>
      <c r="I7" s="124"/>
      <c r="K7" s="211" t="s">
        <v>2841</v>
      </c>
      <c r="L7" s="212">
        <f>M5*M6</f>
        <v>35.75</v>
      </c>
    </row>
    <row r="8" spans="1:14" x14ac:dyDescent="0.25">
      <c r="A8" s="254" t="s">
        <v>2842</v>
      </c>
      <c r="B8" s="255"/>
      <c r="C8" s="123" t="s">
        <v>678</v>
      </c>
      <c r="D8" s="123"/>
      <c r="E8" s="123"/>
      <c r="F8" s="123"/>
      <c r="G8" s="123"/>
      <c r="H8" s="123"/>
      <c r="I8" s="124"/>
      <c r="K8" s="213" t="s">
        <v>2843</v>
      </c>
      <c r="L8" s="212">
        <v>0</v>
      </c>
    </row>
    <row r="9" spans="1:14" x14ac:dyDescent="0.25">
      <c r="A9" s="254" t="s">
        <v>2844</v>
      </c>
      <c r="B9" s="255"/>
      <c r="C9" s="123" t="s">
        <v>2895</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3575</v>
      </c>
    </row>
    <row r="11" spans="1:14" x14ac:dyDescent="0.25">
      <c r="A11" s="127"/>
      <c r="B11" s="127"/>
      <c r="C11" s="127"/>
      <c r="D11" s="127"/>
      <c r="E11" s="127"/>
      <c r="F11" s="127"/>
      <c r="G11" s="127"/>
      <c r="H11" s="127"/>
      <c r="I11" s="127"/>
      <c r="K11" s="211" t="s">
        <v>2848</v>
      </c>
      <c r="L11" s="212">
        <v>1</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-34.75</v>
      </c>
    </row>
    <row r="14" spans="1:14" ht="15.75" thickBot="1" x14ac:dyDescent="0.3">
      <c r="A14" s="128"/>
      <c r="B14" s="128"/>
      <c r="C14" s="128"/>
      <c r="D14" s="128"/>
      <c r="E14" s="128"/>
      <c r="F14" s="128"/>
      <c r="G14" s="128"/>
      <c r="H14" s="128"/>
      <c r="I14" s="128"/>
      <c r="K14" s="215" t="s">
        <v>2851</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5334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55334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55334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55334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55334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55335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55335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5533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5533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55335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55335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55335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55335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55335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55335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55336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55336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55336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55336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55336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55336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55336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55336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55336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55336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55337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55337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55337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55337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55337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55337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55337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55337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55337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55337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55338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55338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346D2-0595-4FE3-9D3B-4953FC39E03F}">
  <sheetPr codeName="Sheet93"/>
  <dimension ref="A1:N50"/>
  <sheetViews>
    <sheetView zoomScale="115" zoomScaleNormal="115" workbookViewId="0">
      <selection activeCell="J23" sqref="J23"/>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BPA0357</v>
      </c>
    </row>
    <row r="2" spans="1:14" ht="15.75" customHeight="1" thickTop="1" x14ac:dyDescent="0.35">
      <c r="A2" s="248" t="str">
        <f ca="1">C4&amp;" - "&amp;C5&amp;" - "&amp;C7</f>
        <v>BPA0357 - Dennis Padich &amp; Jennifer Pridgeon - 60 Bradman Blvd, Traralgon VIC 3844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BPA0357</v>
      </c>
      <c r="D4" s="134"/>
      <c r="E4" s="134"/>
      <c r="F4" s="134"/>
      <c r="G4" s="134"/>
      <c r="H4" s="123"/>
      <c r="I4" s="123"/>
      <c r="N4" t="s">
        <v>1125</v>
      </c>
    </row>
    <row r="5" spans="1:14" ht="15.75" thickBot="1" x14ac:dyDescent="0.3">
      <c r="A5" s="254" t="s">
        <v>2835</v>
      </c>
      <c r="B5" s="255"/>
      <c r="C5" s="123" t="s">
        <v>672</v>
      </c>
      <c r="D5" s="123"/>
      <c r="E5" s="123"/>
      <c r="F5" s="123"/>
      <c r="G5" s="123"/>
      <c r="H5" s="123"/>
      <c r="I5" s="124"/>
      <c r="M5" s="193">
        <v>6.5</v>
      </c>
      <c r="N5" s="194" t="s">
        <v>2836</v>
      </c>
    </row>
    <row r="6" spans="1:14" ht="15.75" thickTop="1" x14ac:dyDescent="0.25">
      <c r="A6" s="254" t="s">
        <v>2837</v>
      </c>
      <c r="B6" s="255"/>
      <c r="C6" s="123"/>
      <c r="D6" s="123"/>
      <c r="E6" s="123"/>
      <c r="F6" s="123"/>
      <c r="G6" s="123"/>
      <c r="H6" s="123"/>
      <c r="I6" s="124"/>
      <c r="K6" s="243" t="s">
        <v>2838</v>
      </c>
      <c r="L6" s="244"/>
      <c r="M6" s="195">
        <v>5.5</v>
      </c>
      <c r="N6" s="194" t="s">
        <v>2839</v>
      </c>
    </row>
    <row r="7" spans="1:14" x14ac:dyDescent="0.25">
      <c r="A7" s="254" t="s">
        <v>2840</v>
      </c>
      <c r="B7" s="255"/>
      <c r="C7" s="123" t="s">
        <v>2896</v>
      </c>
      <c r="D7" s="123"/>
      <c r="E7" s="123"/>
      <c r="F7" s="123"/>
      <c r="G7" s="123"/>
      <c r="H7" s="123"/>
      <c r="I7" s="124"/>
      <c r="K7" s="211" t="s">
        <v>2841</v>
      </c>
      <c r="L7" s="212">
        <f>M5*M6</f>
        <v>35.75</v>
      </c>
    </row>
    <row r="8" spans="1:14" x14ac:dyDescent="0.25">
      <c r="A8" s="254" t="s">
        <v>2842</v>
      </c>
      <c r="B8" s="255"/>
      <c r="C8" s="123" t="s">
        <v>673</v>
      </c>
      <c r="D8" s="123"/>
      <c r="E8" s="123"/>
      <c r="F8" s="123"/>
      <c r="G8" s="123"/>
      <c r="H8" s="123"/>
      <c r="I8" s="124"/>
      <c r="K8" s="213" t="s">
        <v>2843</v>
      </c>
      <c r="L8" s="212">
        <v>0</v>
      </c>
    </row>
    <row r="9" spans="1:14" x14ac:dyDescent="0.25">
      <c r="A9" s="254" t="s">
        <v>2844</v>
      </c>
      <c r="B9" s="255"/>
      <c r="C9" s="123" t="s">
        <v>2897</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3575</v>
      </c>
    </row>
    <row r="11" spans="1:14" x14ac:dyDescent="0.25">
      <c r="A11" s="127"/>
      <c r="B11" s="127"/>
      <c r="C11" s="127"/>
      <c r="D11" s="127"/>
      <c r="E11" s="127"/>
      <c r="F11" s="127"/>
      <c r="G11" s="127"/>
      <c r="H11" s="127"/>
      <c r="I11" s="127"/>
      <c r="K11" s="211" t="s">
        <v>2848</v>
      </c>
      <c r="L11" s="212">
        <v>1</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-34.75</v>
      </c>
    </row>
    <row r="14" spans="1:14" ht="15.75" thickBot="1" x14ac:dyDescent="0.3">
      <c r="A14" s="128"/>
      <c r="B14" s="128"/>
      <c r="C14" s="128"/>
      <c r="D14" s="128"/>
      <c r="E14" s="128"/>
      <c r="F14" s="128"/>
      <c r="G14" s="128"/>
      <c r="H14" s="128"/>
      <c r="I14" s="128"/>
      <c r="K14" s="215" t="s">
        <v>2851</v>
      </c>
      <c r="L14" s="216" t="str">
        <f>ROUNDUP(((L11 - (L7 + L9 )) / L11) * 100,1)&amp;"%"</f>
        <v>-3475%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t="s">
        <v>2898</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45895</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335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4335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4335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4335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4335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4335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4335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4335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4335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4335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4335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4335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4335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4335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4335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4335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4335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4335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4335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43355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4335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4335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4335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4335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4335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4335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4335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4335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4335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4335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4335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4335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4335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4335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4335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4335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4335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CF402-F832-481A-ACFD-455C55CF94CB}">
  <sheetPr codeName="Sheet92"/>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BPA0356</v>
      </c>
    </row>
    <row r="2" spans="1:14" ht="15.75" customHeight="1" thickTop="1" x14ac:dyDescent="0.35">
      <c r="A2" s="248" t="str">
        <f ca="1">C4&amp;" - "&amp;C5&amp;" - "&amp;C7</f>
        <v>BPA0356 - Peter &amp; Jenny Rallis - 14-16 Hillsmeade Drive, Narre Warren VIC 3805</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BPA0356</v>
      </c>
      <c r="D4" s="134"/>
      <c r="E4" s="134"/>
      <c r="F4" s="134"/>
      <c r="G4" s="134"/>
      <c r="H4" s="123"/>
      <c r="I4" s="123"/>
      <c r="N4" t="s">
        <v>1125</v>
      </c>
    </row>
    <row r="5" spans="1:14" ht="15.75" thickBot="1" x14ac:dyDescent="0.3">
      <c r="A5" s="254" t="s">
        <v>2835</v>
      </c>
      <c r="B5" s="255"/>
      <c r="C5" s="123" t="s">
        <v>666</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2899</v>
      </c>
      <c r="D7" s="123"/>
      <c r="E7" s="123"/>
      <c r="F7" s="123"/>
      <c r="G7" s="123"/>
      <c r="H7" s="123"/>
      <c r="I7" s="124"/>
      <c r="K7" s="211" t="s">
        <v>2841</v>
      </c>
      <c r="L7" s="212">
        <f>M5*M6</f>
        <v>0</v>
      </c>
    </row>
    <row r="8" spans="1:14" x14ac:dyDescent="0.25">
      <c r="A8" s="254" t="s">
        <v>2842</v>
      </c>
      <c r="B8" s="255"/>
      <c r="C8" s="123" t="s">
        <v>667</v>
      </c>
      <c r="D8" s="123"/>
      <c r="E8" s="123"/>
      <c r="F8" s="123"/>
      <c r="G8" s="123"/>
      <c r="H8" s="123"/>
      <c r="I8" s="124"/>
      <c r="K8" s="213" t="s">
        <v>2843</v>
      </c>
      <c r="L8" s="212">
        <v>0</v>
      </c>
    </row>
    <row r="9" spans="1:14" x14ac:dyDescent="0.25">
      <c r="A9" s="254" t="s">
        <v>2844</v>
      </c>
      <c r="B9" s="255"/>
      <c r="C9" s="123" t="s">
        <v>2900</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45891</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16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116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116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116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116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116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116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116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116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116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116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116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116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116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116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116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116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116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116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117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117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117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117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117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117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117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117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117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117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117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117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117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117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117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117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117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117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836C4-6D0F-4FE2-A3C3-A46480EB8C00}">
  <sheetPr codeName="Sheet90"/>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BPA0355</v>
      </c>
    </row>
    <row r="2" spans="1:14" ht="15.75" customHeight="1" thickTop="1" x14ac:dyDescent="0.35">
      <c r="A2" s="248" t="str">
        <f ca="1">C4&amp;" - "&amp;C5&amp;" - "&amp;C7</f>
        <v>BPA0355 - Peter Twight - Stony Crossing Rd</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BPA0355</v>
      </c>
      <c r="D4" s="134"/>
      <c r="E4" s="134"/>
      <c r="F4" s="134"/>
      <c r="G4" s="134"/>
      <c r="H4" s="123"/>
      <c r="I4" s="123"/>
      <c r="N4" t="s">
        <v>1125</v>
      </c>
    </row>
    <row r="5" spans="1:14" ht="15.75" thickBot="1" x14ac:dyDescent="0.3">
      <c r="A5" s="254" t="s">
        <v>2835</v>
      </c>
      <c r="B5" s="255"/>
      <c r="C5" s="123" t="s">
        <v>661</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663</v>
      </c>
      <c r="D7" s="123"/>
      <c r="E7" s="123"/>
      <c r="F7" s="123"/>
      <c r="G7" s="123"/>
      <c r="H7" s="123"/>
      <c r="I7" s="124"/>
      <c r="K7" s="211" t="s">
        <v>2841</v>
      </c>
      <c r="L7" s="212">
        <f>M5*M6</f>
        <v>0</v>
      </c>
    </row>
    <row r="8" spans="1:14" x14ac:dyDescent="0.25">
      <c r="A8" s="254" t="s">
        <v>2842</v>
      </c>
      <c r="B8" s="255"/>
      <c r="C8" s="123" t="s">
        <v>662</v>
      </c>
      <c r="D8" s="123"/>
      <c r="E8" s="123"/>
      <c r="F8" s="123"/>
      <c r="G8" s="123"/>
      <c r="H8" s="123"/>
      <c r="I8" s="124"/>
      <c r="K8" s="213" t="s">
        <v>2843</v>
      </c>
      <c r="L8" s="212">
        <v>0</v>
      </c>
    </row>
    <row r="9" spans="1:14" x14ac:dyDescent="0.25">
      <c r="A9" s="254" t="s">
        <v>2844</v>
      </c>
      <c r="B9" s="255"/>
      <c r="C9" s="123" t="s">
        <v>2901</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45891</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06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106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106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106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106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106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106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106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106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106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106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106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106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106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106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106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106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106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106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106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106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106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106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106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106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106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106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106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106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106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106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106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106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106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106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106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106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A375E-DF10-4D51-BCE5-EDB334464698}">
  <sheetPr codeName="Sheet86"/>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BPA0354</v>
      </c>
    </row>
    <row r="2" spans="1:14" ht="15.75" customHeight="1" thickTop="1" x14ac:dyDescent="0.35">
      <c r="A2" s="248" t="str">
        <f ca="1">C4&amp;" - "&amp;C5&amp;" - "&amp;C7</f>
        <v>BPA0354 - Gary Bennett - 40 Shady Gully Drive, Mallacoota VIC 3892</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BPA0354</v>
      </c>
      <c r="D4" s="134"/>
      <c r="E4" s="134"/>
      <c r="F4" s="134"/>
      <c r="G4" s="134"/>
      <c r="H4" s="123"/>
      <c r="I4" s="123"/>
      <c r="N4" t="s">
        <v>1125</v>
      </c>
    </row>
    <row r="5" spans="1:14" ht="15.75" thickBot="1" x14ac:dyDescent="0.3">
      <c r="A5" s="254" t="s">
        <v>2835</v>
      </c>
      <c r="B5" s="255"/>
      <c r="C5" s="123" t="s">
        <v>655</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2902</v>
      </c>
      <c r="D7" s="123"/>
      <c r="E7" s="123"/>
      <c r="F7" s="123"/>
      <c r="G7" s="123"/>
      <c r="H7" s="123"/>
      <c r="I7" s="124"/>
      <c r="K7" s="211" t="s">
        <v>2841</v>
      </c>
      <c r="L7" s="212">
        <f>M5*M6</f>
        <v>0</v>
      </c>
    </row>
    <row r="8" spans="1:14" x14ac:dyDescent="0.25">
      <c r="A8" s="254" t="s">
        <v>2842</v>
      </c>
      <c r="B8" s="255"/>
      <c r="C8" s="123" t="s">
        <v>656</v>
      </c>
      <c r="D8" s="123"/>
      <c r="E8" s="123"/>
      <c r="F8" s="123"/>
      <c r="G8" s="123"/>
      <c r="H8" s="123"/>
      <c r="I8" s="124"/>
      <c r="K8" s="213" t="s">
        <v>2843</v>
      </c>
      <c r="L8" s="212">
        <v>0</v>
      </c>
    </row>
    <row r="9" spans="1:14" x14ac:dyDescent="0.25">
      <c r="A9" s="254" t="s">
        <v>2844</v>
      </c>
      <c r="B9" s="255"/>
      <c r="C9" s="123" t="s">
        <v>2903</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0</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45891</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096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096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096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096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096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096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096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096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096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096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096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096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096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096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096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096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096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096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096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096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096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096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096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096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096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096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096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096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096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096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096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096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096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096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096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096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096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E9BF5-15C3-4443-8239-429FEB8B479A}">
  <sheetPr codeName="Sheet84"/>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BPA0353</v>
      </c>
    </row>
    <row r="2" spans="1:14" ht="15.75" customHeight="1" thickTop="1" x14ac:dyDescent="0.35">
      <c r="A2" s="248" t="str">
        <f ca="1">C4&amp;" - "&amp;C5&amp;" - "&amp;C7</f>
        <v>BPA0353 - Lachlan Erwin &amp; Lochie Park - 315 Livingston Rd, Boolarra South</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BPA0353</v>
      </c>
      <c r="D4" s="134"/>
      <c r="E4" s="134"/>
      <c r="F4" s="134"/>
      <c r="G4" s="134"/>
      <c r="H4" s="123"/>
      <c r="I4" s="123"/>
      <c r="N4" t="s">
        <v>1125</v>
      </c>
    </row>
    <row r="5" spans="1:14" ht="15.75" thickBot="1" x14ac:dyDescent="0.3">
      <c r="A5" s="254" t="s">
        <v>2835</v>
      </c>
      <c r="B5" s="255"/>
      <c r="C5" s="123" t="s">
        <v>649</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2904</v>
      </c>
      <c r="D7" s="123"/>
      <c r="E7" s="123"/>
      <c r="F7" s="123"/>
      <c r="G7" s="123"/>
      <c r="H7" s="123"/>
      <c r="I7" s="124"/>
      <c r="K7" s="211" t="s">
        <v>2841</v>
      </c>
      <c r="L7" s="212">
        <f>M5*M6</f>
        <v>0</v>
      </c>
    </row>
    <row r="8" spans="1:14" x14ac:dyDescent="0.25">
      <c r="A8" s="254" t="s">
        <v>2842</v>
      </c>
      <c r="B8" s="255"/>
      <c r="C8" s="123" t="s">
        <v>650</v>
      </c>
      <c r="D8" s="123"/>
      <c r="E8" s="123"/>
      <c r="F8" s="123"/>
      <c r="G8" s="123"/>
      <c r="H8" s="123"/>
      <c r="I8" s="124"/>
      <c r="K8" s="213" t="s">
        <v>2843</v>
      </c>
      <c r="L8" s="212">
        <v>0</v>
      </c>
    </row>
    <row r="9" spans="1:14" x14ac:dyDescent="0.25">
      <c r="A9" s="254" t="s">
        <v>2844</v>
      </c>
      <c r="B9" s="255"/>
      <c r="C9" s="123" t="s">
        <v>2905</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45891</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086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086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086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086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086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086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086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086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086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086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086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086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086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086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086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086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086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086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086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086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086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086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086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086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086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086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086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086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086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086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086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086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086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086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086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086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086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8AA0-2692-41E1-A5DC-E37F3212B096}">
  <sheetPr codeName="Sheet81"/>
  <dimension ref="A1:N50"/>
  <sheetViews>
    <sheetView zoomScale="115" zoomScaleNormal="115" workbookViewId="0">
      <selection activeCell="D28" sqref="D2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BPA0352</v>
      </c>
    </row>
    <row r="2" spans="1:14" ht="15.75" customHeight="1" thickTop="1" x14ac:dyDescent="0.35">
      <c r="A2" s="248" t="str">
        <f ca="1">C4&amp;" - "&amp;C5&amp;" - "&amp;C7</f>
        <v xml:space="preserve">BPA0352 - Steve &amp; Karen Lange - 192 Morriss Rd, Warrnambool VIC </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BPA0352</v>
      </c>
      <c r="D4" s="134"/>
      <c r="E4" s="134"/>
      <c r="F4" s="134"/>
      <c r="G4" s="134"/>
      <c r="H4" s="123"/>
      <c r="I4" s="123"/>
      <c r="N4" t="s">
        <v>1125</v>
      </c>
    </row>
    <row r="5" spans="1:14" ht="15.75" thickBot="1" x14ac:dyDescent="0.3">
      <c r="A5" s="254" t="s">
        <v>2835</v>
      </c>
      <c r="B5" s="255"/>
      <c r="C5" s="123" t="s">
        <v>643</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2906</v>
      </c>
      <c r="D7" s="123"/>
      <c r="E7" s="123"/>
      <c r="F7" s="123"/>
      <c r="G7" s="123"/>
      <c r="H7" s="123"/>
      <c r="I7" s="124"/>
      <c r="K7" s="211" t="s">
        <v>2841</v>
      </c>
      <c r="L7" s="212">
        <f>M5*M6</f>
        <v>0</v>
      </c>
    </row>
    <row r="8" spans="1:14" x14ac:dyDescent="0.25">
      <c r="A8" s="254" t="s">
        <v>2842</v>
      </c>
      <c r="B8" s="255"/>
      <c r="C8" s="123" t="s">
        <v>644</v>
      </c>
      <c r="D8" s="123"/>
      <c r="E8" s="123"/>
      <c r="F8" s="123"/>
      <c r="G8" s="123"/>
      <c r="H8" s="123"/>
      <c r="I8" s="124"/>
      <c r="K8" s="213" t="s">
        <v>2843</v>
      </c>
      <c r="L8" s="212">
        <v>0</v>
      </c>
    </row>
    <row r="9" spans="1:14" x14ac:dyDescent="0.25">
      <c r="A9" s="254" t="s">
        <v>2844</v>
      </c>
      <c r="B9" s="255"/>
      <c r="C9" s="123" t="s">
        <v>2907</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t="s">
        <v>2898</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45891</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075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3075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3075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3075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3075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3075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3075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3075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3075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3075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3075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3075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3075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3075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3075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3076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3076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3076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3076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30760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3076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3076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3076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3076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3076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3076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3076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3076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3076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3076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3076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3076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3076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3076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3076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3076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3076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E2BD1-39E5-4386-837E-449686697D3D}">
  <sheetPr codeName="Sheet80"/>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BPA0351</v>
      </c>
    </row>
    <row r="2" spans="1:14" ht="15.75" customHeight="1" thickTop="1" x14ac:dyDescent="0.35">
      <c r="A2" s="248" t="str">
        <f ca="1">C4&amp;" - "&amp;C5&amp;" - "&amp;C7</f>
        <v>BPA0351 - David Turner - 264 Wilsons Rd, Haddon VIC 3351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BPA0351</v>
      </c>
      <c r="D4" s="134"/>
      <c r="E4" s="134"/>
      <c r="F4" s="134"/>
      <c r="G4" s="134"/>
      <c r="H4" s="123"/>
      <c r="I4" s="123"/>
      <c r="N4" t="s">
        <v>1125</v>
      </c>
    </row>
    <row r="5" spans="1:14" ht="15.75" thickBot="1" x14ac:dyDescent="0.3">
      <c r="A5" s="254" t="s">
        <v>2835</v>
      </c>
      <c r="B5" s="255"/>
      <c r="C5" s="123" t="s">
        <v>637</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2908</v>
      </c>
      <c r="D7" s="123"/>
      <c r="E7" s="123"/>
      <c r="F7" s="123"/>
      <c r="G7" s="123"/>
      <c r="H7" s="123"/>
      <c r="I7" s="124"/>
      <c r="K7" s="211" t="s">
        <v>2841</v>
      </c>
      <c r="L7" s="212">
        <f>M5*M6</f>
        <v>0</v>
      </c>
    </row>
    <row r="8" spans="1:14" x14ac:dyDescent="0.25">
      <c r="A8" s="254" t="s">
        <v>2842</v>
      </c>
      <c r="B8" s="255"/>
      <c r="C8" s="123" t="s">
        <v>638</v>
      </c>
      <c r="D8" s="123"/>
      <c r="E8" s="123"/>
      <c r="F8" s="123"/>
      <c r="G8" s="123"/>
      <c r="H8" s="123"/>
      <c r="I8" s="124"/>
      <c r="K8" s="213" t="s">
        <v>2843</v>
      </c>
      <c r="L8" s="212">
        <v>0</v>
      </c>
    </row>
    <row r="9" spans="1:14" x14ac:dyDescent="0.25">
      <c r="A9" s="254" t="s">
        <v>2844</v>
      </c>
      <c r="B9" s="255"/>
      <c r="C9" s="123" t="s">
        <v>2909</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47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47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47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47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47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47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47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47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47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47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47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47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47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47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47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47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47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47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47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47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47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47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47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47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47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47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47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47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47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47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47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47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47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47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47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47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47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E2752-6D4A-4267-9A5D-AFCAB6BC0316}">
  <sheetPr codeName="Sheet74"/>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BPA0350</v>
      </c>
    </row>
    <row r="2" spans="1:14" ht="15.75" customHeight="1" thickTop="1" x14ac:dyDescent="0.35">
      <c r="A2" s="248" t="str">
        <f ca="1">C4&amp;" - "&amp;C5&amp;" - "&amp;C7</f>
        <v>BPA0350 - Reg Roordink &amp; Debra Danton - 21 Tait Drive, Creswick VIC 3363</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BPA0350</v>
      </c>
      <c r="D4" s="134"/>
      <c r="E4" s="134"/>
      <c r="F4" s="134"/>
      <c r="G4" s="134"/>
      <c r="H4" s="123"/>
      <c r="I4" s="123"/>
      <c r="N4" t="s">
        <v>1125</v>
      </c>
    </row>
    <row r="5" spans="1:14" ht="15.75" thickBot="1" x14ac:dyDescent="0.3">
      <c r="A5" s="254" t="s">
        <v>2835</v>
      </c>
      <c r="B5" s="255"/>
      <c r="C5" s="123" t="s">
        <v>630</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2910</v>
      </c>
      <c r="D7" s="123"/>
      <c r="E7" s="123"/>
      <c r="F7" s="123"/>
      <c r="G7" s="123"/>
      <c r="H7" s="123"/>
      <c r="I7" s="124"/>
      <c r="K7" s="211" t="s">
        <v>2841</v>
      </c>
      <c r="L7" s="212">
        <f>M5*M6</f>
        <v>0</v>
      </c>
    </row>
    <row r="8" spans="1:14" x14ac:dyDescent="0.25">
      <c r="A8" s="254" t="s">
        <v>2842</v>
      </c>
      <c r="B8" s="255"/>
      <c r="C8" s="123" t="s">
        <v>631</v>
      </c>
      <c r="D8" s="123"/>
      <c r="E8" s="123"/>
      <c r="F8" s="123"/>
      <c r="G8" s="123"/>
      <c r="H8" s="123"/>
      <c r="I8" s="124"/>
      <c r="K8" s="213" t="s">
        <v>2843</v>
      </c>
      <c r="L8" s="212">
        <v>0</v>
      </c>
    </row>
    <row r="9" spans="1:14" x14ac:dyDescent="0.25">
      <c r="A9" s="254" t="s">
        <v>2844</v>
      </c>
      <c r="B9" s="255"/>
      <c r="C9" s="123" t="s">
        <v>2911</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36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36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36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36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36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36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36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36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36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36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36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36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36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36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36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36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36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36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36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37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37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37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37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37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37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37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37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37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37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37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37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37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37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37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37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37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37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15CF1-DED3-4032-BDAC-2EDA626FE2EF}">
  <sheetPr codeName="Sheet70"/>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BPA0349</v>
      </c>
    </row>
    <row r="2" spans="1:14" ht="15.75" customHeight="1" thickTop="1" x14ac:dyDescent="0.35">
      <c r="A2" s="248" t="str">
        <f ca="1">C4&amp;" - "&amp;C5&amp;" - "&amp;C7</f>
        <v>BPA0349 - Leigh Mitchell - 25 McMillan St, Traralgon VIC 3844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BPA0349</v>
      </c>
      <c r="D4" s="134"/>
      <c r="E4" s="134"/>
      <c r="F4" s="134"/>
      <c r="G4" s="134"/>
      <c r="H4" s="123"/>
      <c r="I4" s="123"/>
      <c r="N4" t="s">
        <v>1125</v>
      </c>
    </row>
    <row r="5" spans="1:14" ht="15.75" thickBot="1" x14ac:dyDescent="0.3">
      <c r="A5" s="254" t="s">
        <v>2835</v>
      </c>
      <c r="B5" s="255"/>
      <c r="C5" s="123" t="s">
        <v>626</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2912</v>
      </c>
      <c r="D7" s="123"/>
      <c r="E7" s="123"/>
      <c r="F7" s="123"/>
      <c r="G7" s="123"/>
      <c r="H7" s="123"/>
      <c r="I7" s="124"/>
      <c r="K7" s="211" t="s">
        <v>2841</v>
      </c>
      <c r="L7" s="212">
        <f>M5*M6</f>
        <v>0</v>
      </c>
    </row>
    <row r="8" spans="1:14" x14ac:dyDescent="0.25">
      <c r="A8" s="254" t="s">
        <v>2842</v>
      </c>
      <c r="B8" s="255"/>
      <c r="C8" s="123" t="s">
        <v>627</v>
      </c>
      <c r="D8" s="123"/>
      <c r="E8" s="123"/>
      <c r="F8" s="123"/>
      <c r="G8" s="123"/>
      <c r="H8" s="123"/>
      <c r="I8" s="124"/>
      <c r="K8" s="213" t="s">
        <v>2843</v>
      </c>
      <c r="L8" s="212">
        <v>0</v>
      </c>
    </row>
    <row r="9" spans="1:14" x14ac:dyDescent="0.25">
      <c r="A9" s="254" t="s">
        <v>2844</v>
      </c>
      <c r="B9" s="255"/>
      <c r="C9" s="123" t="s">
        <v>2913</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26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26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26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26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26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26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26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26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26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26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26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26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26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26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26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26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26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26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26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26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26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26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26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26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26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26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26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26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26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26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26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26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26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26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26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26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26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B27DC-2398-4702-9939-F0DD1D19A36D}">
  <sheetPr codeName="Sheet67"/>
  <dimension ref="A1:N50"/>
  <sheetViews>
    <sheetView zoomScale="115" zoomScaleNormal="115" workbookViewId="0">
      <selection activeCell="D28" sqref="D2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BPA0348</v>
      </c>
    </row>
    <row r="2" spans="1:14" ht="15.75" customHeight="1" thickTop="1" x14ac:dyDescent="0.35">
      <c r="A2" s="248" t="str">
        <f ca="1">C4&amp;" - "&amp;C5&amp;" - "&amp;C7</f>
        <v>BPA0348 - Ron Thomas - 10 Smith St, Horsham VIC 3400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BPA0348</v>
      </c>
      <c r="D4" s="134"/>
      <c r="E4" s="134"/>
      <c r="F4" s="134"/>
      <c r="G4" s="134"/>
      <c r="H4" s="123"/>
      <c r="I4" s="123"/>
      <c r="N4" t="s">
        <v>1125</v>
      </c>
    </row>
    <row r="5" spans="1:14" ht="15.75" thickBot="1" x14ac:dyDescent="0.3">
      <c r="A5" s="254" t="s">
        <v>2835</v>
      </c>
      <c r="B5" s="255"/>
      <c r="C5" s="123" t="s">
        <v>622</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2914</v>
      </c>
      <c r="D7" s="123"/>
      <c r="E7" s="123"/>
      <c r="F7" s="123"/>
      <c r="G7" s="123"/>
      <c r="H7" s="123"/>
      <c r="I7" s="124"/>
      <c r="K7" s="211" t="s">
        <v>2841</v>
      </c>
      <c r="L7" s="212">
        <f>M5*M6</f>
        <v>0</v>
      </c>
    </row>
    <row r="8" spans="1:14" x14ac:dyDescent="0.25">
      <c r="A8" s="254" t="s">
        <v>2842</v>
      </c>
      <c r="B8" s="255"/>
      <c r="C8" s="123" t="s">
        <v>623</v>
      </c>
      <c r="D8" s="123"/>
      <c r="E8" s="123"/>
      <c r="F8" s="123"/>
      <c r="G8" s="123"/>
      <c r="H8" s="123"/>
      <c r="I8" s="124"/>
      <c r="K8" s="213" t="s">
        <v>2843</v>
      </c>
      <c r="L8" s="212">
        <v>0</v>
      </c>
    </row>
    <row r="9" spans="1:14" x14ac:dyDescent="0.25">
      <c r="A9" s="254" t="s">
        <v>2844</v>
      </c>
      <c r="B9" s="255"/>
      <c r="C9" s="123" t="s">
        <v>2915</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t="s">
        <v>2898</v>
      </c>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16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16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16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16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16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16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16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16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16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16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16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16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16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16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16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16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16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16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16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16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16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16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16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16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16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16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16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16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16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16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16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16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16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16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16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16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16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A1E37-E148-4DB3-B058-67B7B482D4D5}">
  <sheetPr codeName="Sheet64"/>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BPA0347</v>
      </c>
    </row>
    <row r="2" spans="1:14" ht="15.75" customHeight="1" thickTop="1" x14ac:dyDescent="0.35">
      <c r="A2" s="248" t="str">
        <f ca="1">C4&amp;" - "&amp;C5&amp;" - "&amp;C7</f>
        <v>BPA0347 - Delwyn Prakash  - 9 Dunoon St, Mooroolbark VIC 3138</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BPA0347</v>
      </c>
      <c r="D4" s="134"/>
      <c r="E4" s="134"/>
      <c r="F4" s="134"/>
      <c r="G4" s="134"/>
      <c r="H4" s="123"/>
      <c r="I4" s="123"/>
      <c r="N4" t="s">
        <v>1125</v>
      </c>
    </row>
    <row r="5" spans="1:14" ht="15.75" thickBot="1" x14ac:dyDescent="0.3">
      <c r="A5" s="254" t="s">
        <v>2835</v>
      </c>
      <c r="B5" s="255"/>
      <c r="C5" s="123" t="s">
        <v>2916</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2917</v>
      </c>
      <c r="D7" s="123"/>
      <c r="E7" s="123"/>
      <c r="F7" s="123"/>
      <c r="G7" s="123"/>
      <c r="H7" s="123"/>
      <c r="I7" s="124"/>
      <c r="K7" s="211" t="s">
        <v>2841</v>
      </c>
      <c r="L7" s="212">
        <f>M5*M6</f>
        <v>0</v>
      </c>
    </row>
    <row r="8" spans="1:14" x14ac:dyDescent="0.25">
      <c r="A8" s="254" t="s">
        <v>2842</v>
      </c>
      <c r="B8" s="255"/>
      <c r="C8" s="123" t="s">
        <v>617</v>
      </c>
      <c r="D8" s="123"/>
      <c r="E8" s="123"/>
      <c r="F8" s="123"/>
      <c r="G8" s="123"/>
      <c r="H8" s="123"/>
      <c r="I8" s="124"/>
      <c r="K8" s="213" t="s">
        <v>2843</v>
      </c>
      <c r="L8" s="212">
        <v>0</v>
      </c>
    </row>
    <row r="9" spans="1:14" x14ac:dyDescent="0.25">
      <c r="A9" s="254" t="s">
        <v>2844</v>
      </c>
      <c r="B9" s="255"/>
      <c r="C9" s="123" t="s">
        <v>2918</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806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806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806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806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806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806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806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806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806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806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806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806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806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806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806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806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806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806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806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806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806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806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806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806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806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806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806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806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806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806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806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806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806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806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806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806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806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F0164-5F4B-40CE-9DA4-8C8F9A53C852}">
  <sheetPr codeName="Sheet63"/>
  <dimension ref="A1:N50"/>
  <sheetViews>
    <sheetView topLeftCell="A24" zoomScale="115" zoomScaleNormal="115" workbookViewId="0">
      <selection activeCell="D26" sqref="D26"/>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BPA0346</v>
      </c>
    </row>
    <row r="2" spans="1:14" ht="15.75" customHeight="1" thickTop="1" x14ac:dyDescent="0.35">
      <c r="A2" s="248" t="str">
        <f ca="1">C4&amp;" - "&amp;C5&amp;" - "&amp;C7</f>
        <v>BPA0346 - Kathry nDole &amp; Guido - 2 Argyll Drive, Junortoun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BPA0346</v>
      </c>
      <c r="D4" s="134"/>
      <c r="E4" s="134"/>
      <c r="F4" s="134"/>
      <c r="G4" s="134"/>
      <c r="H4" s="123"/>
      <c r="I4" s="123"/>
      <c r="N4" t="s">
        <v>1125</v>
      </c>
    </row>
    <row r="5" spans="1:14" ht="15.75" thickBot="1" x14ac:dyDescent="0.3">
      <c r="A5" s="254" t="s">
        <v>2835</v>
      </c>
      <c r="B5" s="255"/>
      <c r="C5" s="123" t="s">
        <v>2919</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2920</v>
      </c>
      <c r="D7" s="123"/>
      <c r="E7" s="123"/>
      <c r="F7" s="123"/>
      <c r="G7" s="123"/>
      <c r="H7" s="123"/>
      <c r="I7" s="124"/>
      <c r="K7" s="211" t="s">
        <v>2841</v>
      </c>
      <c r="L7" s="212">
        <f>M5*M6</f>
        <v>0</v>
      </c>
    </row>
    <row r="8" spans="1:14" x14ac:dyDescent="0.25">
      <c r="A8" s="254" t="s">
        <v>2842</v>
      </c>
      <c r="B8" s="255"/>
      <c r="C8" s="123" t="s">
        <v>613</v>
      </c>
      <c r="D8" s="123"/>
      <c r="E8" s="123"/>
      <c r="F8" s="123"/>
      <c r="G8" s="123"/>
      <c r="H8" s="123"/>
      <c r="I8" s="124"/>
      <c r="K8" s="213" t="s">
        <v>2843</v>
      </c>
      <c r="L8" s="212">
        <v>0</v>
      </c>
    </row>
    <row r="9" spans="1:14" x14ac:dyDescent="0.25">
      <c r="A9" s="254" t="s">
        <v>2844</v>
      </c>
      <c r="B9" s="255"/>
      <c r="C9" s="123" t="s">
        <v>2921</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v>13469</v>
      </c>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95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95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95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95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95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95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95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95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95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95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95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95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95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95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95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96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96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96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96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960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96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96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96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96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96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96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96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96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96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96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96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96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96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96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96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96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96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67FDF-1F94-4982-890E-CD82FA4BA467}">
  <sheetPr codeName="Sheet62"/>
  <dimension ref="A1:N50"/>
  <sheetViews>
    <sheetView zoomScale="115" zoomScaleNormal="115" workbookViewId="0">
      <selection activeCell="I37" sqref="I3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BPA0345</v>
      </c>
    </row>
    <row r="2" spans="1:14" ht="15.75" customHeight="1" thickTop="1" x14ac:dyDescent="0.35">
      <c r="A2" s="248" t="str">
        <f ca="1">C4&amp;" - "&amp;C5&amp;" - "&amp;C7</f>
        <v>BPA0345 - Mon Buso - 261 Bowles Rd, Longlea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BPA0345</v>
      </c>
      <c r="D4" s="134"/>
      <c r="E4" s="134"/>
      <c r="F4" s="134"/>
      <c r="G4" s="134"/>
      <c r="H4" s="123"/>
      <c r="I4" s="123"/>
      <c r="N4" t="s">
        <v>1125</v>
      </c>
    </row>
    <row r="5" spans="1:14" ht="15.75" thickBot="1" x14ac:dyDescent="0.3">
      <c r="A5" s="254" t="s">
        <v>2835</v>
      </c>
      <c r="B5" s="255"/>
      <c r="C5" s="123" t="s">
        <v>606</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2922</v>
      </c>
      <c r="D7" s="123"/>
      <c r="E7" s="123"/>
      <c r="F7" s="123"/>
      <c r="G7" s="123"/>
      <c r="H7" s="123"/>
      <c r="I7" s="124"/>
      <c r="K7" s="211" t="s">
        <v>2841</v>
      </c>
      <c r="L7" s="212">
        <f>M5*M6</f>
        <v>0</v>
      </c>
    </row>
    <row r="8" spans="1:14" x14ac:dyDescent="0.25">
      <c r="A8" s="254" t="s">
        <v>2842</v>
      </c>
      <c r="B8" s="255"/>
      <c r="C8" s="123" t="s">
        <v>607</v>
      </c>
      <c r="D8" s="123"/>
      <c r="E8" s="123"/>
      <c r="F8" s="123"/>
      <c r="G8" s="123"/>
      <c r="H8" s="123"/>
      <c r="I8" s="124"/>
      <c r="K8" s="213" t="s">
        <v>2843</v>
      </c>
      <c r="L8" s="212">
        <v>0</v>
      </c>
    </row>
    <row r="9" spans="1:14" x14ac:dyDescent="0.25">
      <c r="A9" s="254" t="s">
        <v>2844</v>
      </c>
      <c r="B9" s="255"/>
      <c r="C9" s="123" t="s">
        <v>2923</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856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856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856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856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856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856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856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856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856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857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857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857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857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857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857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857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857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857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857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858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858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858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858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858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858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858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858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858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858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859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859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859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859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859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859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859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859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73091-CFB2-40E3-97FE-B6C53C69263E}">
  <sheetPr codeName="Sheet59"/>
  <dimension ref="A1:N50"/>
  <sheetViews>
    <sheetView zoomScale="115" zoomScaleNormal="115" workbookViewId="0">
      <selection activeCell="D22" sqref="D22:H2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 xml:space="preserve">BPA0344 </v>
      </c>
    </row>
    <row r="2" spans="1:14" ht="15.75" customHeight="1" thickTop="1" x14ac:dyDescent="0.35">
      <c r="A2" s="248" t="str">
        <f ca="1">C4&amp;" - "&amp;C5&amp;" - "&amp;C7</f>
        <v>BPA0344  - Tim Bertus  - 8 Newry St, Watchem VIC 3482</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 xml:space="preserve">BPA0344 </v>
      </c>
      <c r="D4" s="134"/>
      <c r="E4" s="134"/>
      <c r="F4" s="134"/>
      <c r="G4" s="134"/>
      <c r="H4" s="123"/>
      <c r="I4" s="123"/>
      <c r="N4" t="s">
        <v>1125</v>
      </c>
    </row>
    <row r="5" spans="1:14" ht="15.75" thickBot="1" x14ac:dyDescent="0.3">
      <c r="A5" s="254" t="s">
        <v>2835</v>
      </c>
      <c r="B5" s="255"/>
      <c r="C5" s="123" t="s">
        <v>2924</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2925</v>
      </c>
      <c r="D7" s="123"/>
      <c r="E7" s="123"/>
      <c r="F7" s="123"/>
      <c r="G7" s="123"/>
      <c r="H7" s="123"/>
      <c r="I7" s="124"/>
      <c r="K7" s="211" t="s">
        <v>2841</v>
      </c>
      <c r="L7" s="212">
        <f>M5*M6</f>
        <v>0</v>
      </c>
    </row>
    <row r="8" spans="1:14" x14ac:dyDescent="0.25">
      <c r="A8" s="254" t="s">
        <v>2842</v>
      </c>
      <c r="B8" s="255"/>
      <c r="C8" s="123" t="s">
        <v>601</v>
      </c>
      <c r="D8" s="123"/>
      <c r="E8" s="123"/>
      <c r="F8" s="123"/>
      <c r="G8" s="123"/>
      <c r="H8" s="123"/>
      <c r="I8" s="124"/>
      <c r="K8" s="213" t="s">
        <v>2843</v>
      </c>
      <c r="L8" s="212">
        <v>0</v>
      </c>
    </row>
    <row r="9" spans="1:14" x14ac:dyDescent="0.25">
      <c r="A9" s="254" t="s">
        <v>2844</v>
      </c>
      <c r="B9" s="255"/>
      <c r="C9" s="123" t="s">
        <v>2926</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v>50134</v>
      </c>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75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75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75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75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75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75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75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75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75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75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75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75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75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75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75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75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75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75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75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755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75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75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75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75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75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75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75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75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75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75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75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75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75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75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75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75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75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FF149-0421-48B8-A251-71E81926EAD8}">
  <sheetPr codeName="Sheet55"/>
  <dimension ref="A1:N50"/>
  <sheetViews>
    <sheetView zoomScale="115" zoomScaleNormal="115" workbookViewId="0">
      <selection activeCell="K24" sqref="K2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E10013</v>
      </c>
    </row>
    <row r="2" spans="1:14" ht="15.75" customHeight="1" thickTop="1" x14ac:dyDescent="0.35">
      <c r="A2" s="248" t="str">
        <f ca="1">C4&amp;" - "&amp;C5&amp;" - "&amp;C7</f>
        <v>E10013 - Trevor Lamb - 2 Julian Ct, Epsom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E10013</v>
      </c>
      <c r="D4" s="134"/>
      <c r="E4" s="134"/>
      <c r="F4" s="134"/>
      <c r="G4" s="134"/>
      <c r="H4" s="123"/>
      <c r="I4" s="123"/>
      <c r="N4" t="s">
        <v>1125</v>
      </c>
    </row>
    <row r="5" spans="1:14" ht="15.75" thickBot="1" x14ac:dyDescent="0.3">
      <c r="A5" s="254" t="s">
        <v>2835</v>
      </c>
      <c r="B5" s="255"/>
      <c r="C5" s="123" t="s">
        <v>693</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2927</v>
      </c>
      <c r="D7" s="123"/>
      <c r="E7" s="123"/>
      <c r="F7" s="123"/>
      <c r="G7" s="123"/>
      <c r="H7" s="123"/>
      <c r="I7" s="124"/>
      <c r="K7" s="211" t="s">
        <v>2841</v>
      </c>
      <c r="L7" s="212">
        <f>M5*M6</f>
        <v>0</v>
      </c>
    </row>
    <row r="8" spans="1:14" x14ac:dyDescent="0.25">
      <c r="A8" s="254" t="s">
        <v>2842</v>
      </c>
      <c r="B8" s="255"/>
      <c r="C8" s="123" t="s">
        <v>694</v>
      </c>
      <c r="D8" s="123"/>
      <c r="E8" s="123"/>
      <c r="F8" s="123"/>
      <c r="G8" s="123"/>
      <c r="H8" s="123"/>
      <c r="I8" s="124"/>
      <c r="K8" s="213" t="s">
        <v>2843</v>
      </c>
      <c r="L8" s="212">
        <v>0</v>
      </c>
    </row>
    <row r="9" spans="1:14" x14ac:dyDescent="0.25">
      <c r="A9" s="254" t="s">
        <v>2844</v>
      </c>
      <c r="B9" s="255"/>
      <c r="C9" s="123" t="s">
        <v>2928</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15900</v>
      </c>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v>22.75</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2931</v>
      </c>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45883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7651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17651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17651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17651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17651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17651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17651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17652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17652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17652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17652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17652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17652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17652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17652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17652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17652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17653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17653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17653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17653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17653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17653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17653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17653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17653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17653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17654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17654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17654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17654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17654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17654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17654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17654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17654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17654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6F535-F22D-4500-8737-A859A1C4FEFC}">
  <sheetPr codeName="Sheet57"/>
  <dimension ref="A1:N50"/>
  <sheetViews>
    <sheetView zoomScale="115" zoomScaleNormal="115" workbookViewId="0">
      <selection activeCell="D28" sqref="D2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 xml:space="preserve">BPA0343 </v>
      </c>
    </row>
    <row r="2" spans="1:14" ht="15.75" customHeight="1" thickTop="1" x14ac:dyDescent="0.35">
      <c r="A2" s="248" t="str">
        <f ca="1">C4&amp;" - "&amp;C5&amp;" - "&amp;C7</f>
        <v>BPA0343  - Melissa Callahan - 37 Campbell St, Colac VIC 3250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 xml:space="preserve">BPA0343 </v>
      </c>
      <c r="D4" s="134"/>
      <c r="E4" s="134"/>
      <c r="F4" s="134"/>
      <c r="G4" s="134"/>
      <c r="H4" s="123"/>
      <c r="I4" s="123"/>
      <c r="N4" t="s">
        <v>1125</v>
      </c>
    </row>
    <row r="5" spans="1:14" ht="15.75" thickBot="1" x14ac:dyDescent="0.3">
      <c r="A5" s="254" t="s">
        <v>2835</v>
      </c>
      <c r="B5" s="255"/>
      <c r="C5" s="123" t="s">
        <v>596</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2932</v>
      </c>
      <c r="D7" s="123"/>
      <c r="E7" s="123"/>
      <c r="F7" s="123"/>
      <c r="G7" s="123"/>
      <c r="H7" s="123"/>
      <c r="I7" s="124"/>
      <c r="K7" s="211" t="s">
        <v>2841</v>
      </c>
      <c r="L7" s="212">
        <f>M5*M6</f>
        <v>0</v>
      </c>
    </row>
    <row r="8" spans="1:14" x14ac:dyDescent="0.25">
      <c r="A8" s="254" t="s">
        <v>2842</v>
      </c>
      <c r="B8" s="255"/>
      <c r="C8" s="123" t="s">
        <v>597</v>
      </c>
      <c r="D8" s="123"/>
      <c r="E8" s="123"/>
      <c r="F8" s="123"/>
      <c r="G8" s="123"/>
      <c r="H8" s="123"/>
      <c r="I8" s="124"/>
      <c r="K8" s="213" t="s">
        <v>2843</v>
      </c>
      <c r="L8" s="212">
        <v>0</v>
      </c>
    </row>
    <row r="9" spans="1:14" x14ac:dyDescent="0.25">
      <c r="A9" s="254" t="s">
        <v>2844</v>
      </c>
      <c r="B9" s="255"/>
      <c r="C9" s="123" t="s">
        <v>2933</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t="s">
        <v>2898</v>
      </c>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7206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07206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07206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07206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07206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07207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07207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07207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07207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07207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07207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07207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07207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07207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07207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07208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07208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07208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07208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07208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07208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07208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07208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07208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07208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07209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07209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07209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07209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07209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07209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07209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07209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07209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07209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07210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07210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03F69-54D9-489B-B6A1-A09609859442}">
  <sheetPr codeName="Sheet27"/>
  <dimension ref="A1:N50"/>
  <sheetViews>
    <sheetView zoomScale="115" zoomScaleNormal="115" workbookViewId="0">
      <selection activeCell="J4" sqref="J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 xml:space="preserve">BPA0342 </v>
      </c>
    </row>
    <row r="2" spans="1:14" ht="15.75" customHeight="1" thickTop="1" x14ac:dyDescent="0.35">
      <c r="A2" s="248" t="str">
        <f ca="1">C4&amp;" - "&amp;C5&amp;" - "&amp;C7</f>
        <v>BPA0342  - Marc Magee - 24 Agora Place, Junortoun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 xml:space="preserve">BPA0342 </v>
      </c>
      <c r="D4" s="134"/>
      <c r="E4" s="134"/>
      <c r="F4" s="134"/>
      <c r="G4" s="134"/>
      <c r="H4" s="123"/>
      <c r="I4" s="123"/>
      <c r="N4" t="s">
        <v>1125</v>
      </c>
    </row>
    <row r="5" spans="1:14" ht="15.75" thickBot="1" x14ac:dyDescent="0.3">
      <c r="A5" s="254" t="s">
        <v>2835</v>
      </c>
      <c r="B5" s="255"/>
      <c r="C5" s="123" t="s">
        <v>593</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2934</v>
      </c>
      <c r="D7" s="123"/>
      <c r="E7" s="123"/>
      <c r="F7" s="123"/>
      <c r="G7" s="123"/>
      <c r="H7" s="123"/>
      <c r="I7" s="124"/>
      <c r="K7" s="211" t="s">
        <v>2841</v>
      </c>
      <c r="L7" s="212">
        <f>M5*M6</f>
        <v>0</v>
      </c>
    </row>
    <row r="8" spans="1:14" x14ac:dyDescent="0.25">
      <c r="A8" s="254" t="s">
        <v>2842</v>
      </c>
      <c r="B8" s="255"/>
      <c r="C8" s="123" t="s">
        <v>2935</v>
      </c>
      <c r="D8" s="123"/>
      <c r="E8" s="123"/>
      <c r="F8" s="123"/>
      <c r="G8" s="123"/>
      <c r="H8" s="123"/>
      <c r="I8" s="124"/>
      <c r="K8" s="213" t="s">
        <v>2843</v>
      </c>
      <c r="L8" s="212">
        <v>0</v>
      </c>
    </row>
    <row r="9" spans="1:14" x14ac:dyDescent="0.25">
      <c r="A9" s="254" t="s">
        <v>2844</v>
      </c>
      <c r="B9" s="255"/>
      <c r="C9" s="123" t="s">
        <v>2935</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t="s">
        <v>566</v>
      </c>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710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0710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0710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0710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0710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0710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0710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0710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0710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0710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0710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0710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0710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0710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0710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0710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0710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0710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0710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0710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0710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0710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0710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0710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0710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0710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0710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0710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0710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0710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0710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0710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0710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0710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0710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0710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0710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9D20F-AB66-4A86-8DDF-212E04A8A50C}">
  <sheetPr codeName="Sheet16"/>
  <dimension ref="A1:N50"/>
  <sheetViews>
    <sheetView topLeftCell="A24" zoomScale="115" zoomScaleNormal="115" workbookViewId="0">
      <selection activeCell="K13" sqref="K13"/>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BPA0341</v>
      </c>
    </row>
    <row r="2" spans="1:14" ht="15.75" customHeight="1" thickTop="1" x14ac:dyDescent="0.35">
      <c r="A2" s="248" t="str">
        <f ca="1">C4&amp;" - "&amp;C5&amp;" - "&amp;C7</f>
        <v>BPA0341 - Ashley Bell - 5 Eastern Lane, Maiden Gully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BPA0341</v>
      </c>
      <c r="D4" s="134"/>
      <c r="E4" s="134"/>
      <c r="F4" s="134"/>
      <c r="G4" s="134"/>
      <c r="H4" s="123"/>
      <c r="I4" s="123"/>
      <c r="N4" t="s">
        <v>1125</v>
      </c>
    </row>
    <row r="5" spans="1:14" ht="15.75" thickBot="1" x14ac:dyDescent="0.3">
      <c r="A5" s="254" t="s">
        <v>2835</v>
      </c>
      <c r="B5" s="255"/>
      <c r="C5" s="123" t="s">
        <v>587</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2936</v>
      </c>
      <c r="D7" s="123"/>
      <c r="E7" s="123"/>
      <c r="F7" s="123"/>
      <c r="G7" s="123"/>
      <c r="H7" s="123"/>
      <c r="I7" s="124"/>
      <c r="K7" s="211" t="s">
        <v>2841</v>
      </c>
      <c r="L7" s="212">
        <f>M5*M6</f>
        <v>0</v>
      </c>
    </row>
    <row r="8" spans="1:14" x14ac:dyDescent="0.25">
      <c r="A8" s="254" t="s">
        <v>2842</v>
      </c>
      <c r="B8" s="255"/>
      <c r="C8" s="123" t="s">
        <v>588</v>
      </c>
      <c r="D8" s="123"/>
      <c r="E8" s="123"/>
      <c r="F8" s="123"/>
      <c r="G8" s="123"/>
      <c r="H8" s="123"/>
      <c r="I8" s="124"/>
      <c r="K8" s="213" t="s">
        <v>2843</v>
      </c>
      <c r="L8" s="212">
        <v>0</v>
      </c>
    </row>
    <row r="9" spans="1:14" x14ac:dyDescent="0.25">
      <c r="A9" s="254" t="s">
        <v>2844</v>
      </c>
      <c r="B9" s="255"/>
      <c r="C9" s="123" t="s">
        <v>2937</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45891</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7001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607001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607001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607002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607002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607002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607002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607002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607002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607002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607002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607002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607002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607003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607003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607003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607003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607003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607003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607003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607003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607003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607003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607004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607004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607004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607004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607004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607004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607004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607004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607004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607004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607005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607005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607005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607005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6DC5A-575B-46AB-A437-CD243D24F4CA}">
  <sheetPr codeName="Sheet32"/>
  <dimension ref="A1:N50"/>
  <sheetViews>
    <sheetView zoomScale="115" zoomScaleNormal="115" workbookViewId="0">
      <selection activeCell="D22" sqref="D22:H2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BPA0339</v>
      </c>
    </row>
    <row r="2" spans="1:14" ht="15.75" customHeight="1" thickTop="1" x14ac:dyDescent="0.35">
      <c r="A2" s="248" t="str">
        <f ca="1">C4&amp;" - "&amp;C5&amp;" - "&amp;C7</f>
        <v>BPA0339 - James Bates - 30 Birdwood Avenue, Upwey VIC 3158</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BPA0339</v>
      </c>
      <c r="D4" s="134"/>
      <c r="E4" s="134"/>
      <c r="F4" s="134"/>
      <c r="G4" s="134"/>
      <c r="H4" s="123"/>
      <c r="I4" s="123"/>
      <c r="N4" t="s">
        <v>1125</v>
      </c>
    </row>
    <row r="5" spans="1:14" ht="15.75" thickBot="1" x14ac:dyDescent="0.3">
      <c r="A5" s="254" t="s">
        <v>2835</v>
      </c>
      <c r="B5" s="255"/>
      <c r="C5" s="123" t="s">
        <v>581</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2938</v>
      </c>
      <c r="D7" s="123"/>
      <c r="E7" s="123"/>
      <c r="F7" s="123"/>
      <c r="G7" s="123"/>
      <c r="H7" s="123"/>
      <c r="I7" s="124"/>
      <c r="K7" s="211" t="s">
        <v>2841</v>
      </c>
      <c r="L7" s="212">
        <f>M5*M6</f>
        <v>0</v>
      </c>
    </row>
    <row r="8" spans="1:14" x14ac:dyDescent="0.25">
      <c r="A8" s="254" t="s">
        <v>2842</v>
      </c>
      <c r="B8" s="255"/>
      <c r="C8" s="123" t="s">
        <v>582</v>
      </c>
      <c r="D8" s="123"/>
      <c r="E8" s="123"/>
      <c r="F8" s="123"/>
      <c r="G8" s="123"/>
      <c r="H8" s="123"/>
      <c r="I8" s="124"/>
      <c r="K8" s="213" t="s">
        <v>2843</v>
      </c>
      <c r="L8" s="212">
        <v>0</v>
      </c>
    </row>
    <row r="9" spans="1:14" x14ac:dyDescent="0.25">
      <c r="A9" s="254" t="s">
        <v>2844</v>
      </c>
      <c r="B9" s="255"/>
      <c r="C9" s="123" t="s">
        <v>2939</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1</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6249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96249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96249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96250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96250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96250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96250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96250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96250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96250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96250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96250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96250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96251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96251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96251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96251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96251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96251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96251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96251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96251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96251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96252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96252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96252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96252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96252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96252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96252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96252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96252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96252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96253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96253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96253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96253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CF986-4183-4C8B-BAEE-6D9BD76931BA}">
  <sheetPr codeName="Sheet56"/>
  <dimension ref="A1:N50"/>
  <sheetViews>
    <sheetView zoomScale="115" zoomScaleNormal="115" workbookViewId="0">
      <selection activeCell="K13" sqref="K13"/>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BPA0337</v>
      </c>
    </row>
    <row r="2" spans="1:14" ht="15.75" customHeight="1" thickTop="1" x14ac:dyDescent="0.35">
      <c r="A2" s="248" t="str">
        <f ca="1">C4&amp;" - "&amp;C5&amp;" - "&amp;C7</f>
        <v>BPA0337 - Thomas Young - 10 Lawson Crescent, Warragul VIC 3820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BPA0337</v>
      </c>
      <c r="D4" s="134"/>
      <c r="E4" s="134"/>
      <c r="F4" s="134"/>
      <c r="G4" s="134"/>
      <c r="H4" s="123"/>
      <c r="I4" s="123"/>
      <c r="N4" t="s">
        <v>1125</v>
      </c>
    </row>
    <row r="5" spans="1:14" ht="15.75" thickBot="1" x14ac:dyDescent="0.3">
      <c r="A5" s="254" t="s">
        <v>2835</v>
      </c>
      <c r="B5" s="255"/>
      <c r="C5" s="123" t="s">
        <v>569</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2940</v>
      </c>
      <c r="D7" s="123"/>
      <c r="E7" s="123"/>
      <c r="F7" s="123"/>
      <c r="G7" s="123"/>
      <c r="H7" s="123"/>
      <c r="I7" s="124"/>
      <c r="K7" s="211" t="s">
        <v>2841</v>
      </c>
      <c r="L7" s="212">
        <f>M5*M6</f>
        <v>0</v>
      </c>
    </row>
    <row r="8" spans="1:14" x14ac:dyDescent="0.25">
      <c r="A8" s="254" t="s">
        <v>2842</v>
      </c>
      <c r="B8" s="255"/>
      <c r="C8" s="123" t="s">
        <v>570</v>
      </c>
      <c r="D8" s="123"/>
      <c r="E8" s="123"/>
      <c r="F8" s="123"/>
      <c r="G8" s="123"/>
      <c r="H8" s="123"/>
      <c r="I8" s="124"/>
      <c r="K8" s="213" t="s">
        <v>2843</v>
      </c>
      <c r="L8" s="212">
        <v>0</v>
      </c>
    </row>
    <row r="9" spans="1:14" x14ac:dyDescent="0.25">
      <c r="A9" s="254" t="s">
        <v>2844</v>
      </c>
      <c r="B9" s="255"/>
      <c r="C9" s="123" t="s">
        <v>2941</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508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508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508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508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508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508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508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508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508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508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508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508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508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508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508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508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508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508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508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509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509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509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509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509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509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509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509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509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509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509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509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509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509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509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509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509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509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4D03-ADD1-4EAB-8DD5-B898212E63AB}">
  <sheetPr codeName="Sheet54"/>
  <dimension ref="A1:N50"/>
  <sheetViews>
    <sheetView zoomScale="115" zoomScaleNormal="115" workbookViewId="0">
      <selection activeCell="D22" sqref="D22:H2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BPA0336</v>
      </c>
    </row>
    <row r="2" spans="1:14" ht="15.75" customHeight="1" thickTop="1" x14ac:dyDescent="0.35">
      <c r="A2" s="248" t="str">
        <f ca="1">C4&amp;" - "&amp;C5&amp;" - "&amp;C7</f>
        <v>BPA0336 - Ray Flynn - 10 Trevally Way, Tatura VIC 3616</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BPA0336</v>
      </c>
      <c r="D4" s="134"/>
      <c r="E4" s="134"/>
      <c r="F4" s="134"/>
      <c r="G4" s="134"/>
      <c r="H4" s="123"/>
      <c r="I4" s="123"/>
      <c r="N4" t="s">
        <v>1125</v>
      </c>
    </row>
    <row r="5" spans="1:14" ht="15.75" thickBot="1" x14ac:dyDescent="0.3">
      <c r="A5" s="254" t="s">
        <v>2835</v>
      </c>
      <c r="B5" s="255"/>
      <c r="C5" s="123" t="s">
        <v>565</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2942</v>
      </c>
      <c r="D7" s="123"/>
      <c r="E7" s="123"/>
      <c r="F7" s="123"/>
      <c r="G7" s="123"/>
      <c r="H7" s="123"/>
      <c r="I7" s="124"/>
      <c r="K7" s="211" t="s">
        <v>2841</v>
      </c>
      <c r="L7" s="212">
        <f>M5*M6</f>
        <v>0</v>
      </c>
    </row>
    <row r="8" spans="1:14" x14ac:dyDescent="0.25">
      <c r="A8" s="254" t="s">
        <v>2842</v>
      </c>
      <c r="B8" s="255"/>
      <c r="C8" s="123"/>
      <c r="D8" s="123"/>
      <c r="E8" s="123"/>
      <c r="F8" s="123"/>
      <c r="G8" s="123"/>
      <c r="H8" s="123"/>
      <c r="I8" s="124"/>
      <c r="K8" s="213" t="s">
        <v>2843</v>
      </c>
      <c r="L8" s="212">
        <v>0</v>
      </c>
    </row>
    <row r="9" spans="1:14" x14ac:dyDescent="0.25">
      <c r="A9" s="254" t="s">
        <v>2844</v>
      </c>
      <c r="B9" s="255"/>
      <c r="C9" s="123" t="s">
        <v>566</v>
      </c>
      <c r="D9" s="123"/>
      <c r="E9" s="123"/>
      <c r="F9" s="123"/>
      <c r="G9" s="123"/>
      <c r="H9" s="123"/>
      <c r="I9" s="124"/>
      <c r="K9" s="211" t="s">
        <v>2845</v>
      </c>
      <c r="L9" s="212">
        <v>0</v>
      </c>
      <c r="M9" s="109"/>
    </row>
    <row r="10" spans="1:14" x14ac:dyDescent="0.25">
      <c r="A10" s="245" t="s">
        <v>2846</v>
      </c>
      <c r="B10" s="246"/>
      <c r="C10" s="125" t="s">
        <v>566</v>
      </c>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2943</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t="s">
        <v>2944</v>
      </c>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98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98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98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98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98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98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98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98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98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98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98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98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98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98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98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98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98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98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98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98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98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98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98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98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98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98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98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98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98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98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98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98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98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98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98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98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98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B9B33-3533-42CB-A62C-7CBB527C4702}">
  <sheetPr codeName="Sheet49"/>
  <dimension ref="A1:N50"/>
  <sheetViews>
    <sheetView zoomScale="95" zoomScaleNormal="95" workbookViewId="0">
      <selection activeCell="K27" sqref="K2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BPA0335</v>
      </c>
    </row>
    <row r="2" spans="1:14" ht="15.75" customHeight="1" thickTop="1" x14ac:dyDescent="0.35">
      <c r="A2" s="248" t="str">
        <f ca="1">C4&amp;" - "&amp;C5&amp;" - "&amp;C7</f>
        <v>BPA0335 - Travis Murphy - 43 Godfrey St, Wedderburn VIC 3518</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BPA0335</v>
      </c>
      <c r="D4" s="134"/>
      <c r="E4" s="134"/>
      <c r="F4" s="134"/>
      <c r="G4" s="134"/>
      <c r="H4" s="123"/>
      <c r="I4" s="123"/>
      <c r="N4" t="s">
        <v>1125</v>
      </c>
    </row>
    <row r="5" spans="1:14" ht="15.75" thickBot="1" x14ac:dyDescent="0.3">
      <c r="A5" s="254" t="s">
        <v>2835</v>
      </c>
      <c r="B5" s="255"/>
      <c r="C5" s="123" t="s">
        <v>561</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2945</v>
      </c>
      <c r="D7" s="123"/>
      <c r="E7" s="123"/>
      <c r="F7" s="123"/>
      <c r="G7" s="123"/>
      <c r="H7" s="123"/>
      <c r="I7" s="124"/>
      <c r="K7" s="211" t="s">
        <v>2841</v>
      </c>
      <c r="L7" s="212">
        <f>M5*M6</f>
        <v>0</v>
      </c>
    </row>
    <row r="8" spans="1:14" x14ac:dyDescent="0.25">
      <c r="A8" s="254" t="s">
        <v>2842</v>
      </c>
      <c r="B8" s="255"/>
      <c r="C8" s="123" t="s">
        <v>562</v>
      </c>
      <c r="D8" s="123"/>
      <c r="E8" s="123"/>
      <c r="F8" s="123"/>
      <c r="G8" s="123"/>
      <c r="H8" s="123"/>
      <c r="I8" s="124"/>
      <c r="K8" s="213" t="s">
        <v>2843</v>
      </c>
      <c r="L8" s="212">
        <v>0</v>
      </c>
    </row>
    <row r="9" spans="1:14" x14ac:dyDescent="0.25">
      <c r="A9" s="254" t="s">
        <v>2844</v>
      </c>
      <c r="B9" s="255"/>
      <c r="C9" s="123" t="s">
        <v>2946</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t="s">
        <v>2947</v>
      </c>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t="s">
        <v>2898</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45890</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1</v>
      </c>
      <c r="B37" s="131" t="s">
        <v>2881</v>
      </c>
      <c r="C37" s="131"/>
      <c r="D37" s="131"/>
      <c r="E37" s="131"/>
      <c r="F37" s="131"/>
      <c r="G37" s="131"/>
      <c r="H37" s="131"/>
      <c r="I37" s="144">
        <v>45890</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88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88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88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88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88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88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88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88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88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88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88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88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88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88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88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88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88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88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88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88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88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88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88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88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88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88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88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88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88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88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88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88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88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88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88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88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88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1A134-7579-45C6-860A-8B8A8F913D76}">
  <sheetPr codeName="Sheet46"/>
  <dimension ref="A1:N50"/>
  <sheetViews>
    <sheetView zoomScale="115" zoomScaleNormal="115" workbookViewId="0">
      <selection activeCell="J42" sqref="J4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BPA0334</v>
      </c>
    </row>
    <row r="2" spans="1:14" ht="15.75" customHeight="1" thickTop="1" x14ac:dyDescent="0.35">
      <c r="A2" s="248" t="str">
        <f ca="1">C4&amp;" - "&amp;C5&amp;" - "&amp;C7</f>
        <v>BPA0334 - Craig Spratling - 160 Clintons Rd, Smiths Gully VIC 3760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BPA0334</v>
      </c>
      <c r="D4" s="134"/>
      <c r="E4" s="134"/>
      <c r="F4" s="134"/>
      <c r="G4" s="134"/>
      <c r="H4" s="123"/>
      <c r="I4" s="123"/>
      <c r="N4" t="s">
        <v>1125</v>
      </c>
    </row>
    <row r="5" spans="1:14" ht="15.75" thickBot="1" x14ac:dyDescent="0.3">
      <c r="A5" s="254" t="s">
        <v>2835</v>
      </c>
      <c r="B5" s="255"/>
      <c r="C5" s="123" t="s">
        <v>555</v>
      </c>
      <c r="D5" s="123"/>
      <c r="E5" s="123"/>
      <c r="F5" s="123"/>
      <c r="G5" s="123"/>
      <c r="H5" s="123"/>
      <c r="I5" s="124"/>
      <c r="M5" s="193">
        <v>9</v>
      </c>
      <c r="N5" s="194" t="s">
        <v>2836</v>
      </c>
    </row>
    <row r="6" spans="1:14" ht="15.75" thickTop="1" x14ac:dyDescent="0.25">
      <c r="A6" s="254" t="s">
        <v>2837</v>
      </c>
      <c r="B6" s="255"/>
      <c r="C6" s="123"/>
      <c r="D6" s="123"/>
      <c r="E6" s="123"/>
      <c r="F6" s="123"/>
      <c r="G6" s="123"/>
      <c r="H6" s="123"/>
      <c r="I6" s="124"/>
      <c r="K6" s="243" t="s">
        <v>2838</v>
      </c>
      <c r="L6" s="244"/>
      <c r="M6" s="195">
        <v>9</v>
      </c>
      <c r="N6" s="194" t="s">
        <v>2839</v>
      </c>
    </row>
    <row r="7" spans="1:14" x14ac:dyDescent="0.25">
      <c r="A7" s="254" t="s">
        <v>2840</v>
      </c>
      <c r="B7" s="255"/>
      <c r="C7" s="123" t="s">
        <v>2948</v>
      </c>
      <c r="D7" s="123"/>
      <c r="E7" s="123"/>
      <c r="F7" s="123"/>
      <c r="G7" s="123"/>
      <c r="H7" s="123"/>
      <c r="I7" s="124"/>
      <c r="K7" s="211" t="s">
        <v>2841</v>
      </c>
      <c r="L7" s="212">
        <f>M5*M6</f>
        <v>81</v>
      </c>
    </row>
    <row r="8" spans="1:14" x14ac:dyDescent="0.25">
      <c r="A8" s="254" t="s">
        <v>2842</v>
      </c>
      <c r="B8" s="255"/>
      <c r="C8" s="123" t="s">
        <v>556</v>
      </c>
      <c r="D8" s="123"/>
      <c r="E8" s="123"/>
      <c r="F8" s="123"/>
      <c r="G8" s="123"/>
      <c r="H8" s="123"/>
      <c r="I8" s="124"/>
      <c r="K8" s="213" t="s">
        <v>2843</v>
      </c>
      <c r="L8" s="212">
        <v>0</v>
      </c>
    </row>
    <row r="9" spans="1:14" x14ac:dyDescent="0.25">
      <c r="A9" s="254" t="s">
        <v>2844</v>
      </c>
      <c r="B9" s="255"/>
      <c r="C9" s="123" t="s">
        <v>2949</v>
      </c>
      <c r="D9" s="123"/>
      <c r="E9" s="123"/>
      <c r="F9" s="123"/>
      <c r="G9" s="123"/>
      <c r="H9" s="123"/>
      <c r="I9" s="124"/>
      <c r="K9" s="211" t="s">
        <v>2845</v>
      </c>
      <c r="L9" s="212">
        <f>176+322</f>
        <v>498</v>
      </c>
      <c r="M9" s="109"/>
    </row>
    <row r="10" spans="1:14" x14ac:dyDescent="0.25">
      <c r="A10" s="245" t="s">
        <v>2846</v>
      </c>
      <c r="B10" s="246"/>
      <c r="C10" s="125"/>
      <c r="D10" s="125"/>
      <c r="E10" s="125"/>
      <c r="F10" s="125"/>
      <c r="G10" s="125"/>
      <c r="H10" s="125"/>
      <c r="I10" s="126"/>
      <c r="K10" s="211" t="s">
        <v>2847</v>
      </c>
      <c r="L10" s="212">
        <v>66</v>
      </c>
      <c r="M10" s="109">
        <f>(L7+L9+L8)/L11*100</f>
        <v>0.83573903002309469</v>
      </c>
    </row>
    <row r="11" spans="1:14" x14ac:dyDescent="0.25">
      <c r="A11" s="127"/>
      <c r="B11" s="127"/>
      <c r="C11" s="127"/>
      <c r="D11" s="127"/>
      <c r="E11" s="127"/>
      <c r="F11" s="127"/>
      <c r="G11" s="127"/>
      <c r="H11" s="127"/>
      <c r="I11" s="127"/>
      <c r="K11" s="211" t="s">
        <v>2848</v>
      </c>
      <c r="L11" s="212">
        <v>69280</v>
      </c>
      <c r="M11" s="168"/>
    </row>
    <row r="12" spans="1:14" x14ac:dyDescent="0.25">
      <c r="A12" s="128"/>
      <c r="B12" s="128"/>
      <c r="C12" s="128"/>
      <c r="D12" s="128"/>
      <c r="E12" s="128"/>
      <c r="F12" s="128"/>
      <c r="G12" s="128"/>
      <c r="H12" s="128"/>
      <c r="I12" s="128"/>
      <c r="K12" s="213" t="s">
        <v>2849</v>
      </c>
      <c r="L12" s="214" t="str">
        <f>IF(L9&gt;0,LEFT(M10,5)&amp;"%","")</f>
        <v>0.835%</v>
      </c>
    </row>
    <row r="13" spans="1:14" x14ac:dyDescent="0.25">
      <c r="A13" s="128"/>
      <c r="B13" s="128"/>
      <c r="C13" s="128"/>
      <c r="D13" s="128"/>
      <c r="E13" s="128"/>
      <c r="F13" s="128"/>
      <c r="G13" s="128"/>
      <c r="H13" s="128"/>
      <c r="I13" s="128"/>
      <c r="K13" s="213" t="s">
        <v>2850</v>
      </c>
      <c r="L13" s="214">
        <f>(L11 - (L7 + L9 + L10+L8)) / L11</f>
        <v>0.99068995381062352</v>
      </c>
    </row>
    <row r="14" spans="1:14" ht="15.75" thickBot="1" x14ac:dyDescent="0.3">
      <c r="A14" s="128"/>
      <c r="B14" s="128"/>
      <c r="C14" s="128"/>
      <c r="D14" s="128"/>
      <c r="E14" s="128"/>
      <c r="F14" s="128"/>
      <c r="G14" s="128"/>
      <c r="H14" s="128"/>
      <c r="I14" s="128"/>
      <c r="K14" s="215" t="s">
        <v>2851</v>
      </c>
      <c r="L14" s="216" t="str">
        <f>ROUNDUP(((L11 - (L7 + L9 )) / L11) * 100,1)&amp;"%"</f>
        <v>99.2%</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1</v>
      </c>
      <c r="B37" s="131" t="s">
        <v>2881</v>
      </c>
      <c r="C37" s="131"/>
      <c r="D37" s="131"/>
      <c r="E37" s="131"/>
      <c r="F37" s="131"/>
      <c r="G37" s="131"/>
      <c r="H37" s="131"/>
      <c r="I37" s="144">
        <v>45890</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78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78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78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78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78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78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78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78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78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78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78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78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78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78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78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78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78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78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78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78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78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78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78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78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78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78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78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78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78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78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78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78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78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78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78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78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78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FDDB6-A2B1-4877-9C3D-F9FB9A152B35}">
  <sheetPr codeName="Sheet45"/>
  <dimension ref="A1:N50"/>
  <sheetViews>
    <sheetView zoomScale="115" zoomScaleNormal="115" workbookViewId="0">
      <selection activeCell="L14" sqref="K6:L1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BPA0333</v>
      </c>
    </row>
    <row r="2" spans="1:14" ht="15.75" customHeight="1" thickTop="1" x14ac:dyDescent="0.35">
      <c r="A2" s="248" t="str">
        <f ca="1">C4&amp;" - "&amp;C5&amp;" - "&amp;C7</f>
        <v>BPA0333 - Jason Jenkins - 15 Ballagh St, Elliminyt VIC 3250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BPA0333</v>
      </c>
      <c r="D4" s="134"/>
      <c r="E4" s="134"/>
      <c r="F4" s="134"/>
      <c r="G4" s="134"/>
      <c r="H4" s="123"/>
      <c r="I4" s="123"/>
      <c r="N4" t="s">
        <v>1125</v>
      </c>
    </row>
    <row r="5" spans="1:14" ht="15.75" thickBot="1" x14ac:dyDescent="0.3">
      <c r="A5" s="254" t="s">
        <v>2835</v>
      </c>
      <c r="B5" s="255"/>
      <c r="C5" s="123" t="s">
        <v>549</v>
      </c>
      <c r="D5" s="123"/>
      <c r="E5" s="123"/>
      <c r="F5" s="123"/>
      <c r="G5" s="123"/>
      <c r="H5" s="123"/>
      <c r="I5" s="124"/>
      <c r="M5" s="193">
        <v>10</v>
      </c>
      <c r="N5" s="194" t="s">
        <v>2836</v>
      </c>
    </row>
    <row r="6" spans="1:14" ht="15.75" thickTop="1" x14ac:dyDescent="0.25">
      <c r="A6" s="254" t="s">
        <v>2837</v>
      </c>
      <c r="B6" s="255"/>
      <c r="C6" s="123"/>
      <c r="D6" s="123"/>
      <c r="E6" s="123"/>
      <c r="F6" s="123"/>
      <c r="G6" s="123"/>
      <c r="H6" s="123"/>
      <c r="I6" s="124"/>
      <c r="K6" s="243" t="s">
        <v>2838</v>
      </c>
      <c r="L6" s="244"/>
      <c r="M6" s="195">
        <v>12</v>
      </c>
      <c r="N6" s="194" t="s">
        <v>2839</v>
      </c>
    </row>
    <row r="7" spans="1:14" x14ac:dyDescent="0.25">
      <c r="A7" s="254" t="s">
        <v>2840</v>
      </c>
      <c r="B7" s="255"/>
      <c r="C7" s="123" t="s">
        <v>2950</v>
      </c>
      <c r="D7" s="123"/>
      <c r="E7" s="123"/>
      <c r="F7" s="123"/>
      <c r="G7" s="123"/>
      <c r="H7" s="123"/>
      <c r="I7" s="124"/>
      <c r="K7" s="211" t="s">
        <v>2841</v>
      </c>
      <c r="L7" s="212">
        <f>M5*M6</f>
        <v>120</v>
      </c>
    </row>
    <row r="8" spans="1:14" x14ac:dyDescent="0.25">
      <c r="A8" s="254" t="s">
        <v>2842</v>
      </c>
      <c r="B8" s="255"/>
      <c r="C8" s="123" t="s">
        <v>550</v>
      </c>
      <c r="D8" s="123"/>
      <c r="E8" s="123"/>
      <c r="F8" s="123"/>
      <c r="G8" s="123"/>
      <c r="H8" s="123"/>
      <c r="I8" s="124"/>
      <c r="K8" s="213" t="s">
        <v>2843</v>
      </c>
      <c r="L8" s="212">
        <v>30.5</v>
      </c>
    </row>
    <row r="9" spans="1:14" x14ac:dyDescent="0.25">
      <c r="A9" s="254" t="s">
        <v>2844</v>
      </c>
      <c r="B9" s="255"/>
      <c r="C9" s="123" t="s">
        <v>2951</v>
      </c>
      <c r="D9" s="123"/>
      <c r="E9" s="123"/>
      <c r="F9" s="123"/>
      <c r="G9" s="123"/>
      <c r="H9" s="123"/>
      <c r="I9" s="124"/>
      <c r="K9" s="211" t="s">
        <v>2845</v>
      </c>
      <c r="L9" s="212">
        <v>235</v>
      </c>
      <c r="M9" s="109"/>
    </row>
    <row r="10" spans="1:14" x14ac:dyDescent="0.25">
      <c r="A10" s="245" t="s">
        <v>2846</v>
      </c>
      <c r="B10" s="246"/>
      <c r="C10" s="125"/>
      <c r="D10" s="125"/>
      <c r="E10" s="125"/>
      <c r="F10" s="125"/>
      <c r="G10" s="125"/>
      <c r="H10" s="125"/>
      <c r="I10" s="126"/>
      <c r="K10" s="211" t="s">
        <v>2847</v>
      </c>
      <c r="L10" s="212">
        <v>112.5</v>
      </c>
      <c r="M10" s="109">
        <f>(L7+L9+L8)/L11*100</f>
        <v>36.16322701688555</v>
      </c>
    </row>
    <row r="11" spans="1:14" x14ac:dyDescent="0.25">
      <c r="A11" s="127"/>
      <c r="B11" s="127"/>
      <c r="C11" s="127"/>
      <c r="D11" s="127"/>
      <c r="E11" s="127"/>
      <c r="F11" s="127"/>
      <c r="G11" s="127"/>
      <c r="H11" s="127"/>
      <c r="I11" s="127"/>
      <c r="K11" s="211" t="s">
        <v>2848</v>
      </c>
      <c r="L11" s="212">
        <v>1066</v>
      </c>
      <c r="M11" s="168"/>
    </row>
    <row r="12" spans="1:14" x14ac:dyDescent="0.25">
      <c r="A12" s="128"/>
      <c r="B12" s="128"/>
      <c r="C12" s="128"/>
      <c r="D12" s="128"/>
      <c r="E12" s="128"/>
      <c r="F12" s="128"/>
      <c r="G12" s="128"/>
      <c r="H12" s="128"/>
      <c r="I12" s="128"/>
      <c r="K12" s="213" t="s">
        <v>2849</v>
      </c>
      <c r="L12" s="214" t="str">
        <f>IF(L9&gt;0,LEFT(M10,5)&amp;"%","")</f>
        <v>36.16%</v>
      </c>
    </row>
    <row r="13" spans="1:14" x14ac:dyDescent="0.25">
      <c r="A13" s="128"/>
      <c r="B13" s="128"/>
      <c r="C13" s="128"/>
      <c r="D13" s="128"/>
      <c r="E13" s="128"/>
      <c r="F13" s="128"/>
      <c r="G13" s="128"/>
      <c r="H13" s="128"/>
      <c r="I13" s="128"/>
      <c r="K13" s="213" t="s">
        <v>2850</v>
      </c>
      <c r="L13" s="214">
        <f>(L11 - (L7 + L9 + L10+L8)) / L11</f>
        <v>0.53283302063789872</v>
      </c>
    </row>
    <row r="14" spans="1:14" ht="15.75" thickBot="1" x14ac:dyDescent="0.3">
      <c r="A14" s="128"/>
      <c r="B14" s="128"/>
      <c r="C14" s="128"/>
      <c r="D14" s="128"/>
      <c r="E14" s="128"/>
      <c r="F14" s="128"/>
      <c r="G14" s="128"/>
      <c r="H14" s="128"/>
      <c r="I14" s="128"/>
      <c r="K14" s="215" t="s">
        <v>2851</v>
      </c>
      <c r="L14" s="216" t="str">
        <f>ROUNDUP(((L11 - (L7 + L9 )) / L11) * 100,1)&amp;"%"</f>
        <v>66.7%</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1</v>
      </c>
      <c r="B37" s="131" t="s">
        <v>2881</v>
      </c>
      <c r="C37" s="131"/>
      <c r="D37" s="131"/>
      <c r="E37" s="131"/>
      <c r="F37" s="131"/>
      <c r="G37" s="131"/>
      <c r="H37" s="131"/>
      <c r="I37" s="144">
        <v>45887</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67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67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67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67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67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67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67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67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67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67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67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67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67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67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67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68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68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68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68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680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68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68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68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68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68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68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68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68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68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68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68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68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68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68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68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68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68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4EED5-50EF-478F-8417-CAA6D7CE7C1C}">
  <sheetPr codeName="Sheet20"/>
  <dimension ref="A1:N50"/>
  <sheetViews>
    <sheetView topLeftCell="A6" zoomScale="115" zoomScaleNormal="115" workbookViewId="0">
      <selection activeCell="H26" sqref="H26"/>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BPA0332</v>
      </c>
    </row>
    <row r="2" spans="1:14" ht="15.75" customHeight="1" thickTop="1" x14ac:dyDescent="0.35">
      <c r="A2" s="248" t="str">
        <f ca="1">C4&amp;" - "&amp;C5&amp;" - "&amp;C7</f>
        <v>BPA0332 - Geoff Elder - 302 High St, Golden Square VIC 3555</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BPA0332</v>
      </c>
      <c r="D4" s="134"/>
      <c r="E4" s="134"/>
      <c r="F4" s="134"/>
      <c r="G4" s="134"/>
      <c r="H4" s="123"/>
      <c r="I4" s="123"/>
      <c r="N4" t="s">
        <v>1125</v>
      </c>
    </row>
    <row r="5" spans="1:14" ht="15.75" thickBot="1" x14ac:dyDescent="0.3">
      <c r="A5" s="254" t="s">
        <v>2835</v>
      </c>
      <c r="B5" s="255"/>
      <c r="C5" s="123" t="s">
        <v>544</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2952</v>
      </c>
      <c r="D7" s="123"/>
      <c r="E7" s="123"/>
      <c r="F7" s="123"/>
      <c r="G7" s="123"/>
      <c r="H7" s="123"/>
      <c r="I7" s="124"/>
      <c r="K7" s="211" t="s">
        <v>2841</v>
      </c>
      <c r="L7" s="212">
        <f>M5*M6</f>
        <v>0</v>
      </c>
    </row>
    <row r="8" spans="1:14" x14ac:dyDescent="0.25">
      <c r="A8" s="254" t="s">
        <v>2842</v>
      </c>
      <c r="B8" s="255"/>
      <c r="C8" s="123" t="s">
        <v>545</v>
      </c>
      <c r="D8" s="123"/>
      <c r="E8" s="123"/>
      <c r="F8" s="123"/>
      <c r="G8" s="123"/>
      <c r="H8" s="123"/>
      <c r="I8" s="124"/>
      <c r="K8" s="213" t="s">
        <v>2843</v>
      </c>
      <c r="L8" s="212">
        <v>0</v>
      </c>
    </row>
    <row r="9" spans="1:14" x14ac:dyDescent="0.25">
      <c r="A9" s="254" t="s">
        <v>2844</v>
      </c>
      <c r="B9" s="255"/>
      <c r="C9" s="123" t="s">
        <v>2953</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2954</v>
      </c>
      <c r="E21" s="138"/>
      <c r="F21" s="138"/>
      <c r="G21" s="138"/>
      <c r="H21" s="138"/>
      <c r="I21" s="138"/>
    </row>
    <row r="22" spans="1:9" x14ac:dyDescent="0.25">
      <c r="A22" s="136" t="s">
        <v>2855</v>
      </c>
      <c r="B22" s="123"/>
      <c r="C22" s="123"/>
      <c r="D22" s="256">
        <v>37293</v>
      </c>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0</v>
      </c>
      <c r="B29" s="123" t="s">
        <v>2863</v>
      </c>
      <c r="C29" s="123"/>
      <c r="D29" s="123"/>
      <c r="E29" s="129" t="b">
        <v>1</v>
      </c>
      <c r="F29" s="123" t="s">
        <v>2864</v>
      </c>
      <c r="G29" s="123"/>
    </row>
    <row r="30" spans="1:9" x14ac:dyDescent="0.25">
      <c r="A30" s="129"/>
      <c r="B30" s="123" t="s">
        <v>2865</v>
      </c>
      <c r="C30" s="123"/>
      <c r="D30" s="123"/>
      <c r="E30" s="129" t="b">
        <v>1</v>
      </c>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4576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84576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84576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84576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84576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84576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84576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84576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84576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84577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84577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84577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84577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84577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84577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84577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84577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84577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84577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84578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84578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84578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84578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84578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84578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84578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84578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84578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84578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84579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84579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84579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84579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84579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84579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84579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84579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69B78-72C0-4600-A29B-D737AFF42B85}">
  <sheetPr codeName="Sheet19"/>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BPA0331</v>
      </c>
    </row>
    <row r="2" spans="1:14" ht="15.75" customHeight="1" thickTop="1" x14ac:dyDescent="0.35">
      <c r="A2" s="248" t="str">
        <f ca="1">C4&amp;" - "&amp;C5&amp;" - "&amp;C7</f>
        <v>BPA0331 - David Ramlu - 8 Tarawera Rd, Doreen VIC 3754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BPA0331</v>
      </c>
      <c r="D4" s="134"/>
      <c r="E4" s="134"/>
      <c r="F4" s="134"/>
      <c r="G4" s="134"/>
      <c r="H4" s="123"/>
      <c r="I4" s="123"/>
      <c r="N4" t="s">
        <v>1125</v>
      </c>
    </row>
    <row r="5" spans="1:14" ht="15.75" thickBot="1" x14ac:dyDescent="0.3">
      <c r="A5" s="254" t="s">
        <v>2835</v>
      </c>
      <c r="B5" s="255"/>
      <c r="C5" s="123" t="s">
        <v>538</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2955</v>
      </c>
      <c r="D7" s="123"/>
      <c r="E7" s="123"/>
      <c r="F7" s="123"/>
      <c r="G7" s="123"/>
      <c r="H7" s="123"/>
      <c r="I7" s="124"/>
      <c r="K7" s="211" t="s">
        <v>2841</v>
      </c>
      <c r="L7" s="212">
        <f>M5*M6</f>
        <v>0</v>
      </c>
    </row>
    <row r="8" spans="1:14" x14ac:dyDescent="0.25">
      <c r="A8" s="254" t="s">
        <v>2842</v>
      </c>
      <c r="B8" s="255"/>
      <c r="C8" s="123" t="s">
        <v>539</v>
      </c>
      <c r="D8" s="123"/>
      <c r="E8" s="123"/>
      <c r="F8" s="123"/>
      <c r="G8" s="123"/>
      <c r="H8" s="123"/>
      <c r="I8" s="124"/>
      <c r="K8" s="213" t="s">
        <v>2843</v>
      </c>
      <c r="L8" s="212">
        <v>0</v>
      </c>
    </row>
    <row r="9" spans="1:14" x14ac:dyDescent="0.25">
      <c r="A9" s="254" t="s">
        <v>2844</v>
      </c>
      <c r="B9" s="255"/>
      <c r="C9" s="140" t="s">
        <v>2956</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45877</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D33368F9-8D93-475D-8B36-4970B2757CB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74233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74233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74233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74234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74234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74234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74234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74234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74234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74234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74234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74234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74234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74235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74235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74235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74235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74235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74235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74235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74235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74235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74235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74236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74236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74236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74236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74236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74236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74236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74236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74236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74236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74237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74237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74237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74237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F7A0-09AD-4120-A729-1B4DAE419D2E}">
  <sheetPr codeName="Sheet44"/>
  <dimension ref="A1:N50"/>
  <sheetViews>
    <sheetView zoomScale="115" zoomScaleNormal="115" workbookViewId="0">
      <selection activeCell="D22" sqref="D22:H2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BPA0330</v>
      </c>
    </row>
    <row r="2" spans="1:14" ht="15.75" customHeight="1" thickTop="1" x14ac:dyDescent="0.35">
      <c r="A2" s="248" t="str">
        <f ca="1">C4&amp;" - "&amp;C5&amp;" - "&amp;C7</f>
        <v>BPA0330 - Bobi Markoski - 65 Wombat Ave, Heathcote Junction VIC 3758</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BPA0330</v>
      </c>
      <c r="D4" s="134"/>
      <c r="E4" s="134"/>
      <c r="F4" s="134"/>
      <c r="G4" s="134"/>
      <c r="H4" s="123"/>
      <c r="I4" s="123"/>
      <c r="N4" t="s">
        <v>1125</v>
      </c>
    </row>
    <row r="5" spans="1:14" ht="15.75" thickBot="1" x14ac:dyDescent="0.3">
      <c r="A5" s="254" t="s">
        <v>2835</v>
      </c>
      <c r="B5" s="255"/>
      <c r="C5" s="123" t="s">
        <v>532</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2957</v>
      </c>
      <c r="D7" s="123"/>
      <c r="E7" s="123"/>
      <c r="F7" s="123"/>
      <c r="G7" s="123"/>
      <c r="H7" s="123"/>
      <c r="I7" s="124"/>
      <c r="K7" s="211" t="s">
        <v>2841</v>
      </c>
      <c r="L7" s="212">
        <f>M5*M6</f>
        <v>0</v>
      </c>
    </row>
    <row r="8" spans="1:14" x14ac:dyDescent="0.25">
      <c r="A8" s="254" t="s">
        <v>2842</v>
      </c>
      <c r="B8" s="255"/>
      <c r="C8" s="123" t="s">
        <v>533</v>
      </c>
      <c r="D8" s="123"/>
      <c r="E8" s="123"/>
      <c r="F8" s="123"/>
      <c r="G8" s="123"/>
      <c r="H8" s="123"/>
      <c r="I8" s="124"/>
      <c r="K8" s="213" t="s">
        <v>2843</v>
      </c>
      <c r="L8" s="212">
        <v>0</v>
      </c>
    </row>
    <row r="9" spans="1:14" x14ac:dyDescent="0.25">
      <c r="A9" s="254" t="s">
        <v>2844</v>
      </c>
      <c r="B9" s="255"/>
      <c r="C9" s="123" t="s">
        <v>2958</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358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6358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6358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6358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6358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6358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6358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6358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6358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6358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6358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6358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6358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6358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6358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6358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6358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6358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6358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6358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6358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6358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6358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6358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6358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6358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6358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6358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6358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6358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6358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6358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6358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6358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6358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6358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6358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6758B-FFEE-40C2-89FB-448839D482C0}">
  <sheetPr codeName="Sheet30"/>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BPA0329</v>
      </c>
    </row>
    <row r="2" spans="1:14" ht="15.75" customHeight="1" thickTop="1" x14ac:dyDescent="0.35">
      <c r="A2" s="248" t="str">
        <f ca="1">C4&amp;" - "&amp;C5&amp;" - "&amp;C7</f>
        <v>BPA0329 - Ghil Hernandez - 35 Elaine-Egerton Rd, Elaine VIC 3334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BPA0329</v>
      </c>
      <c r="D4" s="134"/>
      <c r="E4" s="134"/>
      <c r="F4" s="134"/>
      <c r="G4" s="134"/>
      <c r="H4" s="123"/>
      <c r="I4" s="123"/>
      <c r="N4" t="s">
        <v>1125</v>
      </c>
    </row>
    <row r="5" spans="1:14" ht="15.75" thickBot="1" x14ac:dyDescent="0.3">
      <c r="A5" s="254" t="s">
        <v>2835</v>
      </c>
      <c r="B5" s="255"/>
      <c r="C5" s="123" t="s">
        <v>525</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2959</v>
      </c>
      <c r="D7" s="123"/>
      <c r="E7" s="123"/>
      <c r="F7" s="123"/>
      <c r="G7" s="123"/>
      <c r="H7" s="123"/>
      <c r="I7" s="124"/>
      <c r="K7" s="211" t="s">
        <v>2841</v>
      </c>
      <c r="L7" s="212">
        <f>M5*M6</f>
        <v>0</v>
      </c>
    </row>
    <row r="8" spans="1:14" x14ac:dyDescent="0.25">
      <c r="A8" s="254" t="s">
        <v>2842</v>
      </c>
      <c r="B8" s="255"/>
      <c r="C8" s="123" t="s">
        <v>526</v>
      </c>
      <c r="D8" s="123"/>
      <c r="E8" s="123"/>
      <c r="F8" s="123"/>
      <c r="G8" s="123"/>
      <c r="H8" s="123"/>
      <c r="I8" s="124"/>
      <c r="K8" s="213" t="s">
        <v>2843</v>
      </c>
      <c r="L8" s="212">
        <v>0</v>
      </c>
    </row>
    <row r="9" spans="1:14" x14ac:dyDescent="0.25">
      <c r="A9" s="254" t="s">
        <v>2844</v>
      </c>
      <c r="B9" s="255"/>
      <c r="C9" s="140" t="s">
        <v>2960</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2943</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0</v>
      </c>
      <c r="F28" s="123" t="s">
        <v>2862</v>
      </c>
      <c r="G28" s="123"/>
    </row>
    <row r="29" spans="1:9" x14ac:dyDescent="0.25">
      <c r="A29" s="129" t="b">
        <v>0</v>
      </c>
      <c r="B29" s="123" t="s">
        <v>2863</v>
      </c>
      <c r="C29" s="123"/>
      <c r="D29" s="123"/>
      <c r="E29" s="129" t="b">
        <v>1</v>
      </c>
      <c r="F29" s="123" t="s">
        <v>2864</v>
      </c>
      <c r="G29" s="123"/>
    </row>
    <row r="30" spans="1:9" x14ac:dyDescent="0.25">
      <c r="A30" s="129"/>
      <c r="B30" s="123" t="s">
        <v>2865</v>
      </c>
      <c r="C30" s="123"/>
      <c r="D30" s="123"/>
      <c r="E30" s="129" t="b">
        <v>0</v>
      </c>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45877</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BCF6C7C-DBA3-4699-A2B2-4BE02379578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63481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63481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63481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63482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63482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63482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63482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63482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63482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63482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63482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63482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63482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63483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63483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63483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63483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63483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63483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63483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63483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63483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63483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63484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63484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63484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63484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63484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63484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63484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63484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63484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63484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63485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63485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63485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63485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02E30-8879-49DB-A6BF-4C30A1C7A858}">
  <sheetPr codeName="Sheet43"/>
  <dimension ref="A1:N50"/>
  <sheetViews>
    <sheetView zoomScale="115" zoomScaleNormal="115" workbookViewId="0"/>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E10021</v>
      </c>
    </row>
    <row r="2" spans="1:14" ht="15.75" customHeight="1" thickTop="1" x14ac:dyDescent="0.35">
      <c r="A2" s="248" t="str">
        <f ca="1">C4&amp;" - "&amp;C5&amp;" - "&amp;C7</f>
        <v>E10021 - Ivan Waight - 20 Triandra Ave, Romsey VIC 3434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E10021</v>
      </c>
      <c r="D4" s="134"/>
      <c r="E4" s="134"/>
      <c r="F4" s="134"/>
      <c r="G4" s="134"/>
      <c r="H4" s="123"/>
      <c r="I4" s="123"/>
      <c r="N4" t="s">
        <v>1125</v>
      </c>
    </row>
    <row r="5" spans="1:14" ht="15.75" thickBot="1" x14ac:dyDescent="0.3">
      <c r="A5" s="254" t="s">
        <v>2835</v>
      </c>
      <c r="B5" s="255"/>
      <c r="C5" s="123" t="s">
        <v>710</v>
      </c>
      <c r="D5" s="123"/>
      <c r="E5" s="123"/>
      <c r="F5" s="123"/>
      <c r="G5" s="123"/>
      <c r="H5" s="123"/>
      <c r="I5" s="124"/>
      <c r="M5" s="193">
        <v>7</v>
      </c>
      <c r="N5" s="194" t="s">
        <v>2836</v>
      </c>
    </row>
    <row r="6" spans="1:14" ht="15.75" thickTop="1" x14ac:dyDescent="0.25">
      <c r="A6" s="254" t="s">
        <v>2837</v>
      </c>
      <c r="B6" s="255"/>
      <c r="C6" s="123"/>
      <c r="D6" s="123"/>
      <c r="E6" s="123"/>
      <c r="F6" s="123"/>
      <c r="G6" s="123"/>
      <c r="H6" s="123"/>
      <c r="I6" s="124"/>
      <c r="K6" s="243" t="s">
        <v>2838</v>
      </c>
      <c r="L6" s="244"/>
      <c r="M6" s="195">
        <v>9</v>
      </c>
      <c r="N6" s="194" t="s">
        <v>2839</v>
      </c>
    </row>
    <row r="7" spans="1:14" x14ac:dyDescent="0.25">
      <c r="A7" s="254" t="s">
        <v>2840</v>
      </c>
      <c r="B7" s="255"/>
      <c r="C7" s="123" t="s">
        <v>2961</v>
      </c>
      <c r="D7" s="123"/>
      <c r="E7" s="123"/>
      <c r="F7" s="123"/>
      <c r="G7" s="123"/>
      <c r="H7" s="123"/>
      <c r="I7" s="124"/>
      <c r="K7" s="211" t="s">
        <v>2841</v>
      </c>
      <c r="L7" s="212">
        <f>M5*M6</f>
        <v>63</v>
      </c>
    </row>
    <row r="8" spans="1:14" x14ac:dyDescent="0.25">
      <c r="A8" s="254" t="s">
        <v>2842</v>
      </c>
      <c r="B8" s="255"/>
      <c r="C8" s="123" t="s">
        <v>711</v>
      </c>
      <c r="D8" s="123"/>
      <c r="E8" s="123"/>
      <c r="F8" s="123"/>
      <c r="G8" s="123"/>
      <c r="H8" s="123"/>
      <c r="I8" s="124"/>
      <c r="K8" s="213" t="s">
        <v>2843</v>
      </c>
      <c r="L8" s="212">
        <v>0</v>
      </c>
    </row>
    <row r="9" spans="1:14" x14ac:dyDescent="0.25">
      <c r="A9" s="254" t="s">
        <v>2844</v>
      </c>
      <c r="B9" s="255"/>
      <c r="C9" s="140" t="s">
        <v>2962</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6.8478260869565215</v>
      </c>
    </row>
    <row r="11" spans="1:14" x14ac:dyDescent="0.25">
      <c r="A11" s="127"/>
      <c r="B11" s="127"/>
      <c r="C11" s="127"/>
      <c r="D11" s="127"/>
      <c r="E11" s="127"/>
      <c r="F11" s="127"/>
      <c r="G11" s="127"/>
      <c r="H11" s="127"/>
      <c r="I11" s="127"/>
      <c r="K11" s="211" t="s">
        <v>2848</v>
      </c>
      <c r="L11" s="212">
        <v>920</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0.93152173913043479</v>
      </c>
    </row>
    <row r="14" spans="1:14" ht="15.75" thickBot="1" x14ac:dyDescent="0.3">
      <c r="A14" s="128"/>
      <c r="B14" s="128"/>
      <c r="C14" s="128"/>
      <c r="D14" s="128"/>
      <c r="E14" s="128"/>
      <c r="F14" s="128"/>
      <c r="G14" s="128"/>
      <c r="H14" s="128"/>
      <c r="I14" s="128"/>
      <c r="K14" s="215" t="s">
        <v>2851</v>
      </c>
      <c r="L14" s="216" t="str">
        <f>ROUNDUP(((L11 - (L7 + L9 )) / L11) * 100,1)&amp;"%"</f>
        <v>93.2%</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37649</v>
      </c>
      <c r="E22" s="257"/>
      <c r="F22" s="257"/>
      <c r="G22" s="257"/>
      <c r="H22" s="257"/>
      <c r="I22" s="138"/>
    </row>
    <row r="23" spans="1:9" x14ac:dyDescent="0.25">
      <c r="A23" s="136" t="s">
        <v>2856</v>
      </c>
      <c r="B23" s="123"/>
      <c r="C23" s="123"/>
      <c r="D23" s="137" t="s">
        <v>2963</v>
      </c>
      <c r="E23" s="138"/>
      <c r="F23" s="138"/>
      <c r="G23" s="138"/>
    </row>
    <row r="24" spans="1:9" x14ac:dyDescent="0.25">
      <c r="A24" s="136" t="s">
        <v>2857</v>
      </c>
      <c r="B24" s="123"/>
      <c r="C24" s="123"/>
      <c r="D24" s="137" t="s">
        <v>2964</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2965</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45860</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45874</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D3BB2EA9-29D4-4F3D-A6D3-24F7EDC023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52524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52525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52525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52525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52525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52525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52525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52525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52525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52525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52525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52526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52526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52526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52526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52526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52526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52526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52526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52526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52526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52527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52527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52527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52527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52527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52527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52527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52527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52527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52527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52528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52528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52528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52528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52528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52528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D26E0-FBFC-4FA5-AF70-FE95DAA2499C}">
  <sheetPr codeName="Sheet29"/>
  <dimension ref="A1:N50"/>
  <sheetViews>
    <sheetView zoomScale="115" zoomScaleNormal="115" workbookViewId="0">
      <selection activeCell="J38" sqref="J3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BPA0328</v>
      </c>
    </row>
    <row r="2" spans="1:14" ht="15.75" customHeight="1" thickTop="1" x14ac:dyDescent="0.35">
      <c r="A2" s="248" t="str">
        <f ca="1">C4&amp;" - "&amp;C5&amp;" - "&amp;C7</f>
        <v>BPA0328 - Shani Hickman - 80 Greene St, Huntly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BPA0328</v>
      </c>
      <c r="D4" s="134"/>
      <c r="E4" s="134"/>
      <c r="F4" s="134"/>
      <c r="G4" s="134"/>
      <c r="H4" s="123"/>
      <c r="I4" s="123"/>
      <c r="N4" t="s">
        <v>1125</v>
      </c>
    </row>
    <row r="5" spans="1:14" ht="15.75" thickBot="1" x14ac:dyDescent="0.3">
      <c r="A5" s="254" t="s">
        <v>2835</v>
      </c>
      <c r="B5" s="255"/>
      <c r="C5" s="123" t="s">
        <v>520</v>
      </c>
      <c r="D5" s="123"/>
      <c r="E5" s="123"/>
      <c r="F5" s="123"/>
      <c r="G5" s="123"/>
      <c r="H5" s="123"/>
      <c r="I5" s="124"/>
      <c r="M5" s="193">
        <v>7</v>
      </c>
      <c r="N5" s="194" t="s">
        <v>2836</v>
      </c>
    </row>
    <row r="6" spans="1:14" ht="15.75" thickTop="1" x14ac:dyDescent="0.25">
      <c r="A6" s="254" t="s">
        <v>2837</v>
      </c>
      <c r="B6" s="255"/>
      <c r="C6" s="123"/>
      <c r="D6" s="123"/>
      <c r="E6" s="123"/>
      <c r="F6" s="123"/>
      <c r="G6" s="123"/>
      <c r="H6" s="123"/>
      <c r="I6" s="124"/>
      <c r="K6" s="243" t="s">
        <v>2838</v>
      </c>
      <c r="L6" s="244"/>
      <c r="M6" s="195">
        <v>10.6</v>
      </c>
      <c r="N6" s="194" t="s">
        <v>2839</v>
      </c>
    </row>
    <row r="7" spans="1:14" x14ac:dyDescent="0.25">
      <c r="A7" s="254" t="s">
        <v>2840</v>
      </c>
      <c r="B7" s="255"/>
      <c r="C7" s="123" t="s">
        <v>2966</v>
      </c>
      <c r="D7" s="123"/>
      <c r="E7" s="123"/>
      <c r="F7" s="123"/>
      <c r="G7" s="123"/>
      <c r="H7" s="123"/>
      <c r="I7" s="124"/>
      <c r="K7" s="211" t="s">
        <v>2841</v>
      </c>
      <c r="L7" s="212">
        <f>M5*M6</f>
        <v>74.2</v>
      </c>
    </row>
    <row r="8" spans="1:14" x14ac:dyDescent="0.25">
      <c r="A8" s="254" t="s">
        <v>2842</v>
      </c>
      <c r="B8" s="255"/>
      <c r="C8" s="123" t="s">
        <v>521</v>
      </c>
      <c r="D8" s="123"/>
      <c r="E8" s="123"/>
      <c r="F8" s="123"/>
      <c r="G8" s="123"/>
      <c r="H8" s="123"/>
      <c r="I8" s="124"/>
      <c r="K8" s="213" t="s">
        <v>2843</v>
      </c>
      <c r="L8" s="212">
        <v>0</v>
      </c>
    </row>
    <row r="9" spans="1:14" x14ac:dyDescent="0.25">
      <c r="A9" s="254" t="s">
        <v>2844</v>
      </c>
      <c r="B9" s="255"/>
      <c r="C9" s="123" t="s">
        <v>2967</v>
      </c>
      <c r="D9" s="123"/>
      <c r="E9" s="123"/>
      <c r="F9" s="123"/>
      <c r="G9" s="123"/>
      <c r="H9" s="123"/>
      <c r="I9" s="124"/>
      <c r="K9" s="211" t="s">
        <v>2845</v>
      </c>
      <c r="L9" s="212">
        <v>237</v>
      </c>
      <c r="M9" s="109"/>
    </row>
    <row r="10" spans="1:14" x14ac:dyDescent="0.25">
      <c r="A10" s="245" t="s">
        <v>2846</v>
      </c>
      <c r="B10" s="246"/>
      <c r="C10" s="125"/>
      <c r="D10" s="125"/>
      <c r="E10" s="125"/>
      <c r="F10" s="125"/>
      <c r="G10" s="125"/>
      <c r="H10" s="125"/>
      <c r="I10" s="126"/>
      <c r="K10" s="211" t="s">
        <v>2847</v>
      </c>
      <c r="L10" s="212">
        <f>58+28</f>
        <v>86</v>
      </c>
      <c r="M10" s="109">
        <f>(L7+L9+L8)/L11*100</f>
        <v>46.938159879336347</v>
      </c>
    </row>
    <row r="11" spans="1:14" x14ac:dyDescent="0.25">
      <c r="A11" s="127"/>
      <c r="B11" s="127"/>
      <c r="C11" s="127"/>
      <c r="D11" s="127"/>
      <c r="E11" s="127"/>
      <c r="F11" s="127"/>
      <c r="G11" s="127"/>
      <c r="H11" s="127"/>
      <c r="I11" s="127"/>
      <c r="K11" s="211" t="s">
        <v>2848</v>
      </c>
      <c r="L11" s="212">
        <v>663</v>
      </c>
      <c r="M11" s="168"/>
    </row>
    <row r="12" spans="1:14" x14ac:dyDescent="0.25">
      <c r="A12" s="128"/>
      <c r="B12" s="128"/>
      <c r="C12" s="128"/>
      <c r="D12" s="128"/>
      <c r="E12" s="128"/>
      <c r="F12" s="128"/>
      <c r="G12" s="128"/>
      <c r="H12" s="128"/>
      <c r="I12" s="128"/>
      <c r="K12" s="213" t="s">
        <v>2849</v>
      </c>
      <c r="L12" s="214" t="str">
        <f>IF(L9&gt;0,LEFT(M10,5)&amp;"%","")</f>
        <v>46.93%</v>
      </c>
    </row>
    <row r="13" spans="1:14" x14ac:dyDescent="0.25">
      <c r="A13" s="128"/>
      <c r="B13" s="128"/>
      <c r="C13" s="128"/>
      <c r="D13" s="128"/>
      <c r="E13" s="128"/>
      <c r="F13" s="128"/>
      <c r="G13" s="128"/>
      <c r="H13" s="128"/>
      <c r="I13" s="128"/>
      <c r="K13" s="213" t="s">
        <v>2850</v>
      </c>
      <c r="L13" s="214">
        <f>(L11 - (L7 + L9 + L10+L8)) / L11</f>
        <v>0.40090497737556563</v>
      </c>
    </row>
    <row r="14" spans="1:14" ht="15.75" thickBot="1" x14ac:dyDescent="0.3">
      <c r="A14" s="128"/>
      <c r="B14" s="128"/>
      <c r="C14" s="128"/>
      <c r="D14" s="128"/>
      <c r="E14" s="128"/>
      <c r="F14" s="128"/>
      <c r="G14" s="128"/>
      <c r="H14" s="128"/>
      <c r="I14" s="128"/>
      <c r="K14" s="215" t="s">
        <v>2851</v>
      </c>
      <c r="L14" s="216" t="str">
        <f>ROUNDUP(((L11 - (L7 + L9 )) / L11) * 100,1)&amp;"%"</f>
        <v>53.1%</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t="s">
        <v>2968</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2969</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45870</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167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4167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4167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4167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4167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4167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4167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4167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4167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4167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4167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4167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4167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4167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4167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4167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4167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4167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4167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4167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4167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4167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4167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4167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4167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4167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4167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4167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4167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4167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4167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4167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4167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4167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4167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4167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4167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5B548-916B-4BCA-939D-6CD2CBD6A945}">
  <sheetPr codeName="Sheet26"/>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BPA0327</v>
      </c>
    </row>
    <row r="2" spans="1:14" ht="15.75" customHeight="1" thickTop="1" x14ac:dyDescent="0.35">
      <c r="A2" s="248" t="str">
        <f ca="1">C4&amp;" - "&amp;C5&amp;" - "&amp;C7</f>
        <v>BPA0327 - David Maher - 21 Evans Rd, Myers Flat VIC 3556</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BPA0327</v>
      </c>
      <c r="D4" s="134"/>
      <c r="E4" s="134"/>
      <c r="F4" s="134"/>
      <c r="G4" s="134"/>
      <c r="H4" s="123"/>
      <c r="I4" s="123"/>
      <c r="N4" t="s">
        <v>1125</v>
      </c>
    </row>
    <row r="5" spans="1:14" ht="15.75" thickBot="1" x14ac:dyDescent="0.3">
      <c r="A5" s="254" t="s">
        <v>2835</v>
      </c>
      <c r="B5" s="255"/>
      <c r="C5" s="123" t="s">
        <v>514</v>
      </c>
      <c r="D5" s="123"/>
      <c r="E5" s="123"/>
      <c r="F5" s="123"/>
      <c r="G5" s="123"/>
      <c r="H5" s="123"/>
      <c r="I5" s="124"/>
      <c r="M5" s="193">
        <v>8</v>
      </c>
      <c r="N5" s="194" t="s">
        <v>2836</v>
      </c>
    </row>
    <row r="6" spans="1:14" ht="15.75" thickTop="1" x14ac:dyDescent="0.25">
      <c r="A6" s="254" t="s">
        <v>2837</v>
      </c>
      <c r="B6" s="255"/>
      <c r="C6" s="123"/>
      <c r="D6" s="123"/>
      <c r="E6" s="123"/>
      <c r="F6" s="123"/>
      <c r="G6" s="123"/>
      <c r="H6" s="123"/>
      <c r="I6" s="124"/>
      <c r="K6" s="243" t="s">
        <v>2838</v>
      </c>
      <c r="L6" s="244"/>
      <c r="M6" s="195">
        <v>11.6</v>
      </c>
      <c r="N6" s="194" t="s">
        <v>2839</v>
      </c>
    </row>
    <row r="7" spans="1:14" x14ac:dyDescent="0.25">
      <c r="A7" s="254" t="s">
        <v>2840</v>
      </c>
      <c r="B7" s="255"/>
      <c r="C7" s="123" t="s">
        <v>2970</v>
      </c>
      <c r="D7" s="123"/>
      <c r="E7" s="123"/>
      <c r="F7" s="123"/>
      <c r="G7" s="123"/>
      <c r="H7" s="123"/>
      <c r="I7" s="124"/>
      <c r="K7" s="211" t="s">
        <v>2841</v>
      </c>
      <c r="L7" s="212">
        <f>M5*M6</f>
        <v>92.8</v>
      </c>
    </row>
    <row r="8" spans="1:14" x14ac:dyDescent="0.25">
      <c r="A8" s="254" t="s">
        <v>2842</v>
      </c>
      <c r="B8" s="255"/>
      <c r="C8" s="123" t="s">
        <v>515</v>
      </c>
      <c r="D8" s="123"/>
      <c r="E8" s="123"/>
      <c r="F8" s="123"/>
      <c r="G8" s="123"/>
      <c r="H8" s="123"/>
      <c r="I8" s="124"/>
      <c r="K8" s="213" t="s">
        <v>2843</v>
      </c>
      <c r="L8" s="212">
        <v>0</v>
      </c>
    </row>
    <row r="9" spans="1:14" x14ac:dyDescent="0.25">
      <c r="A9" s="254" t="s">
        <v>2844</v>
      </c>
      <c r="B9" s="255"/>
      <c r="C9" s="140" t="s">
        <v>2971</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8.4057971014492754</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0.91594202898550725</v>
      </c>
    </row>
    <row r="14" spans="1:14" ht="15.75" thickBot="1" x14ac:dyDescent="0.3">
      <c r="A14" s="128"/>
      <c r="B14" s="128"/>
      <c r="C14" s="128"/>
      <c r="D14" s="128"/>
      <c r="E14" s="128"/>
      <c r="F14" s="128"/>
      <c r="G14" s="128"/>
      <c r="H14" s="128"/>
      <c r="I14" s="128"/>
      <c r="K14" s="215" t="s">
        <v>2851</v>
      </c>
      <c r="L14" s="216" t="str">
        <f>ROUNDUP(((L11 - (L7 + L9 )) / L11) * 100,1)&amp;"%"</f>
        <v>91.6%</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2972</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2969</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45854</v>
      </c>
    </row>
    <row r="32" spans="1:9" x14ac:dyDescent="0.25">
      <c r="A32" s="247" t="s">
        <v>2868</v>
      </c>
      <c r="B32" s="247"/>
      <c r="C32" s="247"/>
      <c r="D32" s="247"/>
      <c r="E32" s="247"/>
      <c r="F32" s="247"/>
      <c r="G32" s="247"/>
      <c r="H32" s="247"/>
      <c r="I32" s="247"/>
    </row>
    <row r="33" spans="1:9" x14ac:dyDescent="0.25">
      <c r="A33" s="129" t="b">
        <v>1</v>
      </c>
      <c r="B33" s="123" t="s">
        <v>2869</v>
      </c>
      <c r="C33" s="123"/>
      <c r="D33" s="123"/>
      <c r="E33" s="139"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85"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CEBE4739-BC57-4DAD-89C4-8CA4FB4BECB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30918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30918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30918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30918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30918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30919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30919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30919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30919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30919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30919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30919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30919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30919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30919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30920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30920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30920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30920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30920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30920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30920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30920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30920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30920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30921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30921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30921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30921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30921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30921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30921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30921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30921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30921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30922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30922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C96FD-C77C-48E8-8D97-E069EC71E8DB}">
  <sheetPr codeName="Sheet11"/>
  <dimension ref="A1:N50"/>
  <sheetViews>
    <sheetView topLeftCell="A9" zoomScale="115" zoomScaleNormal="115" workbookViewId="0">
      <selection activeCell="K32" sqref="K3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BPA0326</v>
      </c>
    </row>
    <row r="2" spans="1:14" ht="15.75" customHeight="1" thickTop="1" x14ac:dyDescent="0.35">
      <c r="A2" s="248" t="str">
        <f ca="1">C4&amp;" - "&amp;C5&amp;" - "&amp;C7</f>
        <v>BPA0326 - Colin Hogan - 29 Hannans Rd, Mandurang South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BPA0326</v>
      </c>
      <c r="D4" s="134"/>
      <c r="E4" s="134"/>
      <c r="F4" s="134"/>
      <c r="G4" s="134"/>
      <c r="H4" s="123"/>
      <c r="I4" s="123"/>
      <c r="N4" t="s">
        <v>1125</v>
      </c>
    </row>
    <row r="5" spans="1:14" ht="15.75" thickBot="1" x14ac:dyDescent="0.3">
      <c r="A5" s="254" t="s">
        <v>2835</v>
      </c>
      <c r="B5" s="255"/>
      <c r="C5" s="123" t="s">
        <v>508</v>
      </c>
      <c r="D5" s="123"/>
      <c r="E5" s="123"/>
      <c r="F5" s="123"/>
      <c r="G5" s="123"/>
      <c r="H5" s="123"/>
      <c r="I5" s="124"/>
      <c r="M5" s="193">
        <v>9.5</v>
      </c>
      <c r="N5" s="194" t="s">
        <v>2836</v>
      </c>
    </row>
    <row r="6" spans="1:14" ht="15.75" thickTop="1" x14ac:dyDescent="0.25">
      <c r="A6" s="254" t="s">
        <v>2837</v>
      </c>
      <c r="B6" s="255"/>
      <c r="C6" s="123"/>
      <c r="D6" s="123"/>
      <c r="E6" s="123"/>
      <c r="F6" s="123"/>
      <c r="G6" s="123"/>
      <c r="H6" s="123"/>
      <c r="I6" s="124"/>
      <c r="K6" s="243" t="s">
        <v>2838</v>
      </c>
      <c r="L6" s="244"/>
      <c r="M6" s="195">
        <v>10</v>
      </c>
      <c r="N6" s="194" t="s">
        <v>2839</v>
      </c>
    </row>
    <row r="7" spans="1:14" x14ac:dyDescent="0.25">
      <c r="A7" s="254" t="s">
        <v>2840</v>
      </c>
      <c r="B7" s="255"/>
      <c r="C7" s="123" t="s">
        <v>2973</v>
      </c>
      <c r="D7" s="123"/>
      <c r="E7" s="123"/>
      <c r="F7" s="123"/>
      <c r="G7" s="123"/>
      <c r="H7" s="123"/>
      <c r="I7" s="124"/>
      <c r="K7" s="211" t="s">
        <v>2841</v>
      </c>
      <c r="L7" s="212">
        <f>M5*M6</f>
        <v>95</v>
      </c>
    </row>
    <row r="8" spans="1:14" x14ac:dyDescent="0.25">
      <c r="A8" s="254" t="s">
        <v>2842</v>
      </c>
      <c r="B8" s="255"/>
      <c r="C8" s="123" t="s">
        <v>509</v>
      </c>
      <c r="D8" s="123"/>
      <c r="E8" s="123"/>
      <c r="F8" s="123"/>
      <c r="G8" s="123"/>
      <c r="H8" s="123"/>
      <c r="I8" s="124"/>
      <c r="K8" s="213" t="s">
        <v>2843</v>
      </c>
      <c r="L8" s="212">
        <v>0</v>
      </c>
    </row>
    <row r="9" spans="1:14" x14ac:dyDescent="0.25">
      <c r="A9" s="254" t="s">
        <v>2844</v>
      </c>
      <c r="B9" s="255"/>
      <c r="C9" s="123" t="s">
        <v>2974</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8.6050724637681153</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0.91394927536231885</v>
      </c>
    </row>
    <row r="14" spans="1:14" ht="15.75" thickBot="1" x14ac:dyDescent="0.3">
      <c r="A14" s="128"/>
      <c r="B14" s="128"/>
      <c r="C14" s="128"/>
      <c r="D14" s="128"/>
      <c r="E14" s="128"/>
      <c r="F14" s="128"/>
      <c r="G14" s="128"/>
      <c r="H14" s="128"/>
      <c r="I14" s="128"/>
      <c r="K14" s="215" t="s">
        <v>2851</v>
      </c>
      <c r="L14" s="216" t="str">
        <f>ROUNDUP(((L11 - (L7 + L9 )) / L11) * 100,1)&amp;"%"</f>
        <v>91.4%</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t="s">
        <v>2975</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2969</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45854</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45890</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30816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30816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30816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30816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30816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30816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30816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30816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30816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30817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30817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30817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30817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30817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30817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30817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30817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30817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30817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30818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30818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30818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30818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30818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30818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30818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30818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30818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30818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30819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30819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30819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30819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30819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30819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30819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30819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5E3BC-F179-4CA3-BDA3-5013B6C4B0C1}">
  <sheetPr codeName="Sheet42"/>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BPA0325</v>
      </c>
    </row>
    <row r="2" spans="1:14" ht="15.75" customHeight="1" thickTop="1" x14ac:dyDescent="0.35">
      <c r="A2" s="248" t="str">
        <f ca="1">C4&amp;" - "&amp;C5&amp;" - "&amp;C7</f>
        <v>BPA0325 - Brenton Brooker - 70 Melaleuca Ave, Junortoun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BPA0325</v>
      </c>
      <c r="D4" s="134"/>
      <c r="E4" s="134"/>
      <c r="F4" s="134"/>
      <c r="G4" s="134"/>
      <c r="H4" s="123"/>
      <c r="I4" s="123"/>
      <c r="N4" t="s">
        <v>1125</v>
      </c>
    </row>
    <row r="5" spans="1:14" ht="15.75" thickBot="1" x14ac:dyDescent="0.3">
      <c r="A5" s="254" t="s">
        <v>2835</v>
      </c>
      <c r="B5" s="255"/>
      <c r="C5" s="123" t="s">
        <v>502</v>
      </c>
      <c r="D5" s="123"/>
      <c r="E5" s="123"/>
      <c r="F5" s="123"/>
      <c r="G5" s="123"/>
      <c r="H5" s="123"/>
      <c r="I5" s="124"/>
      <c r="M5" s="193">
        <v>7</v>
      </c>
      <c r="N5" s="194" t="s">
        <v>2836</v>
      </c>
    </row>
    <row r="6" spans="1:14" ht="15.75" thickTop="1" x14ac:dyDescent="0.25">
      <c r="A6" s="254" t="s">
        <v>2837</v>
      </c>
      <c r="B6" s="255"/>
      <c r="C6" s="123"/>
      <c r="D6" s="123"/>
      <c r="E6" s="123"/>
      <c r="F6" s="123"/>
      <c r="G6" s="123"/>
      <c r="H6" s="123"/>
      <c r="I6" s="124"/>
      <c r="K6" s="243" t="s">
        <v>2838</v>
      </c>
      <c r="L6" s="244"/>
      <c r="M6" s="195">
        <v>12</v>
      </c>
      <c r="N6" s="194" t="s">
        <v>2839</v>
      </c>
    </row>
    <row r="7" spans="1:14" x14ac:dyDescent="0.25">
      <c r="A7" s="254" t="s">
        <v>2840</v>
      </c>
      <c r="B7" s="255"/>
      <c r="C7" s="123" t="s">
        <v>2976</v>
      </c>
      <c r="D7" s="123"/>
      <c r="E7" s="123"/>
      <c r="F7" s="123"/>
      <c r="G7" s="123"/>
      <c r="H7" s="123"/>
      <c r="I7" s="124"/>
      <c r="K7" s="211" t="s">
        <v>2841</v>
      </c>
      <c r="L7" s="212">
        <f>M5*M6</f>
        <v>84</v>
      </c>
    </row>
    <row r="8" spans="1:14" x14ac:dyDescent="0.25">
      <c r="A8" s="254" t="s">
        <v>2842</v>
      </c>
      <c r="B8" s="255"/>
      <c r="C8" s="123" t="s">
        <v>503</v>
      </c>
      <c r="D8" s="123"/>
      <c r="E8" s="123"/>
      <c r="F8" s="123"/>
      <c r="G8" s="123"/>
      <c r="H8" s="123"/>
      <c r="I8" s="124"/>
      <c r="K8" s="213" t="s">
        <v>2843</v>
      </c>
      <c r="L8" s="212">
        <v>0</v>
      </c>
    </row>
    <row r="9" spans="1:14" x14ac:dyDescent="0.25">
      <c r="A9" s="254" t="s">
        <v>2844</v>
      </c>
      <c r="B9" s="255"/>
      <c r="C9" s="140" t="s">
        <v>2977</v>
      </c>
      <c r="D9" s="123"/>
      <c r="E9" s="123"/>
      <c r="F9" s="123"/>
      <c r="G9" s="123"/>
      <c r="H9" s="123"/>
      <c r="I9" s="124"/>
      <c r="K9" s="211" t="s">
        <v>2845</v>
      </c>
      <c r="L9" s="212">
        <v>373</v>
      </c>
      <c r="M9" s="109"/>
    </row>
    <row r="10" spans="1:14" x14ac:dyDescent="0.25">
      <c r="A10" s="245" t="s">
        <v>2846</v>
      </c>
      <c r="B10" s="246"/>
      <c r="C10" s="125"/>
      <c r="D10" s="125"/>
      <c r="E10" s="125"/>
      <c r="F10" s="125"/>
      <c r="G10" s="125"/>
      <c r="H10" s="125"/>
      <c r="I10" s="126"/>
      <c r="K10" s="211" t="s">
        <v>2847</v>
      </c>
      <c r="L10" s="212">
        <v>0</v>
      </c>
      <c r="M10" s="109">
        <f>(L7+L9+L8)/L11*100</f>
        <v>2.258463059056091</v>
      </c>
    </row>
    <row r="11" spans="1:14" x14ac:dyDescent="0.25">
      <c r="A11" s="127"/>
      <c r="B11" s="127"/>
      <c r="C11" s="127"/>
      <c r="D11" s="127"/>
      <c r="E11" s="127"/>
      <c r="F11" s="127"/>
      <c r="G11" s="127"/>
      <c r="H11" s="127"/>
      <c r="I11" s="127"/>
      <c r="K11" s="211" t="s">
        <v>2848</v>
      </c>
      <c r="L11" s="212">
        <v>20235</v>
      </c>
      <c r="M11" s="168"/>
    </row>
    <row r="12" spans="1:14" x14ac:dyDescent="0.25">
      <c r="A12" s="128"/>
      <c r="B12" s="128"/>
      <c r="C12" s="128"/>
      <c r="D12" s="128"/>
      <c r="E12" s="128"/>
      <c r="F12" s="128"/>
      <c r="G12" s="128"/>
      <c r="H12" s="128"/>
      <c r="I12" s="128"/>
      <c r="K12" s="213" t="s">
        <v>2849</v>
      </c>
      <c r="L12" s="214" t="str">
        <f>IF(L9&gt;0,LEFT(M10,5)&amp;"%","")</f>
        <v>2.258%</v>
      </c>
    </row>
    <row r="13" spans="1:14" x14ac:dyDescent="0.25">
      <c r="A13" s="128"/>
      <c r="B13" s="128"/>
      <c r="C13" s="128"/>
      <c r="D13" s="128"/>
      <c r="E13" s="128"/>
      <c r="F13" s="128"/>
      <c r="G13" s="128"/>
      <c r="H13" s="128"/>
      <c r="I13" s="128"/>
      <c r="K13" s="213" t="s">
        <v>2850</v>
      </c>
      <c r="L13" s="214">
        <f>(L11 - (L7 + L9 + L10+L8)) / L11</f>
        <v>0.97741536940943907</v>
      </c>
    </row>
    <row r="14" spans="1:14" ht="15.75" thickBot="1" x14ac:dyDescent="0.3">
      <c r="A14" s="128"/>
      <c r="B14" s="128"/>
      <c r="C14" s="128"/>
      <c r="D14" s="128"/>
      <c r="E14" s="128"/>
      <c r="F14" s="128"/>
      <c r="G14" s="128"/>
      <c r="H14" s="128"/>
      <c r="I14" s="128"/>
      <c r="K14" s="215" t="s">
        <v>2851</v>
      </c>
      <c r="L14" s="216" t="str">
        <f>ROUNDUP(((L11 - (L7 + L9 )) / L11) * 100,1)&amp;"%"</f>
        <v>97.8%</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25634</v>
      </c>
      <c r="E22" s="257"/>
      <c r="F22" s="257"/>
      <c r="G22" s="257"/>
      <c r="H22" s="257"/>
      <c r="I22" s="138"/>
    </row>
    <row r="23" spans="1:9" x14ac:dyDescent="0.25">
      <c r="A23" s="136" t="s">
        <v>2856</v>
      </c>
      <c r="B23" s="123"/>
      <c r="C23" s="123"/>
      <c r="D23" s="137" t="s">
        <v>2978</v>
      </c>
      <c r="E23" s="138"/>
      <c r="F23" s="138"/>
      <c r="G23" s="138"/>
    </row>
    <row r="24" spans="1:9" x14ac:dyDescent="0.25">
      <c r="A24" s="136" t="s">
        <v>2857</v>
      </c>
      <c r="B24" s="123"/>
      <c r="C24" s="123"/>
      <c r="D24" s="137" t="s">
        <v>2979</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2980</v>
      </c>
      <c r="E27" s="138"/>
      <c r="F27" s="138"/>
      <c r="G27" s="138"/>
    </row>
    <row r="28" spans="1:9" x14ac:dyDescent="0.25">
      <c r="A28" s="129" t="b">
        <v>1</v>
      </c>
      <c r="B28" s="123" t="s">
        <v>2861</v>
      </c>
      <c r="C28" s="123"/>
      <c r="D28" s="123"/>
      <c r="E28" s="129" t="b">
        <v>0</v>
      </c>
      <c r="F28" s="123" t="s">
        <v>2862</v>
      </c>
      <c r="G28" s="123"/>
    </row>
    <row r="29" spans="1:9" x14ac:dyDescent="0.25">
      <c r="A29" s="129" t="b">
        <v>1</v>
      </c>
      <c r="B29" s="123" t="s">
        <v>2863</v>
      </c>
      <c r="C29" s="123"/>
      <c r="D29" s="123"/>
      <c r="E29" s="129"/>
      <c r="F29" s="123" t="s">
        <v>2864</v>
      </c>
      <c r="G29" s="123"/>
    </row>
    <row r="30" spans="1:9" x14ac:dyDescent="0.25">
      <c r="A30" s="129"/>
      <c r="B30" s="123" t="s">
        <v>2865</v>
      </c>
      <c r="C30" s="123"/>
      <c r="D30" s="123"/>
      <c r="E30" s="129" t="b">
        <v>0</v>
      </c>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c r="E33" s="139"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8B283C9-D1BA-4901-A724-FD882843AFF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52026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2026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2026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2026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2026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2026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2026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2026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2026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2026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2026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2027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2027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2027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2027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2027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2027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2027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2027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20270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2027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2027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2027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2027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2027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2027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2027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2027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2027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2027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2027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2027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2027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2027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2027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2027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2027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58171-FBD0-443E-9481-CA7629EB3B05}">
  <sheetPr codeName="Sheet28"/>
  <dimension ref="A1:N50"/>
  <sheetViews>
    <sheetView zoomScale="115" zoomScaleNormal="115" workbookViewId="0">
      <selection activeCell="K20" sqref="K20"/>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E10020</v>
      </c>
    </row>
    <row r="2" spans="1:14" ht="15.75" customHeight="1" thickTop="1" x14ac:dyDescent="0.35">
      <c r="A2" s="248" t="str">
        <f ca="1">C4&amp;" - "&amp;C5&amp;" - "&amp;C7</f>
        <v>E10020 - Marc Sibun - 3 Acacia Ct, Bridgewater on Loddon</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E10020</v>
      </c>
      <c r="D4" s="134"/>
      <c r="E4" s="134"/>
      <c r="F4" s="134"/>
      <c r="G4" s="134"/>
      <c r="H4" s="123"/>
      <c r="I4" s="123"/>
      <c r="N4" t="s">
        <v>1125</v>
      </c>
    </row>
    <row r="5" spans="1:14" ht="15.75" thickBot="1" x14ac:dyDescent="0.3">
      <c r="A5" s="254" t="s">
        <v>2835</v>
      </c>
      <c r="B5" s="255"/>
      <c r="C5" s="123" t="s">
        <v>704</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2838</v>
      </c>
      <c r="L6" s="244"/>
      <c r="M6" s="195">
        <v>0</v>
      </c>
      <c r="N6" s="194" t="s">
        <v>2839</v>
      </c>
    </row>
    <row r="7" spans="1:14" x14ac:dyDescent="0.25">
      <c r="A7" s="254" t="s">
        <v>2840</v>
      </c>
      <c r="B7" s="255"/>
      <c r="C7" s="123" t="s">
        <v>2981</v>
      </c>
      <c r="D7" s="123"/>
      <c r="E7" s="123"/>
      <c r="F7" s="123"/>
      <c r="G7" s="123"/>
      <c r="H7" s="123"/>
      <c r="I7" s="124"/>
      <c r="K7" s="211" t="s">
        <v>2841</v>
      </c>
      <c r="L7" s="212">
        <v>144</v>
      </c>
    </row>
    <row r="8" spans="1:14" x14ac:dyDescent="0.25">
      <c r="A8" s="254" t="s">
        <v>2842</v>
      </c>
      <c r="B8" s="255"/>
      <c r="C8" s="123" t="s">
        <v>2982</v>
      </c>
      <c r="D8" s="123"/>
      <c r="E8" s="123"/>
      <c r="F8" s="123"/>
      <c r="G8" s="123"/>
      <c r="H8" s="123"/>
      <c r="I8" s="124"/>
      <c r="K8" s="213" t="s">
        <v>2843</v>
      </c>
      <c r="L8" s="212">
        <v>0</v>
      </c>
    </row>
    <row r="9" spans="1:14" x14ac:dyDescent="0.25">
      <c r="A9" s="254" t="s">
        <v>2844</v>
      </c>
      <c r="B9" s="255"/>
      <c r="C9" s="123" t="s">
        <v>2983</v>
      </c>
      <c r="D9" s="123"/>
      <c r="E9" s="123"/>
      <c r="F9" s="123"/>
      <c r="G9" s="123"/>
      <c r="H9" s="123"/>
      <c r="I9" s="124"/>
      <c r="K9" s="211" t="s">
        <v>2845</v>
      </c>
      <c r="L9" s="212">
        <f>13.626*21.657</f>
        <v>295.09828199999998</v>
      </c>
      <c r="M9" s="109"/>
    </row>
    <row r="10" spans="1:14" x14ac:dyDescent="0.25">
      <c r="A10" s="245" t="s">
        <v>2846</v>
      </c>
      <c r="B10" s="246"/>
      <c r="C10" s="125"/>
      <c r="D10" s="125"/>
      <c r="E10" s="125"/>
      <c r="F10" s="125"/>
      <c r="G10" s="125"/>
      <c r="H10" s="125"/>
      <c r="I10" s="126"/>
      <c r="K10" s="211" t="s">
        <v>2847</v>
      </c>
      <c r="L10" s="212">
        <v>0</v>
      </c>
      <c r="M10" s="109">
        <f>(L7+L9+L8)/L11*100</f>
        <v>47.728074130434784</v>
      </c>
    </row>
    <row r="11" spans="1:14" x14ac:dyDescent="0.25">
      <c r="A11" s="127"/>
      <c r="B11" s="127"/>
      <c r="C11" s="127"/>
      <c r="D11" s="127"/>
      <c r="E11" s="127"/>
      <c r="F11" s="127"/>
      <c r="G11" s="127"/>
      <c r="H11" s="127"/>
      <c r="I11" s="127"/>
      <c r="K11" s="211" t="s">
        <v>2848</v>
      </c>
      <c r="L11" s="212">
        <v>920</v>
      </c>
      <c r="M11" s="168"/>
    </row>
    <row r="12" spans="1:14" x14ac:dyDescent="0.25">
      <c r="A12" s="128"/>
      <c r="B12" s="128"/>
      <c r="C12" s="128"/>
      <c r="D12" s="128"/>
      <c r="E12" s="128"/>
      <c r="F12" s="128"/>
      <c r="G12" s="128"/>
      <c r="H12" s="128"/>
      <c r="I12" s="128"/>
      <c r="K12" s="213" t="s">
        <v>2849</v>
      </c>
      <c r="L12" s="214" t="str">
        <f>IF(L9&gt;0,LEFT(M10,5)&amp;"%","")</f>
        <v>47.72%</v>
      </c>
    </row>
    <row r="13" spans="1:14" x14ac:dyDescent="0.25">
      <c r="A13" s="128"/>
      <c r="B13" s="128"/>
      <c r="C13" s="128"/>
      <c r="D13" s="128"/>
      <c r="E13" s="128"/>
      <c r="F13" s="128"/>
      <c r="G13" s="128"/>
      <c r="H13" s="128"/>
      <c r="I13" s="128"/>
      <c r="K13" s="213" t="s">
        <v>2850</v>
      </c>
      <c r="L13" s="214">
        <f>(L11 - (L7 + L9 + L10+L8)) / L11</f>
        <v>0.52271925869565217</v>
      </c>
    </row>
    <row r="14" spans="1:14" ht="15.75" thickBot="1" x14ac:dyDescent="0.3">
      <c r="A14" s="128"/>
      <c r="B14" s="128"/>
      <c r="C14" s="128"/>
      <c r="D14" s="128"/>
      <c r="E14" s="128"/>
      <c r="F14" s="128"/>
      <c r="G14" s="128"/>
      <c r="H14" s="128"/>
      <c r="I14" s="128"/>
      <c r="K14" s="215" t="s">
        <v>2851</v>
      </c>
      <c r="L14" s="216" t="str">
        <f>ROUNDUP(((L11 - (L7 + L9 )) / L11) * 100,1)&amp;"%"</f>
        <v>52.3%</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66399</v>
      </c>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t="s">
        <v>2984</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t="s">
        <v>2985</v>
      </c>
      <c r="E26" s="138"/>
      <c r="F26" s="138"/>
      <c r="G26" s="138"/>
    </row>
    <row r="27" spans="1:9" x14ac:dyDescent="0.25">
      <c r="A27" s="136" t="s">
        <v>2860</v>
      </c>
      <c r="B27" s="123"/>
      <c r="C27" s="123"/>
      <c r="D27" s="137" t="s">
        <v>2898</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45842</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09414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509414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509414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509414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509414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509415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509415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50941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50941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509415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509415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509415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509415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509415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509415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509416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509416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509416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509416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509416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509416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509416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509416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509416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509416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509417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509417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509417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509417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509417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509417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509417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509417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509417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509417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509418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509418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3377A-F07B-4F5F-98DE-FE60AC7B8DF1}">
  <sheetPr codeName="Sheet39"/>
  <dimension ref="A1:N50"/>
  <sheetViews>
    <sheetView topLeftCell="A14" zoomScale="115" zoomScaleNormal="115" workbookViewId="0">
      <selection activeCell="M7" sqref="M7"/>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BPA0324</v>
      </c>
    </row>
    <row r="2" spans="1:14" ht="15.75" customHeight="1" thickTop="1" x14ac:dyDescent="0.35">
      <c r="A2" s="248" t="str">
        <f ca="1">C4&amp;" - "&amp;C5&amp;" - "&amp;C7</f>
        <v>BPA0324 - Jayden Versteegen - 20 Broadbent Way, Pakenham VIC 3810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BPA0324</v>
      </c>
      <c r="D4" s="134"/>
      <c r="E4" s="134"/>
      <c r="F4" s="134"/>
      <c r="G4" s="134"/>
      <c r="H4" s="123"/>
      <c r="I4" s="123"/>
      <c r="N4" t="s">
        <v>1125</v>
      </c>
    </row>
    <row r="5" spans="1:14" ht="15.75" thickBot="1" x14ac:dyDescent="0.3">
      <c r="A5" s="254" t="s">
        <v>2835</v>
      </c>
      <c r="B5" s="255"/>
      <c r="C5" s="123" t="s">
        <v>497</v>
      </c>
      <c r="D5" s="123"/>
      <c r="E5" s="123"/>
      <c r="F5" s="123"/>
      <c r="G5" s="123"/>
      <c r="H5" s="123"/>
      <c r="I5" s="124"/>
      <c r="M5" s="193">
        <v>6.5</v>
      </c>
      <c r="N5" s="194" t="s">
        <v>2836</v>
      </c>
    </row>
    <row r="6" spans="1:14" ht="15.75" thickTop="1" x14ac:dyDescent="0.25">
      <c r="A6" s="254" t="s">
        <v>2837</v>
      </c>
      <c r="B6" s="255"/>
      <c r="C6" s="123"/>
      <c r="D6" s="123"/>
      <c r="E6" s="123"/>
      <c r="F6" s="123"/>
      <c r="G6" s="123"/>
      <c r="H6" s="123"/>
      <c r="I6" s="124"/>
      <c r="K6" s="243" t="s">
        <v>2986</v>
      </c>
      <c r="L6" s="244"/>
      <c r="M6" s="195">
        <v>10</v>
      </c>
      <c r="N6" s="194" t="s">
        <v>2839</v>
      </c>
    </row>
    <row r="7" spans="1:14" x14ac:dyDescent="0.25">
      <c r="A7" s="254" t="s">
        <v>2840</v>
      </c>
      <c r="B7" s="255"/>
      <c r="C7" s="123" t="s">
        <v>2987</v>
      </c>
      <c r="D7" s="123"/>
      <c r="E7" s="123"/>
      <c r="F7" s="123"/>
      <c r="G7" s="123"/>
      <c r="H7" s="123"/>
      <c r="I7" s="124"/>
      <c r="K7" s="211" t="s">
        <v>2841</v>
      </c>
      <c r="L7" s="212">
        <f>M5*M6</f>
        <v>65</v>
      </c>
    </row>
    <row r="8" spans="1:14" x14ac:dyDescent="0.25">
      <c r="A8" s="254" t="s">
        <v>2842</v>
      </c>
      <c r="B8" s="255"/>
      <c r="C8" s="123" t="s">
        <v>498</v>
      </c>
      <c r="D8" s="123"/>
      <c r="E8" s="123"/>
      <c r="F8" s="123"/>
      <c r="G8" s="123"/>
      <c r="H8" s="123"/>
      <c r="I8" s="124"/>
      <c r="K8" s="213" t="s">
        <v>2843</v>
      </c>
      <c r="L8" s="212">
        <v>0</v>
      </c>
    </row>
    <row r="9" spans="1:14" x14ac:dyDescent="0.25">
      <c r="A9" s="254" t="s">
        <v>2844</v>
      </c>
      <c r="B9" s="255"/>
      <c r="C9" s="123" t="s">
        <v>2988</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5.88768115942029</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0.94112318840579712</v>
      </c>
    </row>
    <row r="14" spans="1:14" ht="15.75" thickBot="1" x14ac:dyDescent="0.3">
      <c r="A14" s="128"/>
      <c r="B14" s="128"/>
      <c r="C14" s="128"/>
      <c r="D14" s="128"/>
      <c r="E14" s="128"/>
      <c r="F14" s="128"/>
      <c r="G14" s="128"/>
      <c r="H14" s="128"/>
      <c r="I14" s="128"/>
      <c r="K14" s="215" t="s">
        <v>2851</v>
      </c>
      <c r="L14" s="216" t="str">
        <f>ROUNDUP(((L11 - (L7 + L9 )) / L11) * 100,1)&amp;"%"</f>
        <v>94.2%</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7705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87705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87705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87706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87706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87706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87706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87706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87706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87706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87706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87706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87706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87707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87707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87707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87707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87707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87707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87707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87707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87707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87707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87708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87708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87708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87708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87708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87708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87708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87708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87708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87708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87709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87709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87709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87709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E9212-BAF0-4330-AEA5-5509FB3145B7}">
  <sheetPr codeName="Sheet38"/>
  <dimension ref="A1:N50"/>
  <sheetViews>
    <sheetView topLeftCell="A12" zoomScale="115" zoomScaleNormal="115" workbookViewId="0">
      <selection activeCell="J32" sqref="J3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BPA0323</v>
      </c>
    </row>
    <row r="2" spans="1:14" ht="15.75" customHeight="1" thickTop="1" x14ac:dyDescent="0.35">
      <c r="A2" s="248" t="str">
        <f ca="1">C4&amp;" - "&amp;C5&amp;" - "&amp;C7</f>
        <v>BPA0323 - Neil McCallum - 34 Wingrave Rd, Lockwood South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BPA0323</v>
      </c>
      <c r="D4" s="134"/>
      <c r="E4" s="134"/>
      <c r="F4" s="134"/>
      <c r="G4" s="134"/>
      <c r="H4" s="123"/>
      <c r="I4" s="123"/>
      <c r="N4" t="s">
        <v>1125</v>
      </c>
    </row>
    <row r="5" spans="1:14" ht="15.75" thickBot="1" x14ac:dyDescent="0.3">
      <c r="A5" s="254" t="s">
        <v>2835</v>
      </c>
      <c r="B5" s="255"/>
      <c r="C5" s="123" t="s">
        <v>491</v>
      </c>
      <c r="D5" s="123"/>
      <c r="E5" s="123"/>
      <c r="F5" s="123"/>
      <c r="G5" s="123"/>
      <c r="H5" s="123"/>
      <c r="I5" s="124"/>
      <c r="M5" s="193">
        <v>12</v>
      </c>
      <c r="N5" s="194" t="s">
        <v>2836</v>
      </c>
    </row>
    <row r="6" spans="1:14" ht="15.75" thickTop="1" x14ac:dyDescent="0.25">
      <c r="A6" s="254" t="s">
        <v>2837</v>
      </c>
      <c r="B6" s="255"/>
      <c r="C6" s="123"/>
      <c r="D6" s="123"/>
      <c r="E6" s="123"/>
      <c r="F6" s="123"/>
      <c r="G6" s="123"/>
      <c r="H6" s="123"/>
      <c r="I6" s="124"/>
      <c r="K6" s="243" t="s">
        <v>2986</v>
      </c>
      <c r="L6" s="244"/>
      <c r="M6" s="195">
        <v>16</v>
      </c>
      <c r="N6" s="194" t="s">
        <v>2839</v>
      </c>
    </row>
    <row r="7" spans="1:14" x14ac:dyDescent="0.25">
      <c r="A7" s="254" t="s">
        <v>2840</v>
      </c>
      <c r="B7" s="255"/>
      <c r="C7" s="123" t="s">
        <v>2989</v>
      </c>
      <c r="D7" s="123"/>
      <c r="E7" s="123"/>
      <c r="F7" s="123"/>
      <c r="G7" s="123"/>
      <c r="H7" s="123"/>
      <c r="I7" s="124"/>
      <c r="K7" s="211" t="s">
        <v>2841</v>
      </c>
      <c r="L7" s="212">
        <f>M5*M6</f>
        <v>192</v>
      </c>
    </row>
    <row r="8" spans="1:14" x14ac:dyDescent="0.25">
      <c r="A8" s="254" t="s">
        <v>2842</v>
      </c>
      <c r="B8" s="255"/>
      <c r="C8" s="123" t="s">
        <v>492</v>
      </c>
      <c r="D8" s="123"/>
      <c r="E8" s="123"/>
      <c r="F8" s="123"/>
      <c r="G8" s="123"/>
      <c r="H8" s="123"/>
      <c r="I8" s="124"/>
      <c r="K8" s="213" t="s">
        <v>2843</v>
      </c>
      <c r="L8" s="212">
        <v>0</v>
      </c>
    </row>
    <row r="9" spans="1:14" x14ac:dyDescent="0.25">
      <c r="A9" s="254" t="s">
        <v>2844</v>
      </c>
      <c r="B9" s="255"/>
      <c r="C9" s="123" t="s">
        <v>2990</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17.391304347826086</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0.82608695652173914</v>
      </c>
    </row>
    <row r="14" spans="1:14" ht="15.75" thickBot="1" x14ac:dyDescent="0.3">
      <c r="A14" s="128"/>
      <c r="B14" s="128"/>
      <c r="C14" s="128"/>
      <c r="D14" s="128"/>
      <c r="E14" s="128"/>
      <c r="F14" s="128"/>
      <c r="G14" s="128"/>
      <c r="H14" s="128"/>
      <c r="I14" s="128"/>
      <c r="K14" s="215" t="s">
        <v>2851</v>
      </c>
      <c r="L14" s="216" t="str">
        <f>ROUNDUP(((L11 - (L7 + L9 )) / L11) * 100,1)&amp;"%"</f>
        <v>82.7%</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45832</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674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7674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7674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7674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7674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7674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7674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7674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7674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7674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7674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7675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7675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7675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7675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7675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7675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7675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7675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76750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7675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7675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7675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7675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7675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7675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7675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7675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7675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7675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7675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7675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7675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7675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7675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7675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7675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77907-8181-451F-A18A-546CD88632E9}">
  <sheetPr codeName="Sheet36"/>
  <dimension ref="A1:N50"/>
  <sheetViews>
    <sheetView zoomScale="115" zoomScaleNormal="115" workbookViewId="0">
      <selection activeCell="H24" sqref="H2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E10018</v>
      </c>
    </row>
    <row r="2" spans="1:14" ht="15.75" customHeight="1" thickTop="1" x14ac:dyDescent="0.35">
      <c r="A2" s="248" t="str">
        <f ca="1">C4&amp;" - "&amp;C5&amp;" - "&amp;C7</f>
        <v>E10018 - Kathleen &amp; Terry Barry - 344 Mathiskes Tank Rd, Culgoa VIC 3530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E10018</v>
      </c>
      <c r="D4" s="134"/>
      <c r="E4" s="134"/>
      <c r="F4" s="134"/>
      <c r="G4" s="134"/>
      <c r="H4" s="123"/>
      <c r="I4" s="123"/>
      <c r="N4" t="s">
        <v>1125</v>
      </c>
    </row>
    <row r="5" spans="1:14" ht="15.75" thickBot="1" x14ac:dyDescent="0.3">
      <c r="A5" s="254" t="s">
        <v>2835</v>
      </c>
      <c r="B5" s="255"/>
      <c r="C5" s="123" t="s">
        <v>698</v>
      </c>
      <c r="D5" s="123"/>
      <c r="E5" s="123"/>
      <c r="F5" s="123"/>
      <c r="G5" s="123"/>
      <c r="H5" s="123"/>
      <c r="I5" s="124"/>
      <c r="M5" s="193">
        <v>8</v>
      </c>
      <c r="N5" s="194" t="s">
        <v>2836</v>
      </c>
    </row>
    <row r="6" spans="1:14" ht="15.75" thickTop="1" x14ac:dyDescent="0.25">
      <c r="A6" s="254" t="s">
        <v>2837</v>
      </c>
      <c r="B6" s="255"/>
      <c r="C6" s="123"/>
      <c r="D6" s="123"/>
      <c r="E6" s="123"/>
      <c r="F6" s="123"/>
      <c r="G6" s="123"/>
      <c r="H6" s="123"/>
      <c r="I6" s="124"/>
      <c r="K6" s="243" t="s">
        <v>2986</v>
      </c>
      <c r="L6" s="244"/>
      <c r="M6" s="195">
        <v>10.5</v>
      </c>
      <c r="N6" s="194" t="s">
        <v>2839</v>
      </c>
    </row>
    <row r="7" spans="1:14" x14ac:dyDescent="0.25">
      <c r="A7" s="254" t="s">
        <v>2840</v>
      </c>
      <c r="B7" s="255"/>
      <c r="C7" s="123" t="s">
        <v>2991</v>
      </c>
      <c r="D7" s="123"/>
      <c r="E7" s="123"/>
      <c r="F7" s="123"/>
      <c r="G7" s="123"/>
      <c r="H7" s="123"/>
      <c r="I7" s="124"/>
      <c r="K7" s="211" t="s">
        <v>2841</v>
      </c>
      <c r="L7" s="212">
        <f>M5*M6</f>
        <v>84</v>
      </c>
    </row>
    <row r="8" spans="1:14" x14ac:dyDescent="0.25">
      <c r="A8" s="254" t="s">
        <v>2842</v>
      </c>
      <c r="B8" s="255"/>
      <c r="C8" s="123" t="s">
        <v>699</v>
      </c>
      <c r="D8" s="123"/>
      <c r="E8" s="123"/>
      <c r="F8" s="123"/>
      <c r="G8" s="123"/>
      <c r="H8" s="123"/>
      <c r="I8" s="124"/>
      <c r="K8" s="213" t="s">
        <v>2843</v>
      </c>
      <c r="L8" s="212">
        <v>0</v>
      </c>
    </row>
    <row r="9" spans="1:14" x14ac:dyDescent="0.25">
      <c r="A9" s="254" t="s">
        <v>2844</v>
      </c>
      <c r="B9" s="255"/>
      <c r="C9" s="123" t="s">
        <v>2992</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7.608695652173914</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0.92391304347826086</v>
      </c>
    </row>
    <row r="14" spans="1:14" ht="15.75" thickBot="1" x14ac:dyDescent="0.3">
      <c r="A14" s="128"/>
      <c r="B14" s="128"/>
      <c r="C14" s="128"/>
      <c r="D14" s="128"/>
      <c r="E14" s="128"/>
      <c r="F14" s="128"/>
      <c r="G14" s="128"/>
      <c r="H14" s="128"/>
      <c r="I14" s="128"/>
      <c r="K14" s="215" t="s">
        <v>2851</v>
      </c>
      <c r="L14" s="216" t="str">
        <f>ROUNDUP(((L11 - (L7 + L9 )) / L11) * 100,1)&amp;"%"</f>
        <v>92.4%</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2993</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c r="F29" s="123" t="s">
        <v>2864</v>
      </c>
      <c r="G29" s="123"/>
    </row>
    <row r="30" spans="1:9" x14ac:dyDescent="0.25">
      <c r="A30" s="129" t="b">
        <v>1</v>
      </c>
      <c r="B30" s="123" t="s">
        <v>2865</v>
      </c>
      <c r="C30" s="123"/>
      <c r="D30" s="123"/>
      <c r="E30" s="129"/>
      <c r="F30" s="123" t="s">
        <v>2866</v>
      </c>
      <c r="G30" s="123"/>
    </row>
    <row r="31" spans="1:9" x14ac:dyDescent="0.25">
      <c r="A31" s="129"/>
      <c r="B31" s="123" t="s">
        <v>2867</v>
      </c>
      <c r="C31" s="123"/>
      <c r="D31" s="123"/>
      <c r="E31" s="123"/>
      <c r="F31" s="123"/>
      <c r="G31" s="123"/>
      <c r="I31" s="38"/>
    </row>
    <row r="32" spans="1:9" x14ac:dyDescent="0.25">
      <c r="A32" s="247" t="s">
        <v>2868</v>
      </c>
      <c r="B32" s="247"/>
      <c r="C32" s="247"/>
      <c r="D32" s="247"/>
      <c r="E32" s="247"/>
      <c r="F32" s="247"/>
      <c r="G32" s="247"/>
      <c r="H32" s="247"/>
      <c r="I32" s="247"/>
    </row>
    <row r="33" spans="1:9" x14ac:dyDescent="0.25">
      <c r="A33" s="129" t="b">
        <v>1</v>
      </c>
      <c r="B33" s="123" t="s">
        <v>2869</v>
      </c>
      <c r="C33" s="123"/>
      <c r="D33" s="123"/>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8662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98662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98662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98662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98662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98663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98663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98663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98663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98663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98663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98663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98663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98663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98663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98664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98664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98664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98664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98664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98664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98664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98664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98664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98664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98665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98665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98665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98665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98665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98665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98665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98665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98665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98665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98666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98666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6A739-A7C7-43FE-9BD9-22125D4A717D}">
  <sheetPr codeName="Sheet31"/>
  <dimension ref="A1:N50"/>
  <sheetViews>
    <sheetView zoomScale="115" zoomScaleNormal="115" workbookViewId="0">
      <selection activeCell="J31" sqref="J31"/>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BPA0320</v>
      </c>
    </row>
    <row r="2" spans="1:14" ht="15.75" customHeight="1" thickTop="1" x14ac:dyDescent="0.35">
      <c r="A2" s="248" t="str">
        <f ca="1">C4&amp;" - "&amp;C5&amp;" - "&amp;C7</f>
        <v>BPA0320 - Brandon Reid - 14 Norwood Court, Hoppers Crossing VIC 3029</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BPA0320</v>
      </c>
      <c r="D4" s="134"/>
      <c r="E4" s="134"/>
      <c r="F4" s="134"/>
      <c r="G4" s="134"/>
      <c r="H4" s="123"/>
      <c r="I4" s="123"/>
      <c r="N4" t="s">
        <v>1125</v>
      </c>
    </row>
    <row r="5" spans="1:14" ht="15.75" thickBot="1" x14ac:dyDescent="0.3">
      <c r="A5" s="254" t="s">
        <v>2835</v>
      </c>
      <c r="B5" s="255"/>
      <c r="C5" s="123" t="s">
        <v>484</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43" t="s">
        <v>2986</v>
      </c>
      <c r="L6" s="244"/>
      <c r="M6" s="195">
        <v>0</v>
      </c>
      <c r="N6" s="194" t="s">
        <v>2839</v>
      </c>
    </row>
    <row r="7" spans="1:14" x14ac:dyDescent="0.25">
      <c r="A7" s="254" t="s">
        <v>2840</v>
      </c>
      <c r="B7" s="255"/>
      <c r="C7" s="123" t="s">
        <v>2994</v>
      </c>
      <c r="D7" s="123"/>
      <c r="E7" s="123"/>
      <c r="F7" s="123"/>
      <c r="G7" s="123"/>
      <c r="H7" s="123"/>
      <c r="I7" s="124"/>
      <c r="K7" s="211" t="s">
        <v>2841</v>
      </c>
      <c r="L7" s="212">
        <f>M5*M6</f>
        <v>0</v>
      </c>
    </row>
    <row r="8" spans="1:14" x14ac:dyDescent="0.25">
      <c r="A8" s="254" t="s">
        <v>2842</v>
      </c>
      <c r="B8" s="255"/>
      <c r="C8" s="123" t="s">
        <v>485</v>
      </c>
      <c r="D8" s="123"/>
      <c r="E8" s="123"/>
      <c r="F8" s="123"/>
      <c r="G8" s="123"/>
      <c r="H8" s="123"/>
      <c r="I8" s="124"/>
      <c r="K8" s="213" t="s">
        <v>2843</v>
      </c>
      <c r="L8" s="212">
        <v>0</v>
      </c>
    </row>
    <row r="9" spans="1:14" x14ac:dyDescent="0.25">
      <c r="A9" s="254" t="s">
        <v>2844</v>
      </c>
      <c r="B9" s="255"/>
      <c r="C9" s="123" t="s">
        <v>2995</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f>(L7+L9+L8)/L11*100</f>
        <v>0</v>
      </c>
    </row>
    <row r="11" spans="1:14" x14ac:dyDescent="0.25">
      <c r="A11" s="127"/>
      <c r="B11" s="127"/>
      <c r="C11" s="127"/>
      <c r="D11" s="127"/>
      <c r="E11" s="127"/>
      <c r="F11" s="127"/>
      <c r="G11" s="127"/>
      <c r="H11" s="127"/>
      <c r="I11" s="127"/>
      <c r="K11" s="211" t="s">
        <v>2848</v>
      </c>
      <c r="L11" s="212">
        <v>1104</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f>(L11 - (L7 + L9 + L10+L8)) / L11</f>
        <v>1</v>
      </c>
    </row>
    <row r="14" spans="1:14" ht="15.75" thickBot="1" x14ac:dyDescent="0.3">
      <c r="A14" s="128"/>
      <c r="B14" s="128"/>
      <c r="C14" s="128"/>
      <c r="D14" s="128"/>
      <c r="E14" s="128"/>
      <c r="F14" s="128"/>
      <c r="G14" s="128"/>
      <c r="H14" s="128"/>
      <c r="I14" s="128"/>
      <c r="K14" s="215" t="s">
        <v>2851</v>
      </c>
      <c r="L14" s="216"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0</v>
      </c>
      <c r="F30" s="123" t="s">
        <v>2866</v>
      </c>
      <c r="G30" s="123"/>
    </row>
    <row r="31" spans="1:9" x14ac:dyDescent="0.25">
      <c r="A31" s="129" t="b">
        <v>1</v>
      </c>
      <c r="B31" s="123" t="s">
        <v>2867</v>
      </c>
      <c r="C31" s="123"/>
      <c r="D31" s="123"/>
      <c r="E31" s="123"/>
      <c r="F31" s="123"/>
      <c r="G31" s="123"/>
      <c r="I31" s="38">
        <v>45828</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45833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5040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55040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55040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55040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55040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55040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55040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55040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55040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55041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55041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55041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55041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55041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55041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55041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55041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55041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55041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55042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55042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55042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55042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55042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55042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55042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55042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55042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55042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55043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55043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55043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55043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55043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55043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55043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55043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DAFE5-136A-4730-9464-40F13AAB473F}">
  <sheetPr codeName="Sheet9"/>
  <dimension ref="A1:N50"/>
  <sheetViews>
    <sheetView zoomScale="115" zoomScaleNormal="115" workbookViewId="0">
      <selection activeCell="I29" sqref="I2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BPA0318</v>
      </c>
    </row>
    <row r="2" spans="1:14" ht="15.75" customHeight="1" thickTop="1" x14ac:dyDescent="0.35">
      <c r="A2" s="248" t="str">
        <f ca="1">C4&amp;" - "&amp;C5&amp;" - "&amp;C7</f>
        <v>BPA0318 - Shaun Anderson - 24 Benton Rd, Healesville VIC 3777</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BPA0318</v>
      </c>
      <c r="D4" s="134"/>
      <c r="E4" s="134"/>
      <c r="F4" s="134"/>
      <c r="G4" s="134"/>
      <c r="H4" s="123"/>
      <c r="I4" s="123"/>
      <c r="N4" t="s">
        <v>1125</v>
      </c>
    </row>
    <row r="5" spans="1:14" ht="15.75" thickBot="1" x14ac:dyDescent="0.3">
      <c r="A5" s="254" t="s">
        <v>2835</v>
      </c>
      <c r="B5" s="255"/>
      <c r="C5" s="123" t="s">
        <v>478</v>
      </c>
      <c r="D5" s="123"/>
      <c r="E5" s="123"/>
      <c r="F5" s="123"/>
      <c r="G5" s="123"/>
      <c r="H5" s="123"/>
      <c r="I5" s="124"/>
      <c r="M5" s="193">
        <v>9</v>
      </c>
      <c r="N5" s="194" t="s">
        <v>2836</v>
      </c>
    </row>
    <row r="6" spans="1:14" ht="15.75" thickTop="1" x14ac:dyDescent="0.25">
      <c r="A6" s="254" t="s">
        <v>2837</v>
      </c>
      <c r="B6" s="255"/>
      <c r="C6" s="123"/>
      <c r="D6" s="123"/>
      <c r="E6" s="123"/>
      <c r="F6" s="123"/>
      <c r="G6" s="123"/>
      <c r="H6" s="123"/>
      <c r="I6" s="124"/>
      <c r="K6" s="243" t="s">
        <v>2986</v>
      </c>
      <c r="L6" s="244"/>
      <c r="M6" s="195">
        <v>10.5</v>
      </c>
      <c r="N6" s="194" t="s">
        <v>2839</v>
      </c>
    </row>
    <row r="7" spans="1:14" x14ac:dyDescent="0.25">
      <c r="A7" s="254" t="s">
        <v>2840</v>
      </c>
      <c r="B7" s="255"/>
      <c r="C7" s="123" t="s">
        <v>2996</v>
      </c>
      <c r="D7" s="123"/>
      <c r="E7" s="123"/>
      <c r="F7" s="123"/>
      <c r="G7" s="123"/>
      <c r="H7" s="123"/>
      <c r="I7" s="124"/>
      <c r="K7" s="211" t="s">
        <v>2841</v>
      </c>
      <c r="L7" s="212">
        <f>M5*M6</f>
        <v>94.5</v>
      </c>
    </row>
    <row r="8" spans="1:14" x14ac:dyDescent="0.25">
      <c r="A8" s="254" t="s">
        <v>2842</v>
      </c>
      <c r="B8" s="255"/>
      <c r="C8" s="123" t="s">
        <v>479</v>
      </c>
      <c r="D8" s="123"/>
      <c r="E8" s="123"/>
      <c r="F8" s="123"/>
      <c r="G8" s="123"/>
      <c r="H8" s="123"/>
      <c r="I8" s="124"/>
      <c r="K8" s="213" t="s">
        <v>2843</v>
      </c>
      <c r="L8" s="212">
        <v>0</v>
      </c>
    </row>
    <row r="9" spans="1:14" x14ac:dyDescent="0.25">
      <c r="A9" s="254" t="s">
        <v>2844</v>
      </c>
      <c r="B9" s="255"/>
      <c r="C9" s="140" t="s">
        <v>2997</v>
      </c>
      <c r="D9" s="123"/>
      <c r="E9" s="123"/>
      <c r="F9" s="123"/>
      <c r="G9" s="123"/>
      <c r="H9" s="123"/>
      <c r="I9" s="124"/>
      <c r="K9" s="211" t="s">
        <v>2845</v>
      </c>
      <c r="L9" s="212">
        <v>0</v>
      </c>
      <c r="M9" s="109"/>
    </row>
    <row r="10" spans="1:14" x14ac:dyDescent="0.25">
      <c r="A10" s="245" t="s">
        <v>2846</v>
      </c>
      <c r="B10" s="246"/>
      <c r="C10" s="125"/>
      <c r="D10" s="125"/>
      <c r="E10" s="125"/>
      <c r="F10" s="125"/>
      <c r="G10" s="125"/>
      <c r="H10" s="125"/>
      <c r="I10" s="126"/>
      <c r="K10" s="211" t="s">
        <v>2847</v>
      </c>
      <c r="L10" s="212">
        <v>0</v>
      </c>
      <c r="M10" s="109" t="e">
        <f>(L7+L9+L8)/L11*100</f>
        <v>#DIV/0!</v>
      </c>
    </row>
    <row r="11" spans="1:14" x14ac:dyDescent="0.25">
      <c r="A11" s="127"/>
      <c r="B11" s="127"/>
      <c r="C11" s="127"/>
      <c r="D11" s="127"/>
      <c r="E11" s="127"/>
      <c r="F11" s="127"/>
      <c r="G11" s="127"/>
      <c r="H11" s="127"/>
      <c r="I11" s="127"/>
      <c r="K11" s="211" t="s">
        <v>2848</v>
      </c>
      <c r="L11" s="212">
        <v>0</v>
      </c>
      <c r="M11" s="168"/>
    </row>
    <row r="12" spans="1:14" x14ac:dyDescent="0.25">
      <c r="A12" s="128"/>
      <c r="B12" s="128"/>
      <c r="C12" s="128"/>
      <c r="D12" s="128"/>
      <c r="E12" s="128"/>
      <c r="F12" s="128"/>
      <c r="G12" s="128"/>
      <c r="H12" s="128"/>
      <c r="I12" s="128"/>
      <c r="K12" s="213" t="s">
        <v>2849</v>
      </c>
      <c r="L12" s="214" t="str">
        <f>IF(L9&gt;0,LEFT(M10,5)&amp;"%","")</f>
        <v/>
      </c>
    </row>
    <row r="13" spans="1:14" x14ac:dyDescent="0.25">
      <c r="A13" s="128"/>
      <c r="B13" s="128"/>
      <c r="C13" s="128"/>
      <c r="D13" s="128"/>
      <c r="E13" s="128"/>
      <c r="F13" s="128"/>
      <c r="G13" s="128"/>
      <c r="H13" s="128"/>
      <c r="I13" s="128"/>
      <c r="K13" s="213" t="s">
        <v>2850</v>
      </c>
      <c r="L13" s="214" t="e">
        <f>(L11 - (L7 + L9 + L10+L8)) / L11</f>
        <v>#DIV/0!</v>
      </c>
    </row>
    <row r="14" spans="1:14" ht="15.75" thickBot="1" x14ac:dyDescent="0.3">
      <c r="A14" s="128"/>
      <c r="B14" s="128"/>
      <c r="C14" s="128"/>
      <c r="D14" s="128"/>
      <c r="E14" s="128"/>
      <c r="F14" s="128"/>
      <c r="G14" s="128"/>
      <c r="H14" s="128"/>
      <c r="I14" s="128"/>
      <c r="K14" s="215" t="s">
        <v>2851</v>
      </c>
      <c r="L14" s="216" t="e">
        <f>ROUNDUP(((L11 - (L7 + L9 )) / L11) * 100,1)&amp;"%"</f>
        <v>#DIV/0!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t="s">
        <v>2998</v>
      </c>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c r="B31" s="123" t="s">
        <v>2867</v>
      </c>
      <c r="C31" s="123"/>
      <c r="D31" s="123"/>
      <c r="E31" s="123"/>
      <c r="F31" s="123"/>
      <c r="G31" s="123"/>
      <c r="I31" s="38">
        <v>45824</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45828</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790732F7-C20F-474A-84D8-7393B1561B85}"/>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13056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13056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13056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13056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13056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13056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13056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13056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13056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13057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13057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13057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13057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13057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13057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13057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13057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13057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13057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130580"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13058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13058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13058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13058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13058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13058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13058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13058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13058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13059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13059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13059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13059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13059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13059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13059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13059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2610C-DC99-42F6-BE47-161DDD75F2DA}">
  <sheetPr codeName="Sheet23"/>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BPA0316</v>
      </c>
    </row>
    <row r="2" spans="1:14" ht="15.75" customHeight="1" thickTop="1" x14ac:dyDescent="0.35">
      <c r="A2" s="248" t="str">
        <f ca="1">C4&amp;" - "&amp;C5&amp;" - "&amp;C7</f>
        <v>BPA0316 - Michael Fereday - 20 Mollison St, Pyalong VIC 3521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BPA0316</v>
      </c>
      <c r="D4" s="134"/>
      <c r="E4" s="134"/>
      <c r="F4" s="134"/>
      <c r="G4" s="134"/>
      <c r="H4" s="123"/>
      <c r="I4" s="123"/>
      <c r="N4" t="s">
        <v>1125</v>
      </c>
    </row>
    <row r="5" spans="1:14" ht="15.75" thickBot="1" x14ac:dyDescent="0.3">
      <c r="A5" s="254" t="s">
        <v>2835</v>
      </c>
      <c r="B5" s="255"/>
      <c r="C5" s="123" t="s">
        <v>2654</v>
      </c>
      <c r="D5" s="123"/>
      <c r="E5" s="123"/>
      <c r="F5" s="123"/>
      <c r="G5" s="123"/>
      <c r="H5" s="123"/>
      <c r="I5" s="124"/>
      <c r="M5" s="193">
        <v>9</v>
      </c>
      <c r="N5" s="194" t="s">
        <v>2836</v>
      </c>
    </row>
    <row r="6" spans="1:14" ht="15.75" thickTop="1" x14ac:dyDescent="0.25">
      <c r="A6" s="254" t="s">
        <v>2837</v>
      </c>
      <c r="B6" s="255"/>
      <c r="C6" s="123"/>
      <c r="D6" s="123"/>
      <c r="E6" s="123"/>
      <c r="F6" s="123"/>
      <c r="G6" s="123"/>
      <c r="H6" s="123"/>
      <c r="I6" s="124"/>
      <c r="K6" s="260" t="s">
        <v>2986</v>
      </c>
      <c r="L6" s="261"/>
      <c r="M6" s="195">
        <v>18</v>
      </c>
      <c r="N6" s="194" t="s">
        <v>2839</v>
      </c>
    </row>
    <row r="7" spans="1:14" x14ac:dyDescent="0.25">
      <c r="A7" s="254" t="s">
        <v>2840</v>
      </c>
      <c r="B7" s="255"/>
      <c r="C7" s="123" t="s">
        <v>3000</v>
      </c>
      <c r="D7" s="123"/>
      <c r="E7" s="123"/>
      <c r="F7" s="123"/>
      <c r="G7" s="123"/>
      <c r="H7" s="123"/>
      <c r="I7" s="124"/>
      <c r="K7" s="196" t="s">
        <v>2841</v>
      </c>
      <c r="L7" s="197">
        <f>M5*M6</f>
        <v>162</v>
      </c>
    </row>
    <row r="8" spans="1:14" x14ac:dyDescent="0.25">
      <c r="A8" s="254" t="s">
        <v>2842</v>
      </c>
      <c r="B8" s="255"/>
      <c r="C8" s="123" t="s">
        <v>2655</v>
      </c>
      <c r="D8" s="123"/>
      <c r="E8" s="123"/>
      <c r="F8" s="123"/>
      <c r="G8" s="123"/>
      <c r="H8" s="123"/>
      <c r="I8" s="124"/>
      <c r="K8" s="198" t="s">
        <v>2843</v>
      </c>
      <c r="L8" s="197">
        <f>13+117</f>
        <v>130</v>
      </c>
    </row>
    <row r="9" spans="1:14" x14ac:dyDescent="0.25">
      <c r="A9" s="254" t="s">
        <v>2844</v>
      </c>
      <c r="B9" s="255"/>
      <c r="C9" s="140" t="s">
        <v>3001</v>
      </c>
      <c r="D9" s="123"/>
      <c r="E9" s="123"/>
      <c r="F9" s="123"/>
      <c r="G9" s="123"/>
      <c r="H9" s="123"/>
      <c r="I9" s="124"/>
      <c r="K9" s="196" t="s">
        <v>2999</v>
      </c>
      <c r="L9" s="197">
        <v>288</v>
      </c>
      <c r="M9" s="109"/>
    </row>
    <row r="10" spans="1:14" x14ac:dyDescent="0.25">
      <c r="A10" s="245" t="s">
        <v>2846</v>
      </c>
      <c r="B10" s="246"/>
      <c r="C10" s="125"/>
      <c r="D10" s="125"/>
      <c r="E10" s="125"/>
      <c r="F10" s="125"/>
      <c r="G10" s="125"/>
      <c r="H10" s="125"/>
      <c r="I10" s="126"/>
      <c r="K10" s="196" t="s">
        <v>2847</v>
      </c>
      <c r="L10" s="197">
        <v>0</v>
      </c>
      <c r="M10" s="109">
        <f>(L7+L9+L8)/L11*100</f>
        <v>28.3203125</v>
      </c>
    </row>
    <row r="11" spans="1:14" x14ac:dyDescent="0.25">
      <c r="A11" s="127"/>
      <c r="B11" s="127"/>
      <c r="C11" s="127"/>
      <c r="D11" s="127"/>
      <c r="E11" s="127"/>
      <c r="F11" s="127"/>
      <c r="G11" s="127"/>
      <c r="H11" s="127"/>
      <c r="I11" s="127"/>
      <c r="K11" s="196" t="s">
        <v>2848</v>
      </c>
      <c r="L11" s="197">
        <v>2048</v>
      </c>
      <c r="M11" s="168"/>
    </row>
    <row r="12" spans="1:14" x14ac:dyDescent="0.25">
      <c r="A12" s="128"/>
      <c r="B12" s="128"/>
      <c r="C12" s="128"/>
      <c r="D12" s="128"/>
      <c r="E12" s="128"/>
      <c r="F12" s="128"/>
      <c r="G12" s="128"/>
      <c r="H12" s="128"/>
      <c r="I12" s="128"/>
      <c r="K12" s="198" t="s">
        <v>2849</v>
      </c>
      <c r="L12" s="199" t="str">
        <f>IF(L9&gt;0,LEFT(M10,5)&amp;"%","")</f>
        <v>28.32%</v>
      </c>
    </row>
    <row r="13" spans="1:14" x14ac:dyDescent="0.25">
      <c r="A13" s="128"/>
      <c r="B13" s="128"/>
      <c r="C13" s="128"/>
      <c r="D13" s="128"/>
      <c r="E13" s="128"/>
      <c r="F13" s="128"/>
      <c r="G13" s="128"/>
      <c r="H13" s="128"/>
      <c r="I13" s="128"/>
      <c r="K13" s="198" t="s">
        <v>2850</v>
      </c>
      <c r="L13" s="199">
        <f>(L11 - (L7 + L9 + L10+L8)) / L11</f>
        <v>0.716796875</v>
      </c>
    </row>
    <row r="14" spans="1:14" ht="15.75" thickBot="1" x14ac:dyDescent="0.3">
      <c r="A14" s="128"/>
      <c r="B14" s="128"/>
      <c r="C14" s="128"/>
      <c r="D14" s="128"/>
      <c r="E14" s="128"/>
      <c r="F14" s="128"/>
      <c r="G14" s="128"/>
      <c r="H14" s="128"/>
      <c r="I14" s="128"/>
      <c r="K14" s="200" t="s">
        <v>2851</v>
      </c>
      <c r="L14" s="201" t="str">
        <f>ROUNDUP(((L11 - (L7 + L9 )) / L11) * 100,1)&amp;"%"</f>
        <v>78.1%</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t="s">
        <v>3002</v>
      </c>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c r="E33" s="139"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45825</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518B7AB-B3F3-4012-9F08-57C88501A9C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0250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0250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0250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0250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0250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0250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0250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0250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0250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0250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0250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0251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0251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0251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0251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0251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0251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0251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0251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02510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0251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0251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0251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0251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0251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0251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0251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0251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0251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0251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0251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0251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0251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0251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0251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0251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0251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0F157-4669-4F3D-B4BA-47AE78498EAC}">
  <sheetPr codeName="Sheet22"/>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BPA0315</v>
      </c>
    </row>
    <row r="2" spans="1:14" ht="15.75" customHeight="1" thickTop="1" x14ac:dyDescent="0.35">
      <c r="A2" s="248" t="str">
        <f ca="1">C4&amp;" - "&amp;C5&amp;" - "&amp;C7</f>
        <v>BPA0315 - Ryan Turton - 15 Raymond Rd</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BPA0315</v>
      </c>
      <c r="D4" s="134"/>
      <c r="E4" s="134"/>
      <c r="F4" s="134"/>
      <c r="G4" s="134"/>
      <c r="H4" s="123"/>
      <c r="I4" s="123"/>
      <c r="N4" t="s">
        <v>1125</v>
      </c>
    </row>
    <row r="5" spans="1:14" ht="15.75" thickBot="1" x14ac:dyDescent="0.3">
      <c r="A5" s="254" t="s">
        <v>2835</v>
      </c>
      <c r="B5" s="255"/>
      <c r="C5" s="123" t="s">
        <v>469</v>
      </c>
      <c r="D5" s="123"/>
      <c r="E5" s="123"/>
      <c r="F5" s="123"/>
      <c r="G5" s="123"/>
      <c r="H5" s="123"/>
      <c r="I5" s="124"/>
      <c r="M5" s="193">
        <v>7</v>
      </c>
      <c r="N5" s="194" t="s">
        <v>2836</v>
      </c>
    </row>
    <row r="6" spans="1:14" ht="15.75" thickTop="1" x14ac:dyDescent="0.25">
      <c r="A6" s="254" t="s">
        <v>2837</v>
      </c>
      <c r="B6" s="255"/>
      <c r="C6" s="123"/>
      <c r="D6" s="123"/>
      <c r="E6" s="123"/>
      <c r="F6" s="123"/>
      <c r="G6" s="123"/>
      <c r="H6" s="123"/>
      <c r="I6" s="124"/>
      <c r="K6" s="260" t="s">
        <v>2986</v>
      </c>
      <c r="L6" s="261"/>
      <c r="M6" s="195">
        <v>9</v>
      </c>
      <c r="N6" s="194" t="s">
        <v>2839</v>
      </c>
    </row>
    <row r="7" spans="1:14" x14ac:dyDescent="0.25">
      <c r="A7" s="254" t="s">
        <v>2840</v>
      </c>
      <c r="B7" s="255"/>
      <c r="C7" s="123" t="s">
        <v>471</v>
      </c>
      <c r="D7" s="123"/>
      <c r="E7" s="123"/>
      <c r="F7" s="123"/>
      <c r="G7" s="123"/>
      <c r="H7" s="123"/>
      <c r="I7" s="124"/>
      <c r="K7" s="196" t="s">
        <v>2841</v>
      </c>
      <c r="L7" s="197">
        <f>M5*M6</f>
        <v>63</v>
      </c>
    </row>
    <row r="8" spans="1:14" x14ac:dyDescent="0.25">
      <c r="A8" s="254" t="s">
        <v>2842</v>
      </c>
      <c r="B8" s="255"/>
      <c r="C8" s="123" t="s">
        <v>470</v>
      </c>
      <c r="D8" s="123"/>
      <c r="E8" s="123"/>
      <c r="F8" s="123"/>
      <c r="G8" s="123"/>
      <c r="H8" s="123"/>
      <c r="I8" s="124"/>
      <c r="K8" s="198" t="s">
        <v>2843</v>
      </c>
      <c r="L8" s="197">
        <v>50</v>
      </c>
    </row>
    <row r="9" spans="1:14" x14ac:dyDescent="0.25">
      <c r="A9" s="254" t="s">
        <v>2844</v>
      </c>
      <c r="B9" s="255"/>
      <c r="C9" s="140" t="s">
        <v>3003</v>
      </c>
      <c r="D9" s="123"/>
      <c r="E9" s="123"/>
      <c r="F9" s="123"/>
      <c r="G9" s="123"/>
      <c r="H9" s="123"/>
      <c r="I9" s="124"/>
      <c r="K9" s="196" t="s">
        <v>2999</v>
      </c>
      <c r="L9" s="197">
        <v>188</v>
      </c>
      <c r="M9" s="109"/>
    </row>
    <row r="10" spans="1:14" x14ac:dyDescent="0.25">
      <c r="A10" s="245" t="s">
        <v>2846</v>
      </c>
      <c r="B10" s="246"/>
      <c r="C10" s="125"/>
      <c r="D10" s="125"/>
      <c r="E10" s="125"/>
      <c r="F10" s="125"/>
      <c r="G10" s="125"/>
      <c r="H10" s="125"/>
      <c r="I10" s="126"/>
      <c r="K10" s="196" t="s">
        <v>2847</v>
      </c>
      <c r="L10" s="197">
        <v>74</v>
      </c>
      <c r="M10" s="109">
        <f>(L7+L9+L8)/L11*100</f>
        <v>40.675675675675677</v>
      </c>
    </row>
    <row r="11" spans="1:14" x14ac:dyDescent="0.25">
      <c r="A11" s="127"/>
      <c r="B11" s="127"/>
      <c r="C11" s="127"/>
      <c r="D11" s="127"/>
      <c r="E11" s="127"/>
      <c r="F11" s="127"/>
      <c r="G11" s="127"/>
      <c r="H11" s="127"/>
      <c r="I11" s="127"/>
      <c r="K11" s="196" t="s">
        <v>2848</v>
      </c>
      <c r="L11" s="197">
        <v>740</v>
      </c>
      <c r="M11" s="168"/>
    </row>
    <row r="12" spans="1:14" x14ac:dyDescent="0.25">
      <c r="A12" s="128"/>
      <c r="B12" s="128"/>
      <c r="C12" s="128"/>
      <c r="D12" s="128"/>
      <c r="E12" s="128"/>
      <c r="F12" s="128"/>
      <c r="G12" s="128"/>
      <c r="H12" s="128"/>
      <c r="I12" s="128"/>
      <c r="K12" s="198" t="s">
        <v>2849</v>
      </c>
      <c r="L12" s="199" t="str">
        <f>IF(L9&gt;0,LEFT(M10,5)&amp;"%","")</f>
        <v>40.67%</v>
      </c>
    </row>
    <row r="13" spans="1:14" x14ac:dyDescent="0.25">
      <c r="A13" s="128"/>
      <c r="B13" s="128"/>
      <c r="C13" s="128"/>
      <c r="D13" s="128"/>
      <c r="E13" s="128"/>
      <c r="F13" s="128"/>
      <c r="G13" s="128"/>
      <c r="H13" s="128"/>
      <c r="I13" s="128"/>
      <c r="K13" s="198" t="s">
        <v>2850</v>
      </c>
      <c r="L13" s="199">
        <f>(L11 - (L7 + L9 + L10+L8)) / L11</f>
        <v>0.49324324324324326</v>
      </c>
    </row>
    <row r="14" spans="1:14" ht="15.75" thickBot="1" x14ac:dyDescent="0.3">
      <c r="A14" s="128"/>
      <c r="B14" s="128"/>
      <c r="C14" s="128"/>
      <c r="D14" s="128"/>
      <c r="E14" s="128"/>
      <c r="F14" s="128"/>
      <c r="G14" s="128"/>
      <c r="H14" s="128"/>
      <c r="I14" s="128"/>
      <c r="K14" s="200" t="s">
        <v>2851</v>
      </c>
      <c r="L14" s="201" t="str">
        <f>ROUNDUP(((L11 - (L7 + L9 )) / L11) * 100,1)&amp;"%"</f>
        <v>66.1%</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0</v>
      </c>
      <c r="F28" s="123" t="s">
        <v>2862</v>
      </c>
      <c r="G28" s="123"/>
    </row>
    <row r="29" spans="1:9" x14ac:dyDescent="0.25">
      <c r="A29" s="129" t="b">
        <v>1</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7BC53371-E28B-498D-B770-4C976C4FC207}"/>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0240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0240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0240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0240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0240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0240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0240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0240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0240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0240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0240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0240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0240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0240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0240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0240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0240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0240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0240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0240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0240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0240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0240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0240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0240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0240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0240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0240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0240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0240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0240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0240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0240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0240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0240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0241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0241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697A-A39B-46C6-9351-8AA91190B560}">
  <sheetPr codeName="Sheet21"/>
  <dimension ref="A1:N50"/>
  <sheetViews>
    <sheetView zoomScale="115" zoomScaleNormal="115" workbookViewId="0">
      <selection activeCell="J31" sqref="J31"/>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BPA0314</v>
      </c>
    </row>
    <row r="2" spans="1:14" ht="15.75" customHeight="1" thickTop="1" x14ac:dyDescent="0.35">
      <c r="A2" s="248" t="str">
        <f ca="1">C4&amp;" - "&amp;C5&amp;" - "&amp;C7</f>
        <v>BPA0314 - Thomas Chalmers - 42 Island Drive, Tyabb VIC 3913</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BPA0314</v>
      </c>
      <c r="D4" s="134"/>
      <c r="E4" s="134"/>
      <c r="F4" s="134"/>
      <c r="G4" s="134"/>
      <c r="H4" s="123"/>
      <c r="I4" s="123"/>
      <c r="N4" t="s">
        <v>1125</v>
      </c>
    </row>
    <row r="5" spans="1:14" ht="15.75" thickBot="1" x14ac:dyDescent="0.3">
      <c r="A5" s="254" t="s">
        <v>2835</v>
      </c>
      <c r="B5" s="255"/>
      <c r="C5" s="123" t="s">
        <v>461</v>
      </c>
      <c r="D5" s="123"/>
      <c r="E5" s="123"/>
      <c r="F5" s="123"/>
      <c r="G5" s="123"/>
      <c r="H5" s="123"/>
      <c r="I5" s="124"/>
      <c r="M5" s="193">
        <v>8</v>
      </c>
      <c r="N5" s="194" t="s">
        <v>2836</v>
      </c>
    </row>
    <row r="6" spans="1:14" ht="15.75" thickTop="1" x14ac:dyDescent="0.25">
      <c r="A6" s="254" t="s">
        <v>2837</v>
      </c>
      <c r="B6" s="255"/>
      <c r="C6" s="123"/>
      <c r="D6" s="123"/>
      <c r="E6" s="123"/>
      <c r="F6" s="123"/>
      <c r="G6" s="123"/>
      <c r="H6" s="123"/>
      <c r="I6" s="124"/>
      <c r="K6" s="260" t="s">
        <v>2986</v>
      </c>
      <c r="L6" s="261"/>
      <c r="M6" s="195">
        <v>15</v>
      </c>
      <c r="N6" s="194" t="s">
        <v>2839</v>
      </c>
    </row>
    <row r="7" spans="1:14" x14ac:dyDescent="0.25">
      <c r="A7" s="254" t="s">
        <v>2840</v>
      </c>
      <c r="B7" s="255"/>
      <c r="C7" s="123" t="s">
        <v>3004</v>
      </c>
      <c r="D7" s="123"/>
      <c r="E7" s="123"/>
      <c r="F7" s="123"/>
      <c r="G7" s="123"/>
      <c r="H7" s="123"/>
      <c r="I7" s="124"/>
      <c r="K7" s="196" t="s">
        <v>2841</v>
      </c>
      <c r="L7" s="197">
        <f>M5*M6</f>
        <v>120</v>
      </c>
    </row>
    <row r="8" spans="1:14" x14ac:dyDescent="0.25">
      <c r="A8" s="254" t="s">
        <v>2842</v>
      </c>
      <c r="B8" s="255"/>
      <c r="C8" s="123" t="s">
        <v>3005</v>
      </c>
      <c r="D8" s="123"/>
      <c r="E8" s="123"/>
      <c r="F8" s="123"/>
      <c r="G8" s="123"/>
      <c r="H8" s="123"/>
      <c r="I8" s="124"/>
      <c r="K8" s="198" t="s">
        <v>2843</v>
      </c>
      <c r="L8" s="197">
        <f>63+80</f>
        <v>143</v>
      </c>
    </row>
    <row r="9" spans="1:14" x14ac:dyDescent="0.25">
      <c r="A9" s="254" t="s">
        <v>2844</v>
      </c>
      <c r="B9" s="255"/>
      <c r="C9" s="123" t="s">
        <v>3006</v>
      </c>
      <c r="D9" s="123"/>
      <c r="E9" s="123"/>
      <c r="F9" s="123"/>
      <c r="G9" s="123"/>
      <c r="H9" s="123"/>
      <c r="I9" s="124"/>
      <c r="K9" s="196" t="s">
        <v>2999</v>
      </c>
      <c r="L9" s="197">
        <f>216+80</f>
        <v>296</v>
      </c>
      <c r="M9" s="109"/>
    </row>
    <row r="10" spans="1:14" x14ac:dyDescent="0.25">
      <c r="A10" s="245" t="s">
        <v>2846</v>
      </c>
      <c r="B10" s="246"/>
      <c r="C10" s="125"/>
      <c r="D10" s="125"/>
      <c r="E10" s="125"/>
      <c r="F10" s="125"/>
      <c r="G10" s="125"/>
      <c r="H10" s="125"/>
      <c r="I10" s="126"/>
      <c r="K10" s="196" t="s">
        <v>2847</v>
      </c>
      <c r="L10" s="197">
        <f>487+188+98</f>
        <v>773</v>
      </c>
      <c r="M10" s="109">
        <f>(L7+L9+L8)/L11*100</f>
        <v>9.1609308423467724</v>
      </c>
    </row>
    <row r="11" spans="1:14" x14ac:dyDescent="0.25">
      <c r="A11" s="127"/>
      <c r="B11" s="127"/>
      <c r="C11" s="127"/>
      <c r="D11" s="127"/>
      <c r="E11" s="127"/>
      <c r="F11" s="127"/>
      <c r="G11" s="127"/>
      <c r="H11" s="127"/>
      <c r="I11" s="127"/>
      <c r="K11" s="196" t="s">
        <v>2848</v>
      </c>
      <c r="L11" s="197">
        <v>6102</v>
      </c>
      <c r="M11" s="168"/>
    </row>
    <row r="12" spans="1:14" x14ac:dyDescent="0.25">
      <c r="A12" s="128"/>
      <c r="B12" s="128"/>
      <c r="C12" s="128"/>
      <c r="D12" s="128"/>
      <c r="E12" s="128"/>
      <c r="F12" s="128"/>
      <c r="G12" s="128"/>
      <c r="H12" s="128"/>
      <c r="I12" s="128"/>
      <c r="K12" s="198" t="s">
        <v>2849</v>
      </c>
      <c r="L12" s="199" t="str">
        <f>IF(L9&gt;0,LEFT(M10,5)&amp;"%","")</f>
        <v>9.160%</v>
      </c>
    </row>
    <row r="13" spans="1:14" x14ac:dyDescent="0.25">
      <c r="A13" s="128"/>
      <c r="B13" s="128"/>
      <c r="C13" s="128"/>
      <c r="D13" s="128"/>
      <c r="E13" s="128"/>
      <c r="F13" s="128"/>
      <c r="G13" s="128"/>
      <c r="H13" s="128"/>
      <c r="I13" s="128"/>
      <c r="K13" s="198" t="s">
        <v>2850</v>
      </c>
      <c r="L13" s="199">
        <f>(L11 - (L7 + L9 + L10+L8)) / L11</f>
        <v>0.78171091445427732</v>
      </c>
    </row>
    <row r="14" spans="1:14" ht="15.75" thickBot="1" x14ac:dyDescent="0.3">
      <c r="A14" s="128"/>
      <c r="B14" s="128"/>
      <c r="C14" s="128"/>
      <c r="D14" s="128"/>
      <c r="E14" s="128"/>
      <c r="F14" s="128"/>
      <c r="G14" s="128"/>
      <c r="H14" s="128"/>
      <c r="I14" s="128"/>
      <c r="K14" s="200" t="s">
        <v>2851</v>
      </c>
      <c r="L14" s="201" t="str">
        <f>ROUNDUP(((L11 - (L7 + L9 )) / L11) * 100,1)&amp;"%"</f>
        <v>93.2%</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2099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02099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02099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02099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02099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02099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02099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02100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402100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02100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02100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02100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02100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02100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02100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402100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02100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02101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02101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02101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02101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02101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02101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02101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02101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02101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02101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02102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02102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02102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402102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402102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402102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402102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402102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402102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402102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2AF3-0C63-4E74-8A58-D20AC53DAF9E}">
  <sheetPr codeName="Sheet18"/>
  <dimension ref="A1:N50"/>
  <sheetViews>
    <sheetView zoomScale="115" zoomScaleNormal="115" workbookViewId="0">
      <selection activeCell="K26" sqref="K26"/>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BPA0311</v>
      </c>
    </row>
    <row r="2" spans="1:14" ht="15.75" customHeight="1" thickTop="1" x14ac:dyDescent="0.35">
      <c r="A2" s="248" t="str">
        <f ca="1">C4&amp;" - "&amp;C5&amp;" - "&amp;C7</f>
        <v>BPA0311 - Geoff Bassler - 3 Campaspe Mews, Strathdale VIC 3550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BPA0311</v>
      </c>
      <c r="D4" s="134"/>
      <c r="E4" s="134"/>
      <c r="F4" s="134"/>
      <c r="G4" s="134"/>
      <c r="H4" s="123"/>
      <c r="I4" s="123"/>
      <c r="N4" t="s">
        <v>1125</v>
      </c>
    </row>
    <row r="5" spans="1:14" ht="15.75" thickBot="1" x14ac:dyDescent="0.3">
      <c r="A5" s="254" t="s">
        <v>2835</v>
      </c>
      <c r="B5" s="255"/>
      <c r="C5" s="123" t="s">
        <v>455</v>
      </c>
      <c r="D5" s="123"/>
      <c r="E5" s="123"/>
      <c r="F5" s="123"/>
      <c r="G5" s="123"/>
      <c r="H5" s="123"/>
      <c r="I5" s="124"/>
      <c r="M5" s="193">
        <v>6</v>
      </c>
      <c r="N5" s="194" t="s">
        <v>2836</v>
      </c>
    </row>
    <row r="6" spans="1:14" ht="15.75" thickTop="1" x14ac:dyDescent="0.25">
      <c r="A6" s="254" t="s">
        <v>2837</v>
      </c>
      <c r="B6" s="255"/>
      <c r="C6" s="123"/>
      <c r="D6" s="123"/>
      <c r="E6" s="123"/>
      <c r="F6" s="123"/>
      <c r="G6" s="123"/>
      <c r="H6" s="123"/>
      <c r="I6" s="124"/>
      <c r="K6" s="260" t="s">
        <v>2986</v>
      </c>
      <c r="L6" s="261"/>
      <c r="M6" s="195">
        <v>7</v>
      </c>
      <c r="N6" s="194" t="s">
        <v>2839</v>
      </c>
    </row>
    <row r="7" spans="1:14" x14ac:dyDescent="0.25">
      <c r="A7" s="254" t="s">
        <v>2840</v>
      </c>
      <c r="B7" s="255"/>
      <c r="C7" s="123" t="s">
        <v>3007</v>
      </c>
      <c r="D7" s="123"/>
      <c r="E7" s="123"/>
      <c r="F7" s="123"/>
      <c r="G7" s="123"/>
      <c r="H7" s="123"/>
      <c r="I7" s="124"/>
      <c r="K7" s="196" t="s">
        <v>2841</v>
      </c>
      <c r="L7" s="197">
        <f>M5*M6</f>
        <v>42</v>
      </c>
    </row>
    <row r="8" spans="1:14" x14ac:dyDescent="0.25">
      <c r="A8" s="254" t="s">
        <v>2842</v>
      </c>
      <c r="B8" s="255"/>
      <c r="C8" s="123" t="s">
        <v>456</v>
      </c>
      <c r="D8" s="123"/>
      <c r="E8" s="123"/>
      <c r="F8" s="123"/>
      <c r="G8" s="123"/>
      <c r="H8" s="123"/>
      <c r="I8" s="124"/>
      <c r="K8" s="198" t="s">
        <v>2843</v>
      </c>
      <c r="L8" s="197">
        <v>17.5</v>
      </c>
    </row>
    <row r="9" spans="1:14" x14ac:dyDescent="0.25">
      <c r="A9" s="254" t="s">
        <v>2844</v>
      </c>
      <c r="B9" s="255"/>
      <c r="C9" s="123" t="s">
        <v>3008</v>
      </c>
      <c r="D9" s="123"/>
      <c r="E9" s="123"/>
      <c r="F9" s="123"/>
      <c r="G9" s="123"/>
      <c r="H9" s="123"/>
      <c r="I9" s="124"/>
      <c r="K9" s="196" t="s">
        <v>2999</v>
      </c>
      <c r="L9" s="197">
        <v>265</v>
      </c>
      <c r="M9" s="109"/>
    </row>
    <row r="10" spans="1:14" x14ac:dyDescent="0.25">
      <c r="A10" s="245" t="s">
        <v>2846</v>
      </c>
      <c r="B10" s="246"/>
      <c r="C10" s="125"/>
      <c r="D10" s="125"/>
      <c r="E10" s="125"/>
      <c r="F10" s="125"/>
      <c r="G10" s="125"/>
      <c r="H10" s="125"/>
      <c r="I10" s="126"/>
      <c r="K10" s="196" t="s">
        <v>2847</v>
      </c>
      <c r="L10" s="197">
        <v>30</v>
      </c>
      <c r="M10" s="109">
        <f>(L7+L9+L8)/L11*100</f>
        <v>44.391244870041042</v>
      </c>
    </row>
    <row r="11" spans="1:14" x14ac:dyDescent="0.25">
      <c r="A11" s="127"/>
      <c r="B11" s="127"/>
      <c r="C11" s="127"/>
      <c r="D11" s="127"/>
      <c r="E11" s="127"/>
      <c r="F11" s="127"/>
      <c r="G11" s="127"/>
      <c r="H11" s="127"/>
      <c r="I11" s="127"/>
      <c r="K11" s="196" t="s">
        <v>2848</v>
      </c>
      <c r="L11" s="197">
        <v>731</v>
      </c>
      <c r="M11" s="168"/>
    </row>
    <row r="12" spans="1:14" x14ac:dyDescent="0.25">
      <c r="A12" s="128"/>
      <c r="B12" s="128"/>
      <c r="C12" s="128"/>
      <c r="D12" s="128"/>
      <c r="E12" s="128"/>
      <c r="F12" s="128"/>
      <c r="G12" s="128"/>
      <c r="H12" s="128"/>
      <c r="I12" s="128"/>
      <c r="K12" s="198" t="s">
        <v>2849</v>
      </c>
      <c r="L12" s="199" t="str">
        <f>IF(L9&gt;0,LEFT(M10,5)&amp;"%","")</f>
        <v>44.39%</v>
      </c>
    </row>
    <row r="13" spans="1:14" x14ac:dyDescent="0.25">
      <c r="A13" s="128"/>
      <c r="B13" s="128"/>
      <c r="C13" s="128"/>
      <c r="D13" s="128"/>
      <c r="E13" s="128"/>
      <c r="F13" s="128"/>
      <c r="G13" s="128"/>
      <c r="H13" s="128"/>
      <c r="I13" s="128"/>
      <c r="K13" s="198" t="s">
        <v>2850</v>
      </c>
      <c r="L13" s="199">
        <f>(L11 - (L7 + L9 + L10+L8)) / L11</f>
        <v>0.51504787961696308</v>
      </c>
    </row>
    <row r="14" spans="1:14" ht="15.75" thickBot="1" x14ac:dyDescent="0.3">
      <c r="A14" s="128"/>
      <c r="B14" s="128"/>
      <c r="C14" s="128"/>
      <c r="D14" s="128"/>
      <c r="E14" s="128"/>
      <c r="F14" s="128"/>
      <c r="G14" s="128"/>
      <c r="H14" s="128"/>
      <c r="I14" s="128"/>
      <c r="K14" s="200" t="s">
        <v>2851</v>
      </c>
      <c r="L14" s="201" t="str">
        <f>ROUNDUP(((L11 - (L7 + L9 )) / L11) * 100,1)&amp;"%"</f>
        <v>58.1%</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21678</v>
      </c>
      <c r="E22" s="257"/>
      <c r="F22" s="257"/>
      <c r="G22" s="257"/>
      <c r="H22" s="257"/>
      <c r="I22" s="138"/>
    </row>
    <row r="23" spans="1:9" x14ac:dyDescent="0.25">
      <c r="A23" s="136" t="s">
        <v>2856</v>
      </c>
      <c r="B23" s="123"/>
      <c r="C23" s="123"/>
      <c r="D23" s="137" t="s">
        <v>3009</v>
      </c>
      <c r="E23" s="138"/>
      <c r="F23" s="138"/>
      <c r="G23" s="138"/>
    </row>
    <row r="24" spans="1:9" x14ac:dyDescent="0.25">
      <c r="A24" s="136" t="s">
        <v>2857</v>
      </c>
      <c r="B24" s="123"/>
      <c r="C24" s="123"/>
      <c r="D24" s="137" t="s">
        <v>3010</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3011</v>
      </c>
      <c r="E27" s="138"/>
      <c r="F27" s="138"/>
      <c r="G27" s="138"/>
    </row>
    <row r="28" spans="1:9" x14ac:dyDescent="0.25">
      <c r="A28" s="129" t="b">
        <v>1</v>
      </c>
      <c r="B28" s="123" t="s">
        <v>2861</v>
      </c>
      <c r="C28" s="123"/>
      <c r="D28" s="123"/>
      <c r="E28" s="129" t="b">
        <v>1</v>
      </c>
      <c r="F28" s="123" t="s">
        <v>2862</v>
      </c>
      <c r="G28" s="123"/>
    </row>
    <row r="29" spans="1:9" x14ac:dyDescent="0.25">
      <c r="A29" s="129" t="b">
        <v>0</v>
      </c>
      <c r="B29" s="123" t="s">
        <v>2863</v>
      </c>
      <c r="C29" s="123"/>
      <c r="D29" s="123"/>
      <c r="E29" s="129" t="b">
        <v>1</v>
      </c>
      <c r="F29" s="123" t="s">
        <v>2864</v>
      </c>
      <c r="G29" s="123"/>
    </row>
    <row r="30" spans="1:9" x14ac:dyDescent="0.25">
      <c r="A30" s="129" t="b">
        <v>0</v>
      </c>
      <c r="B30" s="123" t="s">
        <v>2865</v>
      </c>
      <c r="C30" s="123"/>
      <c r="D30" s="123"/>
      <c r="E30" s="129"/>
      <c r="F30" s="123" t="s">
        <v>2866</v>
      </c>
      <c r="G30" s="123"/>
    </row>
    <row r="31" spans="1:9" x14ac:dyDescent="0.25">
      <c r="A31" s="129" t="b">
        <v>0</v>
      </c>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45820</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2887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2889</v>
      </c>
      <c r="C46" s="123"/>
      <c r="D46" s="123"/>
      <c r="E46" s="123"/>
      <c r="F46" s="123"/>
      <c r="G46" s="123"/>
      <c r="H46" s="123"/>
      <c r="I46" s="123"/>
    </row>
    <row r="47" spans="1:9" x14ac:dyDescent="0.25">
      <c r="A47" s="129"/>
      <c r="B47" s="123" t="s">
        <v>2890</v>
      </c>
      <c r="C47" s="123"/>
      <c r="D47" s="123"/>
      <c r="E47" s="123"/>
      <c r="F47" s="123"/>
      <c r="G47" s="123"/>
      <c r="I47" s="123"/>
    </row>
    <row r="48" spans="1:9" x14ac:dyDescent="0.25">
      <c r="A48" s="129"/>
      <c r="B48" s="123" t="s">
        <v>2891</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2893</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8182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8182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8182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8182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8182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8182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8182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8182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8182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8182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8182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8182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8182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8182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8182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8182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8182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8182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8182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8182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8182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8182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8182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8182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8182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8182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8182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8182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8182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8182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8182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8182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8182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8182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8182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8182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8182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DDEF6-7F50-4CA5-A7A4-AB3CDEF8EC55}">
  <sheetPr codeName="Sheet15"/>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BPA0310</v>
      </c>
    </row>
    <row r="2" spans="1:14" ht="15.75" customHeight="1" thickTop="1" x14ac:dyDescent="0.35">
      <c r="A2" s="248" t="str">
        <f ca="1">C4&amp;" - "&amp;C5&amp;" - "&amp;C7</f>
        <v>BPA0310 - David Crook - 2-4 Down St, Longwood VIC 3665</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BPA0310</v>
      </c>
      <c r="D4" s="134"/>
      <c r="E4" s="134"/>
      <c r="F4" s="134"/>
      <c r="G4" s="134"/>
      <c r="H4" s="123"/>
      <c r="I4" s="123"/>
      <c r="N4" t="s">
        <v>1125</v>
      </c>
    </row>
    <row r="5" spans="1:14" ht="15.75" thickBot="1" x14ac:dyDescent="0.3">
      <c r="A5" s="254" t="s">
        <v>2835</v>
      </c>
      <c r="B5" s="255"/>
      <c r="C5" s="123" t="s">
        <v>448</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60" t="s">
        <v>2986</v>
      </c>
      <c r="L6" s="261"/>
      <c r="M6" s="195">
        <v>0</v>
      </c>
      <c r="N6" s="194" t="s">
        <v>2839</v>
      </c>
    </row>
    <row r="7" spans="1:14" x14ac:dyDescent="0.25">
      <c r="A7" s="254" t="s">
        <v>2840</v>
      </c>
      <c r="B7" s="255"/>
      <c r="C7" s="123" t="s">
        <v>3012</v>
      </c>
      <c r="D7" s="123"/>
      <c r="E7" s="123"/>
      <c r="F7" s="123"/>
      <c r="G7" s="123"/>
      <c r="H7" s="123"/>
      <c r="I7" s="124"/>
      <c r="K7" s="196" t="s">
        <v>2841</v>
      </c>
      <c r="L7" s="197">
        <v>368</v>
      </c>
    </row>
    <row r="8" spans="1:14" x14ac:dyDescent="0.25">
      <c r="A8" s="254" t="s">
        <v>2842</v>
      </c>
      <c r="B8" s="255"/>
      <c r="C8" s="123" t="s">
        <v>3013</v>
      </c>
      <c r="D8" s="123"/>
      <c r="E8" s="123"/>
      <c r="F8" s="123"/>
      <c r="G8" s="123"/>
      <c r="H8" s="123"/>
      <c r="I8" s="124"/>
      <c r="K8" s="198" t="s">
        <v>2843</v>
      </c>
      <c r="L8" s="197">
        <f>126+40+120+140+142</f>
        <v>568</v>
      </c>
    </row>
    <row r="9" spans="1:14" x14ac:dyDescent="0.25">
      <c r="A9" s="254" t="s">
        <v>2844</v>
      </c>
      <c r="B9" s="255"/>
      <c r="C9" s="140" t="s">
        <v>3014</v>
      </c>
      <c r="D9" s="123"/>
      <c r="E9" s="123"/>
      <c r="F9" s="123"/>
      <c r="G9" s="123"/>
      <c r="H9" s="123"/>
      <c r="I9" s="124"/>
      <c r="K9" s="196" t="s">
        <v>2999</v>
      </c>
      <c r="L9" s="197">
        <v>212</v>
      </c>
      <c r="M9" s="109"/>
    </row>
    <row r="10" spans="1:14" x14ac:dyDescent="0.25">
      <c r="A10" s="245" t="s">
        <v>2846</v>
      </c>
      <c r="B10" s="246"/>
      <c r="C10" s="125"/>
      <c r="D10" s="125"/>
      <c r="E10" s="125"/>
      <c r="F10" s="125"/>
      <c r="G10" s="125"/>
      <c r="H10" s="125"/>
      <c r="I10" s="126"/>
      <c r="K10" s="196" t="s">
        <v>2847</v>
      </c>
      <c r="L10" s="197">
        <f>37+10+20</f>
        <v>67</v>
      </c>
      <c r="M10" s="109">
        <f>(L7+L9+L8)/L11*100</f>
        <v>18.758169934640524</v>
      </c>
    </row>
    <row r="11" spans="1:14" x14ac:dyDescent="0.25">
      <c r="A11" s="127"/>
      <c r="B11" s="127"/>
      <c r="C11" s="127"/>
      <c r="D11" s="127"/>
      <c r="E11" s="127"/>
      <c r="F11" s="127"/>
      <c r="G11" s="127"/>
      <c r="H11" s="127"/>
      <c r="I11" s="127"/>
      <c r="K11" s="196" t="s">
        <v>2848</v>
      </c>
      <c r="L11" s="197">
        <v>6120</v>
      </c>
      <c r="M11" s="168"/>
    </row>
    <row r="12" spans="1:14" x14ac:dyDescent="0.25">
      <c r="A12" s="128"/>
      <c r="B12" s="128"/>
      <c r="C12" s="128"/>
      <c r="D12" s="128"/>
      <c r="E12" s="128"/>
      <c r="F12" s="128"/>
      <c r="G12" s="128"/>
      <c r="H12" s="128"/>
      <c r="I12" s="128"/>
      <c r="K12" s="198" t="s">
        <v>2849</v>
      </c>
      <c r="L12" s="199" t="str">
        <f>IF(L9&gt;0,LEFT(M10,5)&amp;"%","")</f>
        <v>18.75%</v>
      </c>
    </row>
    <row r="13" spans="1:14" x14ac:dyDescent="0.25">
      <c r="A13" s="128"/>
      <c r="B13" s="128"/>
      <c r="C13" s="128"/>
      <c r="D13" s="128"/>
      <c r="E13" s="128"/>
      <c r="F13" s="128"/>
      <c r="G13" s="128"/>
      <c r="H13" s="128"/>
      <c r="I13" s="128"/>
      <c r="K13" s="198" t="s">
        <v>2850</v>
      </c>
      <c r="L13" s="199">
        <f>(L11 - (L7 + L9 + L10+L8)) / L11</f>
        <v>0.80147058823529416</v>
      </c>
    </row>
    <row r="14" spans="1:14" ht="15.75" thickBot="1" x14ac:dyDescent="0.3">
      <c r="A14" s="128"/>
      <c r="B14" s="128"/>
      <c r="C14" s="128"/>
      <c r="D14" s="128"/>
      <c r="E14" s="128"/>
      <c r="F14" s="128"/>
      <c r="G14" s="128"/>
      <c r="H14" s="128"/>
      <c r="I14" s="128"/>
      <c r="K14" s="200" t="s">
        <v>2851</v>
      </c>
      <c r="L14" s="201" t="str">
        <f>ROUNDUP(((L11 - (L7 + L9 )) / L11) * 100,1)&amp;"%"</f>
        <v>90.6%</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111813</v>
      </c>
      <c r="E22" s="257"/>
      <c r="F22" s="257"/>
      <c r="G22" s="257"/>
      <c r="H22" s="257"/>
      <c r="I22" s="138"/>
    </row>
    <row r="23" spans="1:9" x14ac:dyDescent="0.25">
      <c r="A23" s="136" t="s">
        <v>2856</v>
      </c>
      <c r="B23" s="123"/>
      <c r="C23" s="123"/>
      <c r="D23" s="137" t="s">
        <v>3015</v>
      </c>
      <c r="E23" s="138"/>
      <c r="F23" s="138"/>
      <c r="G23" s="138"/>
    </row>
    <row r="24" spans="1:9" x14ac:dyDescent="0.25">
      <c r="A24" s="136" t="s">
        <v>2857</v>
      </c>
      <c r="B24" s="123"/>
      <c r="C24" s="123"/>
      <c r="D24" s="137" t="s">
        <v>3016</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2898</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45807</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45821</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3018</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91D19289-6A35-4DAE-A22D-93413C88D4B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7168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7168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7168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7168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7168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7168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7168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7168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7168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7168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7168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7168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7168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7168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7168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7168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7168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7168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7168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7168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7168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7168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7168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7168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7168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7168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7168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7168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7168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7168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7168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7168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7168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7168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7168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7169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7169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6777E-F08D-4947-920E-4747E6500B21}">
  <sheetPr codeName="Sheet14"/>
  <dimension ref="A1:N50"/>
  <sheetViews>
    <sheetView zoomScale="115" zoomScaleNormal="115" workbookViewId="0">
      <selection activeCell="R20" sqref="R20"/>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BPA0309</v>
      </c>
    </row>
    <row r="2" spans="1:14" ht="15.75" customHeight="1" thickTop="1" x14ac:dyDescent="0.35">
      <c r="A2" s="248" t="str">
        <f ca="1">C4&amp;" - "&amp;C5&amp;" - "&amp;C7</f>
        <v>BPA0309 - Mark Grimm - 9 Clancy Lane, Myrtleford VIC 3737</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BPA0309</v>
      </c>
      <c r="D4" s="134"/>
      <c r="E4" s="134"/>
      <c r="F4" s="134"/>
      <c r="G4" s="134"/>
      <c r="H4" s="123"/>
      <c r="I4" s="123"/>
      <c r="N4" t="s">
        <v>1125</v>
      </c>
    </row>
    <row r="5" spans="1:14" ht="15.75" thickBot="1" x14ac:dyDescent="0.3">
      <c r="A5" s="254" t="s">
        <v>2835</v>
      </c>
      <c r="B5" s="255"/>
      <c r="C5" s="123" t="s">
        <v>443</v>
      </c>
      <c r="D5" s="123"/>
      <c r="E5" s="123"/>
      <c r="F5" s="123"/>
      <c r="G5" s="123"/>
      <c r="H5" s="123"/>
      <c r="I5" s="124"/>
      <c r="M5" s="193">
        <v>7</v>
      </c>
      <c r="N5" s="194" t="s">
        <v>2836</v>
      </c>
    </row>
    <row r="6" spans="1:14" ht="15.75" thickTop="1" x14ac:dyDescent="0.25">
      <c r="A6" s="254" t="s">
        <v>2837</v>
      </c>
      <c r="B6" s="255"/>
      <c r="C6" s="123"/>
      <c r="D6" s="123"/>
      <c r="E6" s="123"/>
      <c r="F6" s="123"/>
      <c r="G6" s="123"/>
      <c r="H6" s="123"/>
      <c r="I6" s="124"/>
      <c r="K6" s="260" t="s">
        <v>2986</v>
      </c>
      <c r="L6" s="261"/>
      <c r="M6" s="195">
        <v>12</v>
      </c>
      <c r="N6" s="194" t="s">
        <v>2839</v>
      </c>
    </row>
    <row r="7" spans="1:14" x14ac:dyDescent="0.25">
      <c r="A7" s="254" t="s">
        <v>2840</v>
      </c>
      <c r="B7" s="255"/>
      <c r="C7" s="123" t="s">
        <v>3021</v>
      </c>
      <c r="D7" s="123"/>
      <c r="E7" s="123"/>
      <c r="F7" s="123"/>
      <c r="G7" s="123"/>
      <c r="H7" s="123"/>
      <c r="I7" s="124"/>
      <c r="K7" s="196" t="s">
        <v>2841</v>
      </c>
      <c r="L7" s="197">
        <f>M5*M6</f>
        <v>84</v>
      </c>
    </row>
    <row r="8" spans="1:14" x14ac:dyDescent="0.25">
      <c r="A8" s="254" t="s">
        <v>2842</v>
      </c>
      <c r="B8" s="255"/>
      <c r="C8" s="123" t="s">
        <v>444</v>
      </c>
      <c r="D8" s="123"/>
      <c r="E8" s="123"/>
      <c r="F8" s="123"/>
      <c r="G8" s="123"/>
      <c r="H8" s="123"/>
      <c r="I8" s="124"/>
      <c r="K8" s="198" t="s">
        <v>2843</v>
      </c>
      <c r="L8" s="197">
        <v>34.5</v>
      </c>
    </row>
    <row r="9" spans="1:14" x14ac:dyDescent="0.25">
      <c r="A9" s="254" t="s">
        <v>2844</v>
      </c>
      <c r="B9" s="255"/>
      <c r="C9" s="140" t="s">
        <v>3022</v>
      </c>
      <c r="D9" s="123"/>
      <c r="E9" s="123"/>
      <c r="F9" s="123"/>
      <c r="G9" s="123"/>
      <c r="H9" s="123"/>
      <c r="I9" s="124"/>
      <c r="K9" s="196" t="s">
        <v>2999</v>
      </c>
      <c r="L9" s="197">
        <v>400</v>
      </c>
      <c r="M9" s="109"/>
    </row>
    <row r="10" spans="1:14" x14ac:dyDescent="0.25">
      <c r="A10" s="245" t="s">
        <v>2846</v>
      </c>
      <c r="B10" s="246"/>
      <c r="C10" s="125"/>
      <c r="D10" s="125"/>
      <c r="E10" s="125"/>
      <c r="F10" s="125"/>
      <c r="G10" s="125"/>
      <c r="H10" s="125"/>
      <c r="I10" s="126"/>
      <c r="K10" s="196" t="s">
        <v>2847</v>
      </c>
      <c r="L10" s="197">
        <v>396</v>
      </c>
      <c r="M10" s="109">
        <f>(L7+L9+L8)/L11*100</f>
        <v>30.268534734384122</v>
      </c>
    </row>
    <row r="11" spans="1:14" x14ac:dyDescent="0.25">
      <c r="A11" s="127"/>
      <c r="B11" s="127"/>
      <c r="C11" s="127"/>
      <c r="D11" s="127"/>
      <c r="E11" s="127"/>
      <c r="F11" s="127"/>
      <c r="G11" s="127"/>
      <c r="H11" s="127"/>
      <c r="I11" s="127"/>
      <c r="K11" s="196" t="s">
        <v>2848</v>
      </c>
      <c r="L11" s="197">
        <v>1713</v>
      </c>
      <c r="M11" s="168"/>
    </row>
    <row r="12" spans="1:14" x14ac:dyDescent="0.25">
      <c r="A12" s="128"/>
      <c r="B12" s="128"/>
      <c r="C12" s="128"/>
      <c r="D12" s="128"/>
      <c r="E12" s="128"/>
      <c r="F12" s="128"/>
      <c r="G12" s="128"/>
      <c r="H12" s="128"/>
      <c r="I12" s="128"/>
      <c r="K12" s="198" t="s">
        <v>2849</v>
      </c>
      <c r="L12" s="199" t="str">
        <f>IF(L9&gt;0,LEFT(M10,5)&amp;"%","")</f>
        <v>30.26%</v>
      </c>
    </row>
    <row r="13" spans="1:14" x14ac:dyDescent="0.25">
      <c r="A13" s="128"/>
      <c r="B13" s="128"/>
      <c r="C13" s="128"/>
      <c r="D13" s="128"/>
      <c r="E13" s="128"/>
      <c r="F13" s="128"/>
      <c r="G13" s="128"/>
      <c r="H13" s="128"/>
      <c r="I13" s="128"/>
      <c r="K13" s="198" t="s">
        <v>2850</v>
      </c>
      <c r="L13" s="199">
        <f>(L11 - (L7 + L9 + L10+L8)) / L11</f>
        <v>0.46614127262113253</v>
      </c>
    </row>
    <row r="14" spans="1:14" ht="15.75" thickBot="1" x14ac:dyDescent="0.3">
      <c r="A14" s="128"/>
      <c r="B14" s="128"/>
      <c r="C14" s="128"/>
      <c r="D14" s="128"/>
      <c r="E14" s="128"/>
      <c r="F14" s="128"/>
      <c r="G14" s="128"/>
      <c r="H14" s="128"/>
      <c r="I14" s="128"/>
      <c r="K14" s="200" t="s">
        <v>2851</v>
      </c>
      <c r="L14" s="201" t="str">
        <f>ROUNDUP(((L11 - (L7 + L9 )) / L11) * 100,1)&amp;"%"</f>
        <v>71.8%</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t="s">
        <v>3023</v>
      </c>
      <c r="E23" s="138"/>
      <c r="F23" s="138"/>
      <c r="G23" s="138"/>
    </row>
    <row r="24" spans="1:9" x14ac:dyDescent="0.25">
      <c r="A24" s="136" t="s">
        <v>2857</v>
      </c>
      <c r="B24" s="123"/>
      <c r="C24" s="123"/>
      <c r="D24" s="137" t="s">
        <v>2979</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0</v>
      </c>
      <c r="F28" s="139"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45811</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39"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3018</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13FD76B5-FCD3-45E5-809E-77B629EB183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36144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6144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6144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6144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6144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6144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6144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6144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6144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6144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6144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6144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6144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6144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6144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6144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6144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6144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6144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6144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6144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6144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6144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6144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6144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6144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6144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6144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6144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6144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6144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6144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6144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6144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6144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6145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6145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3C471-E903-431E-A9BC-352D249F62FA}">
  <sheetPr codeName="Sheet13"/>
  <dimension ref="A1:N50"/>
  <sheetViews>
    <sheetView zoomScale="115" zoomScaleNormal="115" workbookViewId="0">
      <selection activeCell="J31" sqref="J31"/>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BPA0308</v>
      </c>
    </row>
    <row r="2" spans="1:14" ht="15.75" customHeight="1" thickTop="1" x14ac:dyDescent="0.35">
      <c r="A2" s="248" t="str">
        <f ca="1">C4&amp;" - "&amp;C5&amp;" - "&amp;C7</f>
        <v>BPA0308 - Tim Hudaverdi - 133 La-Cote Road, Greendale VIC 3341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BPA0308</v>
      </c>
      <c r="D4" s="134"/>
      <c r="E4" s="134"/>
      <c r="F4" s="134"/>
      <c r="G4" s="134"/>
      <c r="H4" s="123"/>
      <c r="I4" s="123"/>
      <c r="N4" t="s">
        <v>1125</v>
      </c>
    </row>
    <row r="5" spans="1:14" ht="15.75" thickBot="1" x14ac:dyDescent="0.3">
      <c r="A5" s="254" t="s">
        <v>2835</v>
      </c>
      <c r="B5" s="255"/>
      <c r="C5" s="123" t="s">
        <v>437</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60" t="s">
        <v>2986</v>
      </c>
      <c r="L6" s="261"/>
      <c r="M6" s="195">
        <v>0</v>
      </c>
      <c r="N6" s="194" t="s">
        <v>2839</v>
      </c>
    </row>
    <row r="7" spans="1:14" x14ac:dyDescent="0.25">
      <c r="A7" s="254" t="s">
        <v>2840</v>
      </c>
      <c r="B7" s="255"/>
      <c r="C7" s="123" t="s">
        <v>3024</v>
      </c>
      <c r="D7" s="123"/>
      <c r="E7" s="123"/>
      <c r="F7" s="123"/>
      <c r="G7" s="123"/>
      <c r="H7" s="123"/>
      <c r="I7" s="124"/>
      <c r="K7" s="196" t="s">
        <v>2841</v>
      </c>
      <c r="L7" s="197">
        <f>M5*M6</f>
        <v>0</v>
      </c>
    </row>
    <row r="8" spans="1:14" x14ac:dyDescent="0.25">
      <c r="A8" s="254" t="s">
        <v>2842</v>
      </c>
      <c r="B8" s="255"/>
      <c r="C8" s="123" t="s">
        <v>438</v>
      </c>
      <c r="D8" s="123"/>
      <c r="E8" s="123"/>
      <c r="F8" s="123"/>
      <c r="G8" s="123"/>
      <c r="H8" s="123"/>
      <c r="I8" s="124"/>
      <c r="K8" s="198" t="s">
        <v>2843</v>
      </c>
      <c r="L8" s="197">
        <v>0</v>
      </c>
    </row>
    <row r="9" spans="1:14" x14ac:dyDescent="0.25">
      <c r="A9" s="254" t="s">
        <v>2844</v>
      </c>
      <c r="B9" s="255"/>
      <c r="C9" s="123" t="s">
        <v>3025</v>
      </c>
      <c r="D9" s="123"/>
      <c r="E9" s="123"/>
      <c r="F9" s="123"/>
      <c r="G9" s="123"/>
      <c r="H9" s="123"/>
      <c r="I9" s="124"/>
      <c r="K9" s="196" t="s">
        <v>2999</v>
      </c>
      <c r="L9" s="197">
        <v>0</v>
      </c>
      <c r="M9" s="109"/>
    </row>
    <row r="10" spans="1:14" x14ac:dyDescent="0.25">
      <c r="A10" s="245" t="s">
        <v>2846</v>
      </c>
      <c r="B10" s="246"/>
      <c r="C10" s="125"/>
      <c r="D10" s="125"/>
      <c r="E10" s="125"/>
      <c r="F10" s="125"/>
      <c r="G10" s="125"/>
      <c r="H10" s="125"/>
      <c r="I10" s="126"/>
      <c r="K10" s="196" t="s">
        <v>2847</v>
      </c>
      <c r="L10" s="197">
        <v>0</v>
      </c>
      <c r="M10" s="109">
        <f>(L7+L9)/L11*100</f>
        <v>0</v>
      </c>
    </row>
    <row r="11" spans="1:14" x14ac:dyDescent="0.25">
      <c r="A11" s="127"/>
      <c r="B11" s="127"/>
      <c r="C11" s="127"/>
      <c r="D11" s="127"/>
      <c r="E11" s="127"/>
      <c r="F11" s="127"/>
      <c r="G11" s="127"/>
      <c r="H11" s="127"/>
      <c r="I11" s="127"/>
      <c r="K11" s="196" t="s">
        <v>2848</v>
      </c>
      <c r="L11" s="197">
        <v>1104</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L10+L8)) / L11</f>
        <v>1</v>
      </c>
    </row>
    <row r="14" spans="1:14" ht="15.75" thickBot="1" x14ac:dyDescent="0.3">
      <c r="A14" s="128"/>
      <c r="B14" s="128"/>
      <c r="C14" s="128"/>
      <c r="D14" s="128"/>
      <c r="E14" s="128"/>
      <c r="F14" s="128"/>
      <c r="G14" s="128"/>
      <c r="H14" s="128"/>
      <c r="I14" s="128"/>
      <c r="K14" s="200" t="s">
        <v>2851</v>
      </c>
      <c r="L14" s="201" t="str">
        <f>ROUNDUP(((L11 - (L7 + L9 ))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45806</v>
      </c>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2883</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3018</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134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6134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6134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6134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6134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6134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6134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6134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6134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6134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6134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6134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6134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6134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6134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6134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61345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6134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6134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6134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61346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61346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6134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6134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6134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6134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6134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6134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6134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6134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6134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6134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6134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6134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6134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6134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6134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48F46-11E0-4BA7-BCBA-337AAD7DDA27}">
  <sheetPr codeName="Sheet51"/>
  <dimension ref="A1:N50"/>
  <sheetViews>
    <sheetView zoomScale="115" zoomScaleNormal="115" workbookViewId="0">
      <selection activeCell="H35" sqref="H35"/>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BPA0304</v>
      </c>
    </row>
    <row r="2" spans="1:14" ht="15.75" customHeight="1" thickTop="1" x14ac:dyDescent="0.35">
      <c r="A2" s="248" t="str">
        <f ca="1">C4&amp;" - "&amp;C5&amp;" - "&amp;C7</f>
        <v>BPA0304 - Jack Bade - 88 Kallista Emerald Rd, Kallista VIC 3791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BPA0304</v>
      </c>
      <c r="D4" s="134"/>
      <c r="E4" s="134"/>
      <c r="F4" s="134"/>
      <c r="G4" s="134"/>
      <c r="H4" s="123"/>
      <c r="I4" s="123"/>
      <c r="N4" t="s">
        <v>1125</v>
      </c>
    </row>
    <row r="5" spans="1:14" ht="15.75" thickBot="1" x14ac:dyDescent="0.3">
      <c r="A5" s="254" t="s">
        <v>2835</v>
      </c>
      <c r="B5" s="255"/>
      <c r="C5" s="123" t="s">
        <v>2746</v>
      </c>
      <c r="D5" s="123"/>
      <c r="E5" s="123"/>
      <c r="F5" s="123"/>
      <c r="G5" s="123"/>
      <c r="H5" s="123"/>
      <c r="I5" s="124"/>
      <c r="M5" s="193">
        <v>10</v>
      </c>
      <c r="N5" s="194" t="s">
        <v>2836</v>
      </c>
    </row>
    <row r="6" spans="1:14" ht="15.75" thickTop="1" x14ac:dyDescent="0.25">
      <c r="A6" s="254" t="s">
        <v>2837</v>
      </c>
      <c r="B6" s="255"/>
      <c r="C6" s="123" t="s">
        <v>3026</v>
      </c>
      <c r="D6" s="123"/>
      <c r="E6" s="123"/>
      <c r="F6" s="123"/>
      <c r="G6" s="123"/>
      <c r="H6" s="123"/>
      <c r="I6" s="124"/>
      <c r="K6" s="260" t="s">
        <v>2986</v>
      </c>
      <c r="L6" s="261"/>
      <c r="M6" s="195">
        <v>18</v>
      </c>
      <c r="N6" s="194" t="s">
        <v>2839</v>
      </c>
    </row>
    <row r="7" spans="1:14" x14ac:dyDescent="0.25">
      <c r="A7" s="254" t="s">
        <v>2840</v>
      </c>
      <c r="B7" s="255"/>
      <c r="C7" s="123" t="s">
        <v>3027</v>
      </c>
      <c r="D7" s="123"/>
      <c r="E7" s="123"/>
      <c r="F7" s="123"/>
      <c r="G7" s="123"/>
      <c r="H7" s="123"/>
      <c r="I7" s="124"/>
      <c r="K7" s="196" t="s">
        <v>2841</v>
      </c>
      <c r="L7" s="197">
        <f>M5*M6</f>
        <v>180</v>
      </c>
    </row>
    <row r="8" spans="1:14" x14ac:dyDescent="0.25">
      <c r="A8" s="254" t="s">
        <v>2842</v>
      </c>
      <c r="B8" s="255"/>
      <c r="C8" s="123" t="s">
        <v>431</v>
      </c>
      <c r="D8" s="123"/>
      <c r="E8" s="123"/>
      <c r="F8" s="123"/>
      <c r="G8" s="123"/>
      <c r="H8" s="123"/>
      <c r="I8" s="124"/>
      <c r="K8" s="198" t="s">
        <v>2843</v>
      </c>
      <c r="L8" s="197">
        <v>0</v>
      </c>
    </row>
    <row r="9" spans="1:14" x14ac:dyDescent="0.25">
      <c r="A9" s="254" t="s">
        <v>2844</v>
      </c>
      <c r="B9" s="255"/>
      <c r="C9" s="123" t="s">
        <v>3028</v>
      </c>
      <c r="D9" s="123"/>
      <c r="E9" s="123"/>
      <c r="F9" s="123"/>
      <c r="G9" s="123"/>
      <c r="H9" s="123"/>
      <c r="I9" s="124"/>
      <c r="K9" s="196" t="s">
        <v>2999</v>
      </c>
      <c r="L9" s="197">
        <v>0</v>
      </c>
      <c r="M9" s="109"/>
    </row>
    <row r="10" spans="1:14" x14ac:dyDescent="0.25">
      <c r="A10" s="245" t="s">
        <v>2846</v>
      </c>
      <c r="B10" s="246"/>
      <c r="C10" s="125"/>
      <c r="D10" s="125"/>
      <c r="E10" s="125"/>
      <c r="F10" s="125"/>
      <c r="G10" s="125"/>
      <c r="H10" s="125"/>
      <c r="I10" s="126"/>
      <c r="K10" s="196" t="s">
        <v>2847</v>
      </c>
      <c r="L10" s="197">
        <v>0</v>
      </c>
      <c r="M10" s="109">
        <f>(L7+L9)/L11*100</f>
        <v>16.304347826086957</v>
      </c>
    </row>
    <row r="11" spans="1:14" x14ac:dyDescent="0.25">
      <c r="A11" s="127"/>
      <c r="B11" s="127"/>
      <c r="C11" s="127"/>
      <c r="D11" s="127"/>
      <c r="E11" s="127"/>
      <c r="F11" s="127"/>
      <c r="G11" s="127"/>
      <c r="H11" s="127"/>
      <c r="I11" s="127"/>
      <c r="K11" s="196" t="s">
        <v>2848</v>
      </c>
      <c r="L11" s="197">
        <v>1104</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 / L11</f>
        <v>0.83695652173913049</v>
      </c>
    </row>
    <row r="14" spans="1:14" ht="15.75" thickBot="1" x14ac:dyDescent="0.3">
      <c r="A14" s="128"/>
      <c r="B14" s="128"/>
      <c r="C14" s="128"/>
      <c r="D14" s="128"/>
      <c r="E14" s="128"/>
      <c r="F14" s="128"/>
      <c r="G14" s="128"/>
      <c r="H14" s="128"/>
      <c r="I14" s="128"/>
      <c r="K14" s="200" t="s">
        <v>2851</v>
      </c>
      <c r="L14" s="201" t="str">
        <f>ROUNDUP(((L11 - (L7 + L9 - L8 + L10)) / L11) * 100,1)&amp;"%"</f>
        <v>83.7%</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t="s">
        <v>3029</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0</v>
      </c>
      <c r="F28" s="123" t="s">
        <v>2862</v>
      </c>
      <c r="G28" s="123"/>
    </row>
    <row r="29" spans="1:9" x14ac:dyDescent="0.25">
      <c r="A29" s="129" t="b">
        <v>1</v>
      </c>
      <c r="B29" s="123" t="s">
        <v>2863</v>
      </c>
      <c r="C29" s="123"/>
      <c r="D29" s="123"/>
      <c r="E29" s="129" t="b">
        <v>0</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45791</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39"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7552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27552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27552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27552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27552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27552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27552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27552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27552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27553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27553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27553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27553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27553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27553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27553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27553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27553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27553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27554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27554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27554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27554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27554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27554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27554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27554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27554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27554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27555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27555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27555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27555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27555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27555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27555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27555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694D2-4D7C-46BE-92D8-33CBEEA5111B}">
  <sheetPr codeName="Sheet37"/>
  <dimension ref="A1:N50"/>
  <sheetViews>
    <sheetView topLeftCell="A6" zoomScale="115" zoomScaleNormal="115" workbookViewId="0">
      <selection activeCell="J32" sqref="J32"/>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BPA0303</v>
      </c>
    </row>
    <row r="2" spans="1:14" ht="15.75" customHeight="1" thickTop="1" x14ac:dyDescent="0.35">
      <c r="A2" s="248" t="str">
        <f ca="1">C4&amp;" - "&amp;C5&amp;" - "&amp;C7</f>
        <v>BPA0303 - Peter Ripinskis - 2-18 Main Street, Great Western VIC 3374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BPA0303</v>
      </c>
      <c r="D4" s="134"/>
      <c r="E4" s="134"/>
      <c r="F4" s="134"/>
      <c r="G4" s="134"/>
      <c r="H4" s="123"/>
      <c r="I4" s="123"/>
      <c r="N4" t="s">
        <v>1125</v>
      </c>
    </row>
    <row r="5" spans="1:14" ht="15.75" thickBot="1" x14ac:dyDescent="0.3">
      <c r="A5" s="254" t="s">
        <v>2835</v>
      </c>
      <c r="B5" s="255"/>
      <c r="C5" s="123" t="s">
        <v>423</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60" t="s">
        <v>2986</v>
      </c>
      <c r="L6" s="261"/>
      <c r="M6" s="195">
        <v>0</v>
      </c>
      <c r="N6" s="194" t="s">
        <v>2839</v>
      </c>
    </row>
    <row r="7" spans="1:14" x14ac:dyDescent="0.25">
      <c r="A7" s="254" t="s">
        <v>2840</v>
      </c>
      <c r="B7" s="255"/>
      <c r="C7" s="123" t="s">
        <v>3032</v>
      </c>
      <c r="D7" s="123"/>
      <c r="E7" s="123"/>
      <c r="F7" s="123"/>
      <c r="G7" s="123"/>
      <c r="H7" s="123"/>
      <c r="I7" s="124"/>
      <c r="K7" s="196" t="s">
        <v>2841</v>
      </c>
      <c r="L7" s="197">
        <f>M5*M6</f>
        <v>0</v>
      </c>
    </row>
    <row r="8" spans="1:14" x14ac:dyDescent="0.25">
      <c r="A8" s="254" t="s">
        <v>2842</v>
      </c>
      <c r="B8" s="255"/>
      <c r="C8" s="123" t="s">
        <v>424</v>
      </c>
      <c r="D8" s="123"/>
      <c r="E8" s="123"/>
      <c r="F8" s="123"/>
      <c r="G8" s="123"/>
      <c r="H8" s="123"/>
      <c r="I8" s="124"/>
      <c r="K8" s="198" t="s">
        <v>2843</v>
      </c>
      <c r="L8" s="197">
        <v>0</v>
      </c>
    </row>
    <row r="9" spans="1:14" x14ac:dyDescent="0.25">
      <c r="A9" s="254" t="s">
        <v>2844</v>
      </c>
      <c r="B9" s="255"/>
      <c r="C9" s="123" t="s">
        <v>3033</v>
      </c>
      <c r="D9" s="123"/>
      <c r="E9" s="123"/>
      <c r="F9" s="123"/>
      <c r="G9" s="123"/>
      <c r="H9" s="123"/>
      <c r="I9" s="124"/>
      <c r="K9" s="196" t="s">
        <v>2999</v>
      </c>
      <c r="L9" s="197">
        <v>0</v>
      </c>
      <c r="M9" s="109"/>
    </row>
    <row r="10" spans="1:14" x14ac:dyDescent="0.25">
      <c r="A10" s="245" t="s">
        <v>2846</v>
      </c>
      <c r="B10" s="246"/>
      <c r="C10" s="125"/>
      <c r="D10" s="125"/>
      <c r="E10" s="125"/>
      <c r="F10" s="125"/>
      <c r="G10" s="125"/>
      <c r="H10" s="125"/>
      <c r="I10" s="126"/>
      <c r="K10" s="196" t="s">
        <v>2847</v>
      </c>
      <c r="L10" s="197">
        <v>0</v>
      </c>
      <c r="M10" s="109">
        <f>(L7+L9)/L11*100</f>
        <v>0</v>
      </c>
    </row>
    <row r="11" spans="1:14" x14ac:dyDescent="0.25">
      <c r="A11" s="127"/>
      <c r="B11" s="127"/>
      <c r="C11" s="127"/>
      <c r="D11" s="127"/>
      <c r="E11" s="127"/>
      <c r="F11" s="127"/>
      <c r="G11" s="127"/>
      <c r="H11" s="127"/>
      <c r="I11" s="127"/>
      <c r="K11" s="196" t="s">
        <v>2848</v>
      </c>
      <c r="L11" s="197">
        <v>1104</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 / L11</f>
        <v>1</v>
      </c>
    </row>
    <row r="14" spans="1:14" ht="15.75" thickBot="1" x14ac:dyDescent="0.3">
      <c r="A14" s="128"/>
      <c r="B14" s="128"/>
      <c r="C14" s="128"/>
      <c r="D14" s="128"/>
      <c r="E14" s="128"/>
      <c r="F14" s="128"/>
      <c r="G14" s="128"/>
      <c r="H14" s="128"/>
      <c r="I14" s="128"/>
      <c r="K14" s="200" t="s">
        <v>2851</v>
      </c>
      <c r="L14" s="201" t="str">
        <f>ROUNDUP(((L11 - (L7 + L9 - L8 + L10))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13011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313011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313011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13011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13011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13011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13011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13012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313012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313012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313012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313012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313012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313012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13012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313012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313012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13013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13013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13013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313013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13013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13013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313013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13013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13013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13013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313014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313014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313014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313014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313014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313014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313014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313014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313014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313014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5628A-3EA1-4E90-9EEB-E76601F75790}">
  <sheetPr codeName="Sheet126"/>
  <dimension ref="A1:N50"/>
  <sheetViews>
    <sheetView zoomScale="115" zoomScaleNormal="115" workbookViewId="0">
      <selection activeCell="I25" sqref="I25"/>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BPA0302</v>
      </c>
    </row>
    <row r="2" spans="1:14" ht="15.75" customHeight="1" thickTop="1" x14ac:dyDescent="0.35">
      <c r="A2" s="248" t="str">
        <f ca="1">C4&amp;" - "&amp;C5&amp;" - "&amp;C7</f>
        <v>BPA0302 - Greg Hunt - 858 Yarragon South Rd, Yarragon South VIC 3832</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BPA0302</v>
      </c>
      <c r="D4" s="134"/>
      <c r="E4" s="134"/>
      <c r="F4" s="134"/>
      <c r="G4" s="134"/>
      <c r="H4" s="123"/>
      <c r="I4" s="123"/>
      <c r="N4" t="s">
        <v>1125</v>
      </c>
    </row>
    <row r="5" spans="1:14" ht="15.75" thickBot="1" x14ac:dyDescent="0.3">
      <c r="A5" s="254" t="s">
        <v>2835</v>
      </c>
      <c r="B5" s="255"/>
      <c r="C5" s="123" t="s">
        <v>416</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60" t="s">
        <v>2986</v>
      </c>
      <c r="L6" s="261"/>
      <c r="M6" s="195">
        <v>0</v>
      </c>
      <c r="N6" s="194" t="s">
        <v>2839</v>
      </c>
    </row>
    <row r="7" spans="1:14" x14ac:dyDescent="0.25">
      <c r="A7" s="254" t="s">
        <v>2840</v>
      </c>
      <c r="B7" s="255"/>
      <c r="C7" s="123" t="s">
        <v>3034</v>
      </c>
      <c r="D7" s="123"/>
      <c r="E7" s="123"/>
      <c r="F7" s="123"/>
      <c r="G7" s="123"/>
      <c r="H7" s="123"/>
      <c r="I7" s="124"/>
      <c r="K7" s="196" t="s">
        <v>2841</v>
      </c>
      <c r="L7" s="197">
        <f>M5*M6</f>
        <v>0</v>
      </c>
    </row>
    <row r="8" spans="1:14" x14ac:dyDescent="0.25">
      <c r="A8" s="254" t="s">
        <v>2842</v>
      </c>
      <c r="B8" s="255"/>
      <c r="C8" s="123" t="s">
        <v>417</v>
      </c>
      <c r="D8" s="123"/>
      <c r="E8" s="123"/>
      <c r="F8" s="123"/>
      <c r="G8" s="123"/>
      <c r="H8" s="123"/>
      <c r="I8" s="124"/>
      <c r="K8" s="198" t="s">
        <v>2843</v>
      </c>
      <c r="L8" s="197">
        <v>0</v>
      </c>
    </row>
    <row r="9" spans="1:14" x14ac:dyDescent="0.25">
      <c r="A9" s="254" t="s">
        <v>2844</v>
      </c>
      <c r="B9" s="255"/>
      <c r="C9" s="123" t="s">
        <v>3035</v>
      </c>
      <c r="D9" s="123"/>
      <c r="E9" s="123"/>
      <c r="F9" s="123"/>
      <c r="G9" s="123"/>
      <c r="H9" s="123"/>
      <c r="I9" s="124"/>
      <c r="K9" s="196" t="s">
        <v>2999</v>
      </c>
      <c r="L9" s="197">
        <v>0</v>
      </c>
      <c r="M9" s="109"/>
    </row>
    <row r="10" spans="1:14" x14ac:dyDescent="0.25">
      <c r="A10" s="245" t="s">
        <v>2846</v>
      </c>
      <c r="B10" s="246"/>
      <c r="C10" s="125"/>
      <c r="D10" s="125"/>
      <c r="E10" s="125"/>
      <c r="F10" s="125"/>
      <c r="G10" s="125"/>
      <c r="H10" s="125"/>
      <c r="I10" s="126"/>
      <c r="K10" s="196" t="s">
        <v>2847</v>
      </c>
      <c r="L10" s="197">
        <v>0</v>
      </c>
      <c r="M10" s="109">
        <f>(L7+L9)/L11*100</f>
        <v>0</v>
      </c>
    </row>
    <row r="11" spans="1:14" x14ac:dyDescent="0.25">
      <c r="A11" s="127"/>
      <c r="B11" s="127"/>
      <c r="C11" s="127"/>
      <c r="D11" s="127"/>
      <c r="E11" s="127"/>
      <c r="F11" s="127"/>
      <c r="G11" s="127"/>
      <c r="H11" s="127"/>
      <c r="I11" s="127"/>
      <c r="K11" s="196" t="s">
        <v>2848</v>
      </c>
      <c r="L11" s="197">
        <v>1104</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 / L11</f>
        <v>1</v>
      </c>
    </row>
    <row r="14" spans="1:14" ht="15.75" thickBot="1" x14ac:dyDescent="0.3">
      <c r="A14" s="128"/>
      <c r="B14" s="128"/>
      <c r="C14" s="128"/>
      <c r="D14" s="128"/>
      <c r="E14" s="128"/>
      <c r="F14" s="128"/>
      <c r="G14" s="128"/>
      <c r="H14" s="128"/>
      <c r="I14" s="128"/>
      <c r="K14" s="200" t="s">
        <v>2851</v>
      </c>
      <c r="L14" s="201" t="str">
        <f>ROUNDUP(((L11 - (L7 + L9 - L8 + L10))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0</v>
      </c>
      <c r="B28" s="123" t="s">
        <v>2861</v>
      </c>
      <c r="C28" s="123"/>
      <c r="D28" s="123"/>
      <c r="E28" s="129" t="b">
        <v>0</v>
      </c>
      <c r="F28" s="123" t="s">
        <v>2862</v>
      </c>
      <c r="G28" s="123"/>
    </row>
    <row r="29" spans="1:9" x14ac:dyDescent="0.25">
      <c r="A29" s="129" t="b">
        <v>0</v>
      </c>
      <c r="B29" s="123" t="s">
        <v>2863</v>
      </c>
      <c r="C29" s="123"/>
      <c r="D29" s="123"/>
      <c r="E29" s="129"/>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85"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85" t="s">
        <v>2878</v>
      </c>
      <c r="C36" s="123"/>
      <c r="D36" s="123"/>
      <c r="E36" s="123" t="s">
        <v>2879</v>
      </c>
      <c r="G36" s="123"/>
      <c r="H36" s="185" t="s">
        <v>2880</v>
      </c>
      <c r="I36" s="123"/>
    </row>
    <row r="37" spans="1:9" ht="15.75" thickBot="1" x14ac:dyDescent="0.3">
      <c r="A37" s="130" t="b">
        <v>0</v>
      </c>
      <c r="B37" s="131" t="s">
        <v>2881</v>
      </c>
      <c r="C37" s="131"/>
      <c r="D37" s="131"/>
      <c r="E37" s="131"/>
      <c r="F37" s="131"/>
      <c r="G37" s="131"/>
      <c r="H37" s="131"/>
      <c r="I37" s="144">
        <v>45793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8368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98368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98368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98368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98368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98368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98368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98368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98368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98369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98369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98369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98369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98369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98369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98369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983697"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98369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98369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98370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983701"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983702"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98370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98370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98370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98370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98370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98370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98370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98371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98371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98371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98371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98371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98371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98371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98371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16680-2C3B-4BD2-B495-D6936F1CB4DB}">
  <sheetPr codeName="Sheet106"/>
  <dimension ref="A1:N50"/>
  <sheetViews>
    <sheetView zoomScale="115" zoomScaleNormal="115" workbookViewId="0">
      <selection activeCell="C5" sqref="C5"/>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BPA0299</v>
      </c>
    </row>
    <row r="2" spans="1:14" ht="15.75" customHeight="1" thickTop="1" x14ac:dyDescent="0.35">
      <c r="A2" s="248" t="str">
        <f ca="1">C4&amp;" - "&amp;C5&amp;" - "&amp;C7</f>
        <v>BPA0299 - Julie &amp; Peter Holzer - 129 Weigards Rd, Lockwood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BPA0299</v>
      </c>
      <c r="D4" s="134"/>
      <c r="E4" s="134"/>
      <c r="F4" s="134"/>
      <c r="G4" s="134"/>
      <c r="H4" s="123"/>
      <c r="I4" s="123"/>
      <c r="N4" t="s">
        <v>1125</v>
      </c>
    </row>
    <row r="5" spans="1:14" ht="15.75" thickBot="1" x14ac:dyDescent="0.3">
      <c r="A5" s="254" t="s">
        <v>2835</v>
      </c>
      <c r="B5" s="255"/>
      <c r="C5" s="123" t="s">
        <v>3036</v>
      </c>
      <c r="D5" s="123"/>
      <c r="E5" s="123"/>
      <c r="F5" s="123"/>
      <c r="G5" s="123"/>
      <c r="H5" s="123"/>
      <c r="I5" s="124"/>
      <c r="M5" s="193">
        <v>9</v>
      </c>
      <c r="N5" s="194" t="s">
        <v>2836</v>
      </c>
    </row>
    <row r="6" spans="1:14" ht="15.75" thickTop="1" x14ac:dyDescent="0.25">
      <c r="A6" s="254" t="s">
        <v>2837</v>
      </c>
      <c r="B6" s="255"/>
      <c r="C6" s="123"/>
      <c r="D6" s="123"/>
      <c r="E6" s="123"/>
      <c r="F6" s="123"/>
      <c r="G6" s="123"/>
      <c r="H6" s="123"/>
      <c r="I6" s="124"/>
      <c r="K6" s="260" t="s">
        <v>2986</v>
      </c>
      <c r="L6" s="261"/>
      <c r="M6" s="195">
        <v>18</v>
      </c>
      <c r="N6" s="194" t="s">
        <v>2839</v>
      </c>
    </row>
    <row r="7" spans="1:14" x14ac:dyDescent="0.25">
      <c r="A7" s="254" t="s">
        <v>2840</v>
      </c>
      <c r="B7" s="255"/>
      <c r="C7" s="123" t="s">
        <v>3037</v>
      </c>
      <c r="D7" s="123"/>
      <c r="E7" s="123"/>
      <c r="F7" s="123"/>
      <c r="G7" s="123"/>
      <c r="H7" s="123"/>
      <c r="I7" s="124"/>
      <c r="K7" s="196" t="s">
        <v>2841</v>
      </c>
      <c r="L7" s="197">
        <f>M5*M6</f>
        <v>162</v>
      </c>
    </row>
    <row r="8" spans="1:14" x14ac:dyDescent="0.25">
      <c r="A8" s="254" t="s">
        <v>2842</v>
      </c>
      <c r="B8" s="255"/>
      <c r="C8" s="123" t="s">
        <v>412</v>
      </c>
      <c r="D8" s="123"/>
      <c r="E8" s="123"/>
      <c r="F8" s="123"/>
      <c r="G8" s="123"/>
      <c r="H8" s="123"/>
      <c r="I8" s="124"/>
      <c r="K8" s="198" t="s">
        <v>2843</v>
      </c>
      <c r="L8" s="197">
        <v>0</v>
      </c>
    </row>
    <row r="9" spans="1:14" x14ac:dyDescent="0.25">
      <c r="A9" s="254" t="s">
        <v>2844</v>
      </c>
      <c r="B9" s="255"/>
      <c r="C9" s="123" t="s">
        <v>3038</v>
      </c>
      <c r="D9" s="123"/>
      <c r="E9" s="123"/>
      <c r="F9" s="123"/>
      <c r="G9" s="123"/>
      <c r="H9" s="123"/>
      <c r="I9" s="124"/>
      <c r="K9" s="196" t="s">
        <v>2999</v>
      </c>
      <c r="L9" s="197">
        <v>0</v>
      </c>
      <c r="M9" s="109"/>
    </row>
    <row r="10" spans="1:14" x14ac:dyDescent="0.25">
      <c r="A10" s="245" t="s">
        <v>2846</v>
      </c>
      <c r="B10" s="246"/>
      <c r="C10" s="125"/>
      <c r="D10" s="125"/>
      <c r="E10" s="125"/>
      <c r="F10" s="125"/>
      <c r="G10" s="125"/>
      <c r="H10" s="125"/>
      <c r="I10" s="126"/>
      <c r="K10" s="196" t="s">
        <v>2847</v>
      </c>
      <c r="L10" s="197">
        <v>0</v>
      </c>
      <c r="M10" s="109">
        <f>(L7+L9)/L11*100</f>
        <v>14.673913043478262</v>
      </c>
    </row>
    <row r="11" spans="1:14" x14ac:dyDescent="0.25">
      <c r="A11" s="127"/>
      <c r="B11" s="127"/>
      <c r="C11" s="127"/>
      <c r="D11" s="127"/>
      <c r="E11" s="127"/>
      <c r="F11" s="127"/>
      <c r="G11" s="127"/>
      <c r="H11" s="127"/>
      <c r="I11" s="127"/>
      <c r="K11" s="196" t="s">
        <v>2848</v>
      </c>
      <c r="L11" s="197">
        <v>1104</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 / L11</f>
        <v>0.85326086956521741</v>
      </c>
    </row>
    <row r="14" spans="1:14" ht="15.75" thickBot="1" x14ac:dyDescent="0.3">
      <c r="A14" s="128"/>
      <c r="B14" s="128"/>
      <c r="C14" s="128"/>
      <c r="D14" s="128"/>
      <c r="E14" s="128"/>
      <c r="F14" s="128"/>
      <c r="G14" s="128"/>
      <c r="H14" s="128"/>
      <c r="I14" s="128"/>
      <c r="K14" s="200" t="s">
        <v>2851</v>
      </c>
      <c r="L14" s="201" t="str">
        <f>ROUNDUP(((L11 - (L7 + L9 - L8 + L10)) / L11) * 100,1)&amp;"%"</f>
        <v>85.4%</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t="s">
        <v>3039</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3040</v>
      </c>
      <c r="E27" s="138"/>
      <c r="F27" s="138"/>
      <c r="G27" s="138"/>
    </row>
    <row r="28" spans="1:9" x14ac:dyDescent="0.25">
      <c r="A28" s="129" t="b">
        <v>1</v>
      </c>
      <c r="B28" s="123" t="s">
        <v>2861</v>
      </c>
      <c r="C28" s="123"/>
      <c r="D28" s="123"/>
      <c r="E28" s="129" t="b">
        <v>0</v>
      </c>
      <c r="F28" s="123" t="s">
        <v>2862</v>
      </c>
      <c r="G28" s="123"/>
    </row>
    <row r="29" spans="1:9" x14ac:dyDescent="0.25">
      <c r="A29" s="129" t="b">
        <v>1</v>
      </c>
      <c r="B29" s="123" t="s">
        <v>2863</v>
      </c>
      <c r="C29" s="123"/>
      <c r="D29" s="123"/>
      <c r="E29" s="129"/>
      <c r="F29" s="123" t="s">
        <v>2864</v>
      </c>
      <c r="G29" s="123"/>
    </row>
    <row r="30" spans="1:9" x14ac:dyDescent="0.25">
      <c r="A30" s="129" t="b">
        <v>1</v>
      </c>
      <c r="B30" s="123" t="s">
        <v>2865</v>
      </c>
      <c r="C30" s="123"/>
      <c r="D30" s="123"/>
      <c r="E30" s="129"/>
      <c r="F30" s="123" t="s">
        <v>2866</v>
      </c>
      <c r="G30" s="123"/>
    </row>
    <row r="31" spans="1:9" x14ac:dyDescent="0.25">
      <c r="A31" s="129" t="b">
        <v>1</v>
      </c>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8774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68774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68774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68774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68774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68775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68775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6877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6877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68775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68775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68775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68775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68775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68775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68776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68776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68776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68776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68776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68776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68776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68776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68776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68776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68777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68777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68777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68777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68777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68777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68777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68777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68777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68777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68778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68778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D8336-F4A7-4381-9B68-13A3291B98D4}">
  <sheetPr codeName="Sheet95"/>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BPA0298</v>
      </c>
    </row>
    <row r="2" spans="1:14" ht="15.75" customHeight="1" thickTop="1" x14ac:dyDescent="0.35">
      <c r="A2" s="248" t="str">
        <f ca="1">C4&amp;" - "&amp;C5&amp;" - "&amp;C7</f>
        <v>BPA0298 - Fraser Smart - 15 Courtney St, Yarrawonga VIC 3730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BPA0298</v>
      </c>
      <c r="D4" s="134"/>
      <c r="E4" s="134"/>
      <c r="F4" s="134"/>
      <c r="G4" s="134"/>
      <c r="H4" s="123"/>
      <c r="I4" s="123"/>
      <c r="N4" t="s">
        <v>1125</v>
      </c>
    </row>
    <row r="5" spans="1:14" ht="15.75" thickBot="1" x14ac:dyDescent="0.3">
      <c r="A5" s="254" t="s">
        <v>2835</v>
      </c>
      <c r="B5" s="255"/>
      <c r="C5" s="123" t="s">
        <v>405</v>
      </c>
      <c r="D5" s="123"/>
      <c r="E5" s="123"/>
      <c r="F5" s="123"/>
      <c r="G5" s="123"/>
      <c r="H5" s="123"/>
      <c r="I5" s="124"/>
      <c r="M5" s="193">
        <v>9</v>
      </c>
      <c r="N5" s="194" t="s">
        <v>2836</v>
      </c>
    </row>
    <row r="6" spans="1:14" ht="15.75" thickTop="1" x14ac:dyDescent="0.25">
      <c r="A6" s="254" t="s">
        <v>2837</v>
      </c>
      <c r="B6" s="255"/>
      <c r="C6" s="123"/>
      <c r="D6" s="123"/>
      <c r="E6" s="123"/>
      <c r="F6" s="123"/>
      <c r="G6" s="123"/>
      <c r="H6" s="123"/>
      <c r="I6" s="124"/>
      <c r="K6" s="260" t="s">
        <v>2986</v>
      </c>
      <c r="L6" s="261"/>
      <c r="M6" s="195">
        <v>8</v>
      </c>
      <c r="N6" s="194" t="s">
        <v>2839</v>
      </c>
    </row>
    <row r="7" spans="1:14" x14ac:dyDescent="0.25">
      <c r="A7" s="254" t="s">
        <v>2840</v>
      </c>
      <c r="B7" s="255"/>
      <c r="C7" s="123" t="s">
        <v>3041</v>
      </c>
      <c r="D7" s="123"/>
      <c r="E7" s="123"/>
      <c r="F7" s="123"/>
      <c r="G7" s="123"/>
      <c r="H7" s="123"/>
      <c r="I7" s="124"/>
      <c r="K7" s="196" t="s">
        <v>2841</v>
      </c>
      <c r="L7" s="197">
        <f>M5*M6</f>
        <v>72</v>
      </c>
    </row>
    <row r="8" spans="1:14" x14ac:dyDescent="0.25">
      <c r="A8" s="254" t="s">
        <v>2842</v>
      </c>
      <c r="B8" s="255"/>
      <c r="C8" s="123" t="s">
        <v>406</v>
      </c>
      <c r="D8" s="123"/>
      <c r="E8" s="123"/>
      <c r="F8" s="123"/>
      <c r="G8" s="123"/>
      <c r="H8" s="123"/>
      <c r="I8" s="124"/>
      <c r="K8" s="198" t="s">
        <v>2843</v>
      </c>
      <c r="L8" s="197">
        <v>0</v>
      </c>
    </row>
    <row r="9" spans="1:14" x14ac:dyDescent="0.25">
      <c r="A9" s="254" t="s">
        <v>2844</v>
      </c>
      <c r="B9" s="255"/>
      <c r="C9" s="140" t="s">
        <v>3042</v>
      </c>
      <c r="D9" s="123"/>
      <c r="E9" s="123"/>
      <c r="F9" s="123"/>
      <c r="G9" s="123"/>
      <c r="H9" s="123"/>
      <c r="I9" s="124"/>
      <c r="K9" s="196" t="s">
        <v>2999</v>
      </c>
      <c r="L9" s="197">
        <v>0</v>
      </c>
      <c r="M9" s="109"/>
    </row>
    <row r="10" spans="1:14" x14ac:dyDescent="0.25">
      <c r="A10" s="245" t="s">
        <v>2846</v>
      </c>
      <c r="B10" s="246"/>
      <c r="C10" s="125"/>
      <c r="D10" s="125"/>
      <c r="E10" s="125"/>
      <c r="F10" s="125"/>
      <c r="G10" s="125"/>
      <c r="H10" s="125"/>
      <c r="I10" s="126"/>
      <c r="K10" s="196" t="s">
        <v>2847</v>
      </c>
      <c r="L10" s="197">
        <v>0</v>
      </c>
      <c r="M10" s="109">
        <f>(L7+L9)/L11*100</f>
        <v>6.5217391304347823</v>
      </c>
    </row>
    <row r="11" spans="1:14" x14ac:dyDescent="0.25">
      <c r="A11" s="127"/>
      <c r="B11" s="127"/>
      <c r="C11" s="127"/>
      <c r="D11" s="127"/>
      <c r="E11" s="127"/>
      <c r="F11" s="127"/>
      <c r="G11" s="127"/>
      <c r="H11" s="127"/>
      <c r="I11" s="127"/>
      <c r="K11" s="196" t="s">
        <v>2848</v>
      </c>
      <c r="L11" s="197">
        <v>1104</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 / L11</f>
        <v>0.93478260869565222</v>
      </c>
    </row>
    <row r="14" spans="1:14" ht="15.75" thickBot="1" x14ac:dyDescent="0.3">
      <c r="A14" s="128"/>
      <c r="B14" s="128"/>
      <c r="C14" s="128"/>
      <c r="D14" s="128"/>
      <c r="E14" s="128"/>
      <c r="F14" s="128"/>
      <c r="G14" s="128"/>
      <c r="H14" s="128"/>
      <c r="I14" s="128"/>
      <c r="K14" s="200" t="s">
        <v>2851</v>
      </c>
      <c r="L14" s="201" t="str">
        <f>ROUNDUP(((L11 - (L7 + L9 - L8 + L10)) / L11) * 100,1)&amp;"%"</f>
        <v>93.5%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t="s">
        <v>3043</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0</v>
      </c>
      <c r="F30" s="123" t="s">
        <v>2866</v>
      </c>
      <c r="G30" s="123"/>
    </row>
    <row r="31" spans="1:9" x14ac:dyDescent="0.25">
      <c r="A31" s="129" t="b">
        <v>1</v>
      </c>
      <c r="B31" s="123" t="s">
        <v>2867</v>
      </c>
      <c r="C31" s="123"/>
      <c r="D31" s="123"/>
      <c r="E31" s="123"/>
      <c r="F31" s="123"/>
      <c r="G31" s="123"/>
      <c r="I31" s="38">
        <v>45777</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45789</v>
      </c>
    </row>
    <row r="38" spans="1:9" ht="15.75" thickTop="1" x14ac:dyDescent="0.25">
      <c r="A38" s="141"/>
      <c r="B38" s="142" t="s">
        <v>2882</v>
      </c>
      <c r="C38" s="142"/>
      <c r="D38" s="208" t="s">
        <v>3044</v>
      </c>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7ECA8ACB-080A-4115-861C-726AC8BF59E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68672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68672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68672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68672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68672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68672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68672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68672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68672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68673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68673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68673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68673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68673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68673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68673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68673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68673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68673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686740"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68674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68674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68674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68674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68674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68674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68674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68674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68674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68675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68675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68675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68675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68675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68675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68675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68675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7946C-C6E8-4273-8052-20E97E96B2F6}">
  <sheetPr codeName="Sheet17"/>
  <dimension ref="A1:N50"/>
  <sheetViews>
    <sheetView zoomScale="115" zoomScaleNormal="115" workbookViewId="0">
      <selection activeCell="K1" sqref="K1"/>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BPA0297</v>
      </c>
    </row>
    <row r="2" spans="1:14" ht="15.75" customHeight="1" thickTop="1" x14ac:dyDescent="0.35">
      <c r="A2" s="248" t="str">
        <f ca="1">C4&amp;" - "&amp;C5&amp;" - "&amp;C7</f>
        <v>BPA0297 - Anthony Fleming - 3 Raglan Ct, Kurunjang VIC 3337</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BPA0297</v>
      </c>
      <c r="D4" s="134"/>
      <c r="E4" s="134"/>
      <c r="F4" s="134"/>
      <c r="G4" s="134"/>
      <c r="H4" s="123"/>
      <c r="I4" s="123"/>
      <c r="N4" t="s">
        <v>1125</v>
      </c>
    </row>
    <row r="5" spans="1:14" ht="15.75" thickBot="1" x14ac:dyDescent="0.3">
      <c r="A5" s="254" t="s">
        <v>2835</v>
      </c>
      <c r="B5" s="255"/>
      <c r="C5" s="123" t="s">
        <v>398</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60" t="s">
        <v>2986</v>
      </c>
      <c r="L6" s="261"/>
      <c r="M6" s="195">
        <v>0</v>
      </c>
      <c r="N6" s="194" t="s">
        <v>2839</v>
      </c>
    </row>
    <row r="7" spans="1:14" x14ac:dyDescent="0.25">
      <c r="A7" s="254" t="s">
        <v>2840</v>
      </c>
      <c r="B7" s="255"/>
      <c r="C7" s="123" t="s">
        <v>3045</v>
      </c>
      <c r="D7" s="123"/>
      <c r="E7" s="123"/>
      <c r="F7" s="123"/>
      <c r="G7" s="123"/>
      <c r="H7" s="123"/>
      <c r="I7" s="124"/>
      <c r="K7" s="196" t="s">
        <v>2841</v>
      </c>
      <c r="L7" s="197">
        <v>59</v>
      </c>
    </row>
    <row r="8" spans="1:14" x14ac:dyDescent="0.25">
      <c r="A8" s="254" t="s">
        <v>2842</v>
      </c>
      <c r="B8" s="255"/>
      <c r="C8" s="123" t="s">
        <v>399</v>
      </c>
      <c r="D8" s="123"/>
      <c r="E8" s="123"/>
      <c r="F8" s="123"/>
      <c r="G8" s="123"/>
      <c r="H8" s="123"/>
      <c r="I8" s="124"/>
      <c r="K8" s="198" t="s">
        <v>2843</v>
      </c>
      <c r="L8" s="197">
        <v>40</v>
      </c>
    </row>
    <row r="9" spans="1:14" x14ac:dyDescent="0.25">
      <c r="A9" s="254" t="s">
        <v>2844</v>
      </c>
      <c r="B9" s="255"/>
      <c r="C9" s="140" t="s">
        <v>3046</v>
      </c>
      <c r="D9" s="123"/>
      <c r="E9" s="123"/>
      <c r="F9" s="123"/>
      <c r="G9" s="123"/>
      <c r="H9" s="123"/>
      <c r="I9" s="124"/>
      <c r="K9" s="196" t="s">
        <v>2999</v>
      </c>
      <c r="L9" s="197">
        <v>231</v>
      </c>
      <c r="M9" s="109"/>
    </row>
    <row r="10" spans="1:14" x14ac:dyDescent="0.25">
      <c r="A10" s="245" t="s">
        <v>2846</v>
      </c>
      <c r="B10" s="246"/>
      <c r="C10" s="125"/>
      <c r="D10" s="125"/>
      <c r="E10" s="125"/>
      <c r="F10" s="125"/>
      <c r="G10" s="125"/>
      <c r="H10" s="125"/>
      <c r="I10" s="126"/>
      <c r="K10" s="196" t="s">
        <v>2847</v>
      </c>
      <c r="L10" s="197">
        <v>89</v>
      </c>
      <c r="M10" s="109">
        <f>(L7+L9)/L11*100</f>
        <v>36.802030456852791</v>
      </c>
    </row>
    <row r="11" spans="1:14" x14ac:dyDescent="0.25">
      <c r="A11" s="127"/>
      <c r="B11" s="127"/>
      <c r="C11" s="127"/>
      <c r="D11" s="127"/>
      <c r="E11" s="127"/>
      <c r="F11" s="127"/>
      <c r="G11" s="127"/>
      <c r="H11" s="127"/>
      <c r="I11" s="127"/>
      <c r="K11" s="196" t="s">
        <v>2848</v>
      </c>
      <c r="L11" s="197">
        <v>788</v>
      </c>
      <c r="M11" s="168"/>
    </row>
    <row r="12" spans="1:14" x14ac:dyDescent="0.25">
      <c r="A12" s="128"/>
      <c r="B12" s="128"/>
      <c r="C12" s="128"/>
      <c r="D12" s="128"/>
      <c r="E12" s="128"/>
      <c r="F12" s="128"/>
      <c r="G12" s="128"/>
      <c r="H12" s="128"/>
      <c r="I12" s="128"/>
      <c r="K12" s="198" t="s">
        <v>2849</v>
      </c>
      <c r="L12" s="199" t="str">
        <f>IF(L9&gt;0,LEFT(M10,5)&amp;"%","")</f>
        <v>36.80%</v>
      </c>
    </row>
    <row r="13" spans="1:14" x14ac:dyDescent="0.25">
      <c r="A13" s="128"/>
      <c r="B13" s="128"/>
      <c r="C13" s="128"/>
      <c r="D13" s="128"/>
      <c r="E13" s="128"/>
      <c r="F13" s="128"/>
      <c r="G13" s="128"/>
      <c r="H13" s="128"/>
      <c r="I13" s="128"/>
      <c r="K13" s="198" t="s">
        <v>2850</v>
      </c>
      <c r="L13" s="199">
        <f>(L11 - (L7 + L9 + L10)) / L11</f>
        <v>0.51903553299492389</v>
      </c>
    </row>
    <row r="14" spans="1:14" ht="15.75" thickBot="1" x14ac:dyDescent="0.3">
      <c r="A14" s="128"/>
      <c r="B14" s="128"/>
      <c r="C14" s="128"/>
      <c r="D14" s="128"/>
      <c r="E14" s="128"/>
      <c r="F14" s="128"/>
      <c r="G14" s="128"/>
      <c r="H14" s="128"/>
      <c r="I14" s="128"/>
      <c r="K14" s="200" t="s">
        <v>2851</v>
      </c>
      <c r="L14" s="201" t="str">
        <f>ROUNDUP(((L11 - (L7 + L9 - L8 + L10)) / L11) * 100,1)&amp;"%"</f>
        <v>57%</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3047</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0</v>
      </c>
      <c r="F28" s="123" t="s">
        <v>2862</v>
      </c>
      <c r="G28" s="123"/>
    </row>
    <row r="29" spans="1:9" x14ac:dyDescent="0.25">
      <c r="A29" s="129" t="b">
        <v>0</v>
      </c>
      <c r="B29" s="123" t="s">
        <v>2863</v>
      </c>
      <c r="C29" s="123"/>
      <c r="D29" s="123"/>
      <c r="E29" s="129" t="b">
        <v>1</v>
      </c>
      <c r="F29" s="123" t="s">
        <v>2864</v>
      </c>
      <c r="G29" s="123"/>
    </row>
    <row r="30" spans="1:9" x14ac:dyDescent="0.25">
      <c r="A30" s="129"/>
      <c r="B30" s="123" t="s">
        <v>2865</v>
      </c>
      <c r="C30" s="123"/>
      <c r="D30" s="123"/>
      <c r="E30" s="129"/>
      <c r="F30" s="123" t="s">
        <v>2866</v>
      </c>
      <c r="G30" s="123"/>
    </row>
    <row r="31" spans="1:9" x14ac:dyDescent="0.25">
      <c r="A31" s="129"/>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45789</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6C5F6CC7-69C3-429B-A1AD-AC9949E691A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392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5392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5392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5392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5392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5392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5392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5392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5392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5392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5392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5392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5392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5392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5392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5392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5392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5392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5392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53928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5392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5392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5392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5392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5392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5392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5392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5392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5392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5392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5392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5392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5392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5392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5392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5393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5393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249AA-BA4C-4AA5-8CA9-34692078FDB5}">
  <sheetPr codeName="Sheet88"/>
  <dimension ref="A1:P50"/>
  <sheetViews>
    <sheetView zoomScale="115" zoomScaleNormal="115" workbookViewId="0">
      <selection activeCell="K21" sqref="K21"/>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BPA0296</v>
      </c>
    </row>
    <row r="2" spans="1:14" ht="15.75" customHeight="1" thickTop="1" x14ac:dyDescent="0.35">
      <c r="A2" s="248" t="str">
        <f ca="1">C4&amp;" - "&amp;C5&amp;" - "&amp;C7</f>
        <v>BPA0296 - Jade Damm - 8 Milford Grove, Wangaratta VIC 3677</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BPA0296</v>
      </c>
      <c r="D4" s="134"/>
      <c r="E4" s="134"/>
      <c r="F4" s="134"/>
      <c r="G4" s="134"/>
      <c r="H4" s="123"/>
      <c r="I4" s="123"/>
      <c r="N4" t="s">
        <v>1125</v>
      </c>
    </row>
    <row r="5" spans="1:14" ht="15.75" thickBot="1" x14ac:dyDescent="0.3">
      <c r="A5" s="254" t="s">
        <v>2835</v>
      </c>
      <c r="B5" s="255"/>
      <c r="C5" s="123" t="s">
        <v>2522</v>
      </c>
      <c r="D5" s="123"/>
      <c r="E5" s="123"/>
      <c r="F5" s="123"/>
      <c r="G5" s="123"/>
      <c r="H5" s="123"/>
      <c r="I5" s="124"/>
      <c r="M5" s="193">
        <v>13.5</v>
      </c>
      <c r="N5" s="194" t="s">
        <v>2836</v>
      </c>
    </row>
    <row r="6" spans="1:14" ht="15.75" thickTop="1" x14ac:dyDescent="0.25">
      <c r="A6" s="254" t="s">
        <v>2837</v>
      </c>
      <c r="B6" s="255"/>
      <c r="C6" s="123"/>
      <c r="D6" s="123"/>
      <c r="E6" s="123"/>
      <c r="F6" s="123"/>
      <c r="G6" s="123"/>
      <c r="H6" s="123"/>
      <c r="I6" s="124"/>
      <c r="K6" s="260" t="s">
        <v>2986</v>
      </c>
      <c r="L6" s="261"/>
      <c r="M6" s="195">
        <v>21.5</v>
      </c>
      <c r="N6" s="194" t="s">
        <v>2839</v>
      </c>
    </row>
    <row r="7" spans="1:14" x14ac:dyDescent="0.25">
      <c r="A7" s="254" t="s">
        <v>2840</v>
      </c>
      <c r="B7" s="255"/>
      <c r="C7" s="123" t="s">
        <v>3048</v>
      </c>
      <c r="D7" s="123"/>
      <c r="E7" s="123"/>
      <c r="F7" s="123"/>
      <c r="G7" s="123"/>
      <c r="H7" s="123"/>
      <c r="I7" s="124"/>
      <c r="K7" s="196" t="s">
        <v>2841</v>
      </c>
      <c r="L7" s="197">
        <f>M5*M6</f>
        <v>290.25</v>
      </c>
    </row>
    <row r="8" spans="1:14" x14ac:dyDescent="0.25">
      <c r="A8" s="254" t="s">
        <v>2842</v>
      </c>
      <c r="B8" s="255"/>
      <c r="C8" s="123" t="s">
        <v>2523</v>
      </c>
      <c r="D8" s="123"/>
      <c r="E8" s="123"/>
      <c r="F8" s="123"/>
      <c r="G8" s="123"/>
      <c r="H8" s="123"/>
      <c r="I8" s="124"/>
      <c r="K8" s="198" t="s">
        <v>2843</v>
      </c>
      <c r="L8" s="197">
        <v>82.8</v>
      </c>
    </row>
    <row r="9" spans="1:14" x14ac:dyDescent="0.25">
      <c r="A9" s="254" t="s">
        <v>2844</v>
      </c>
      <c r="B9" s="255"/>
      <c r="C9" s="123" t="s">
        <v>3049</v>
      </c>
      <c r="D9" s="123"/>
      <c r="E9" s="123"/>
      <c r="F9" s="123"/>
      <c r="G9" s="123"/>
      <c r="H9" s="123"/>
      <c r="I9" s="124"/>
      <c r="K9" s="196" t="s">
        <v>2999</v>
      </c>
      <c r="L9" s="197">
        <v>138</v>
      </c>
      <c r="M9" s="109"/>
    </row>
    <row r="10" spans="1:14" x14ac:dyDescent="0.25">
      <c r="A10" s="245" t="s">
        <v>2846</v>
      </c>
      <c r="B10" s="246"/>
      <c r="C10" s="125"/>
      <c r="D10" s="125"/>
      <c r="E10" s="125"/>
      <c r="F10" s="125"/>
      <c r="G10" s="125"/>
      <c r="H10" s="125"/>
      <c r="I10" s="126"/>
      <c r="K10" s="196" t="s">
        <v>2847</v>
      </c>
      <c r="L10" s="197">
        <v>53</v>
      </c>
      <c r="M10" s="109">
        <f>(L7+L9)/L11*100</f>
        <v>50.382352941176464</v>
      </c>
    </row>
    <row r="11" spans="1:14" x14ac:dyDescent="0.25">
      <c r="A11" s="127"/>
      <c r="B11" s="127"/>
      <c r="C11" s="127"/>
      <c r="D11" s="127"/>
      <c r="E11" s="127"/>
      <c r="F11" s="127"/>
      <c r="G11" s="127"/>
      <c r="H11" s="127"/>
      <c r="I11" s="127"/>
      <c r="K11" s="196" t="s">
        <v>2848</v>
      </c>
      <c r="L11" s="197">
        <v>850</v>
      </c>
      <c r="M11" s="168"/>
    </row>
    <row r="12" spans="1:14" x14ac:dyDescent="0.25">
      <c r="A12" s="128"/>
      <c r="B12" s="128"/>
      <c r="C12" s="128"/>
      <c r="D12" s="128"/>
      <c r="E12" s="128"/>
      <c r="F12" s="128"/>
      <c r="G12" s="128"/>
      <c r="H12" s="128"/>
      <c r="I12" s="128"/>
      <c r="K12" s="198" t="s">
        <v>2849</v>
      </c>
      <c r="L12" s="199" t="str">
        <f>IF(L9&gt;0,LEFT(M10,5)&amp;"%","")</f>
        <v>50.38%</v>
      </c>
    </row>
    <row r="13" spans="1:14" x14ac:dyDescent="0.25">
      <c r="A13" s="128"/>
      <c r="B13" s="128"/>
      <c r="C13" s="128"/>
      <c r="D13" s="128"/>
      <c r="E13" s="128"/>
      <c r="F13" s="128"/>
      <c r="G13" s="128"/>
      <c r="H13" s="128"/>
      <c r="I13" s="128"/>
      <c r="K13" s="198" t="s">
        <v>2850</v>
      </c>
      <c r="L13" s="199">
        <f>(L11 - (L7 + L9 + L10)) / L11</f>
        <v>0.43382352941176472</v>
      </c>
    </row>
    <row r="14" spans="1:14" ht="15.75" thickBot="1" x14ac:dyDescent="0.3">
      <c r="A14" s="128"/>
      <c r="B14" s="128"/>
      <c r="C14" s="128"/>
      <c r="D14" s="128"/>
      <c r="E14" s="128"/>
      <c r="F14" s="128"/>
      <c r="G14" s="128"/>
      <c r="H14" s="128"/>
      <c r="I14" s="128"/>
      <c r="K14" s="200" t="s">
        <v>2851</v>
      </c>
      <c r="L14" s="201" t="str">
        <f>ROUNDUP(((L11 - (L7 + L9 - L8 + L10)) / L11) * 100,1)&amp;"%"</f>
        <v>53.2%</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16" x14ac:dyDescent="0.25">
      <c r="A17" s="128"/>
      <c r="B17" s="128"/>
      <c r="C17" s="128"/>
      <c r="D17" s="128"/>
      <c r="E17" s="128"/>
      <c r="F17" s="128"/>
      <c r="G17" s="128"/>
      <c r="H17" s="128"/>
      <c r="I17" s="128"/>
    </row>
    <row r="18" spans="1:16" x14ac:dyDescent="0.25">
      <c r="A18" s="128"/>
      <c r="B18" s="128"/>
      <c r="C18" s="128"/>
      <c r="D18" s="128"/>
      <c r="E18" s="128"/>
      <c r="F18" s="128"/>
      <c r="G18" s="128"/>
      <c r="H18" s="128"/>
      <c r="I18" s="128"/>
    </row>
    <row r="19" spans="1:16" x14ac:dyDescent="0.25">
      <c r="A19" s="128"/>
      <c r="B19" s="128"/>
      <c r="C19" s="128"/>
      <c r="D19" s="128"/>
      <c r="E19" s="128"/>
      <c r="F19" s="128"/>
      <c r="G19" s="128"/>
      <c r="H19" s="128"/>
      <c r="I19" s="128"/>
    </row>
    <row r="20" spans="1:16" x14ac:dyDescent="0.25">
      <c r="A20" s="136" t="s">
        <v>2852</v>
      </c>
      <c r="B20" s="123"/>
      <c r="C20" s="123"/>
      <c r="D20" s="123"/>
      <c r="E20" s="123"/>
      <c r="F20" s="123"/>
      <c r="G20" s="123"/>
      <c r="H20" s="123"/>
      <c r="I20" s="123"/>
    </row>
    <row r="21" spans="1:16" x14ac:dyDescent="0.25">
      <c r="A21" s="136" t="s">
        <v>2853</v>
      </c>
      <c r="B21" s="123"/>
      <c r="C21" s="123"/>
      <c r="D21" s="137" t="s">
        <v>2929</v>
      </c>
      <c r="E21" s="138"/>
      <c r="F21" s="138"/>
      <c r="G21" s="138"/>
      <c r="H21" s="138"/>
      <c r="I21" s="138"/>
    </row>
    <row r="22" spans="1:16" x14ac:dyDescent="0.25">
      <c r="A22" s="136" t="s">
        <v>2855</v>
      </c>
      <c r="B22" s="123"/>
      <c r="C22" s="123"/>
      <c r="D22" s="256">
        <v>82591</v>
      </c>
      <c r="E22" s="257"/>
      <c r="F22" s="257"/>
      <c r="G22" s="257"/>
      <c r="H22" s="257"/>
      <c r="I22" s="138"/>
    </row>
    <row r="23" spans="1:16" x14ac:dyDescent="0.25">
      <c r="A23" s="136" t="s">
        <v>2856</v>
      </c>
      <c r="B23" s="123"/>
      <c r="C23" s="123"/>
      <c r="D23" s="137" t="s">
        <v>3050</v>
      </c>
      <c r="E23" s="138"/>
      <c r="F23" s="138"/>
      <c r="G23" s="138"/>
    </row>
    <row r="24" spans="1:16" x14ac:dyDescent="0.25">
      <c r="A24" s="136" t="s">
        <v>2857</v>
      </c>
      <c r="B24" s="123"/>
      <c r="C24" s="123"/>
      <c r="D24" s="137">
        <v>290.25</v>
      </c>
      <c r="E24" s="138"/>
      <c r="F24" s="138"/>
      <c r="G24" s="138"/>
    </row>
    <row r="25" spans="1:16" x14ac:dyDescent="0.25">
      <c r="A25" s="136" t="s">
        <v>2858</v>
      </c>
      <c r="B25" s="123"/>
      <c r="C25" s="123"/>
      <c r="D25" s="137" t="s">
        <v>2930</v>
      </c>
      <c r="E25" s="138"/>
      <c r="F25" s="138"/>
      <c r="G25" s="138"/>
    </row>
    <row r="26" spans="1:16" x14ac:dyDescent="0.25">
      <c r="A26" s="136" t="s">
        <v>2859</v>
      </c>
      <c r="B26" s="123"/>
      <c r="C26" s="123"/>
      <c r="D26" s="137">
        <v>1</v>
      </c>
      <c r="E26" s="138"/>
      <c r="F26" s="138"/>
      <c r="G26" s="138"/>
    </row>
    <row r="27" spans="1:16" x14ac:dyDescent="0.25">
      <c r="A27" s="136" t="s">
        <v>2860</v>
      </c>
      <c r="B27" s="123"/>
      <c r="C27" s="123"/>
      <c r="D27" s="137" t="s">
        <v>3051</v>
      </c>
      <c r="E27" s="138"/>
      <c r="F27" s="138"/>
      <c r="G27" s="138"/>
    </row>
    <row r="28" spans="1:16" x14ac:dyDescent="0.25">
      <c r="A28" s="129" t="b">
        <v>1</v>
      </c>
      <c r="B28" s="123" t="s">
        <v>2861</v>
      </c>
      <c r="C28" s="123"/>
      <c r="D28" s="123"/>
      <c r="E28" s="129" t="b">
        <v>0</v>
      </c>
      <c r="F28" s="123" t="s">
        <v>2862</v>
      </c>
      <c r="G28" s="123"/>
    </row>
    <row r="29" spans="1:16" x14ac:dyDescent="0.25">
      <c r="A29" s="129" t="b">
        <v>1</v>
      </c>
      <c r="B29" s="123" t="s">
        <v>2863</v>
      </c>
      <c r="C29" s="123"/>
      <c r="D29" s="123"/>
      <c r="E29" s="129" t="b">
        <v>1</v>
      </c>
      <c r="F29" s="123" t="s">
        <v>2864</v>
      </c>
      <c r="G29" s="123"/>
      <c r="N29">
        <v>7.5</v>
      </c>
      <c r="P29">
        <f>N29*N30</f>
        <v>168.75</v>
      </c>
    </row>
    <row r="30" spans="1:16" x14ac:dyDescent="0.25">
      <c r="A30" s="129" t="b">
        <v>1</v>
      </c>
      <c r="B30" s="123" t="s">
        <v>2865</v>
      </c>
      <c r="C30" s="123"/>
      <c r="D30" s="123"/>
      <c r="E30" s="129" t="b">
        <v>1</v>
      </c>
      <c r="F30" s="123" t="s">
        <v>2866</v>
      </c>
      <c r="G30" s="123"/>
      <c r="N30">
        <v>22.5</v>
      </c>
      <c r="P30">
        <f>P29/2</f>
        <v>84.375</v>
      </c>
    </row>
    <row r="31" spans="1:16" x14ac:dyDescent="0.25">
      <c r="A31" s="129" t="b">
        <v>1</v>
      </c>
      <c r="B31" s="123" t="s">
        <v>2867</v>
      </c>
      <c r="C31" s="123"/>
      <c r="D31" s="123"/>
      <c r="E31" s="123"/>
      <c r="F31" s="123"/>
      <c r="G31" s="123"/>
      <c r="I31" s="38">
        <v>45771</v>
      </c>
      <c r="N31">
        <v>5</v>
      </c>
    </row>
    <row r="32" spans="1:16" x14ac:dyDescent="0.25">
      <c r="A32" s="247" t="s">
        <v>2868</v>
      </c>
      <c r="B32" s="247"/>
      <c r="C32" s="247"/>
      <c r="D32" s="247"/>
      <c r="E32" s="247"/>
      <c r="F32" s="247"/>
      <c r="G32" s="247"/>
      <c r="H32" s="247"/>
      <c r="I32" s="247"/>
      <c r="N32">
        <v>5.5</v>
      </c>
      <c r="P32">
        <f>N31*N32</f>
        <v>27.5</v>
      </c>
    </row>
    <row r="33" spans="1:16" x14ac:dyDescent="0.25">
      <c r="A33" s="129" t="b">
        <v>1</v>
      </c>
      <c r="B33" s="123" t="s">
        <v>2869</v>
      </c>
      <c r="C33" s="123"/>
      <c r="D33" s="123" t="b">
        <v>1</v>
      </c>
      <c r="E33" s="123" t="s">
        <v>2870</v>
      </c>
      <c r="G33" s="123"/>
      <c r="H33" s="123" t="s">
        <v>2871</v>
      </c>
    </row>
    <row r="34" spans="1:16" x14ac:dyDescent="0.25">
      <c r="A34" s="129" t="b">
        <v>1</v>
      </c>
      <c r="B34" s="123" t="s">
        <v>2872</v>
      </c>
      <c r="C34" s="123"/>
      <c r="D34" s="123"/>
      <c r="E34" s="123" t="s">
        <v>2873</v>
      </c>
      <c r="G34" s="123"/>
      <c r="H34" s="123" t="s">
        <v>2874</v>
      </c>
      <c r="P34">
        <f>P30+P32</f>
        <v>111.875</v>
      </c>
    </row>
    <row r="35" spans="1:16" x14ac:dyDescent="0.25">
      <c r="A35" s="129" t="b">
        <v>1</v>
      </c>
      <c r="B35" s="123" t="s">
        <v>2875</v>
      </c>
      <c r="C35" s="123"/>
      <c r="D35" s="123"/>
      <c r="E35" s="123" t="s">
        <v>2876</v>
      </c>
      <c r="G35" s="123"/>
      <c r="H35" s="123" t="s">
        <v>2877</v>
      </c>
      <c r="I35" s="123"/>
    </row>
    <row r="36" spans="1:16" x14ac:dyDescent="0.25">
      <c r="A36" s="129" t="b">
        <v>1</v>
      </c>
      <c r="B36" s="123" t="s">
        <v>2878</v>
      </c>
      <c r="C36" s="123"/>
      <c r="D36" s="123"/>
      <c r="E36" s="123" t="s">
        <v>2879</v>
      </c>
      <c r="G36" s="123"/>
      <c r="H36" s="139" t="s">
        <v>2880</v>
      </c>
      <c r="I36" s="123"/>
    </row>
    <row r="37" spans="1:16" ht="15.75" thickBot="1" x14ac:dyDescent="0.3">
      <c r="A37" s="130" t="b">
        <v>0</v>
      </c>
      <c r="B37" s="131" t="s">
        <v>2881</v>
      </c>
      <c r="C37" s="131"/>
      <c r="D37" s="131"/>
      <c r="E37" s="131"/>
      <c r="F37" s="131"/>
      <c r="G37" s="131"/>
      <c r="H37" s="131"/>
      <c r="I37" s="144">
        <v>45776</v>
      </c>
    </row>
    <row r="38" spans="1:16" ht="15.75" thickTop="1" x14ac:dyDescent="0.25">
      <c r="A38" s="141"/>
      <c r="B38" s="142" t="s">
        <v>2882</v>
      </c>
      <c r="C38" s="142"/>
      <c r="D38" s="142"/>
      <c r="E38" s="142"/>
      <c r="F38" s="142"/>
      <c r="G38" s="142"/>
      <c r="H38" s="142"/>
      <c r="I38" s="145"/>
    </row>
    <row r="39" spans="1:16" x14ac:dyDescent="0.25">
      <c r="A39" s="129"/>
      <c r="B39" s="123" t="s">
        <v>1726</v>
      </c>
      <c r="C39" s="123"/>
      <c r="D39" s="123"/>
      <c r="E39" s="123"/>
      <c r="F39" s="123"/>
      <c r="G39" s="123"/>
      <c r="H39" s="123"/>
      <c r="I39" s="143"/>
    </row>
    <row r="40" spans="1:16" x14ac:dyDescent="0.25">
      <c r="A40" s="129" t="b">
        <v>0</v>
      </c>
      <c r="B40" s="123" t="s">
        <v>3030</v>
      </c>
      <c r="C40" s="123"/>
      <c r="D40" s="123"/>
      <c r="E40" s="123"/>
      <c r="F40" s="123"/>
      <c r="G40" s="123"/>
      <c r="H40" s="123"/>
      <c r="I40" s="123"/>
    </row>
    <row r="41" spans="1:16" x14ac:dyDescent="0.25">
      <c r="A41" s="129"/>
      <c r="B41" s="123" t="s">
        <v>2884</v>
      </c>
      <c r="C41" s="123"/>
      <c r="D41" s="123"/>
      <c r="E41" s="123"/>
      <c r="F41" s="123"/>
      <c r="G41" s="123"/>
      <c r="H41" s="123"/>
      <c r="I41" s="143"/>
    </row>
    <row r="42" spans="1:16" x14ac:dyDescent="0.25">
      <c r="A42" s="129" t="b">
        <v>0</v>
      </c>
      <c r="B42" s="123" t="s">
        <v>2885</v>
      </c>
      <c r="C42" s="123"/>
      <c r="D42" s="123"/>
      <c r="E42" s="123"/>
      <c r="F42" s="123"/>
      <c r="G42" s="123"/>
      <c r="H42" s="123"/>
      <c r="I42" s="143"/>
    </row>
    <row r="43" spans="1:16" x14ac:dyDescent="0.25">
      <c r="A43" s="129"/>
      <c r="B43" s="123" t="s">
        <v>2886</v>
      </c>
      <c r="C43" s="123"/>
      <c r="D43" s="123"/>
      <c r="E43" s="123"/>
      <c r="F43" s="123"/>
      <c r="G43" s="123"/>
      <c r="H43" s="123"/>
      <c r="I43" s="123"/>
    </row>
    <row r="44" spans="1:16" x14ac:dyDescent="0.25">
      <c r="A44" s="129"/>
      <c r="B44" s="123" t="s">
        <v>3017</v>
      </c>
      <c r="C44" s="123"/>
      <c r="D44" s="123"/>
      <c r="E44" s="123"/>
      <c r="F44" s="123"/>
      <c r="G44" s="123"/>
      <c r="H44" s="123"/>
      <c r="I44" s="123"/>
    </row>
    <row r="45" spans="1:16" x14ac:dyDescent="0.25">
      <c r="A45" s="129"/>
      <c r="B45" s="123" t="s">
        <v>2888</v>
      </c>
      <c r="C45" s="123"/>
      <c r="D45" s="123"/>
      <c r="E45" s="123"/>
      <c r="F45" s="123"/>
      <c r="G45" s="123"/>
      <c r="H45" s="123"/>
      <c r="I45" s="123"/>
    </row>
    <row r="46" spans="1:16" x14ac:dyDescent="0.25">
      <c r="A46" s="129"/>
      <c r="B46" s="123" t="s">
        <v>3031</v>
      </c>
      <c r="C46" s="123"/>
      <c r="D46" s="123"/>
      <c r="E46" s="123"/>
      <c r="F46" s="123"/>
      <c r="G46" s="123"/>
      <c r="H46" s="123"/>
      <c r="I46" s="123"/>
    </row>
    <row r="47" spans="1:16" x14ac:dyDescent="0.25">
      <c r="A47" s="129"/>
      <c r="B47" s="123" t="s">
        <v>2890</v>
      </c>
      <c r="C47" s="123"/>
      <c r="D47" s="123"/>
      <c r="E47" s="123"/>
      <c r="F47" s="123"/>
      <c r="G47" s="123"/>
      <c r="H47" s="123"/>
      <c r="I47" s="123"/>
    </row>
    <row r="48" spans="1:16"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39180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39181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39181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39181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39181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39181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39181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39181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39181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39181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39181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39182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39182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39182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39182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39182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39182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39182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39182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39182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39182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39183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39183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39183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39183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39183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39183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39183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39183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39183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39183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39184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39184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39184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39184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39184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39184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32829-BC1D-46A3-8EDE-2C7570907D83}">
  <sheetPr codeName="Sheet117"/>
  <dimension ref="A1:N50"/>
  <sheetViews>
    <sheetView zoomScale="115" zoomScaleNormal="115" workbookViewId="0">
      <selection activeCell="K6" sqref="K6:L1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BPA0295</v>
      </c>
    </row>
    <row r="2" spans="1:14" ht="15.75" customHeight="1" thickTop="1" x14ac:dyDescent="0.35">
      <c r="A2" s="248" t="str">
        <f ca="1">C4&amp;" - "&amp;C5&amp;" - "&amp;C7</f>
        <v>BPA0295 - Peter &amp; Lisa Owen - Lot 70 Buckleys Lane, Huntly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BPA0295</v>
      </c>
      <c r="D4" s="134"/>
      <c r="E4" s="134"/>
      <c r="F4" s="134"/>
      <c r="G4" s="134"/>
      <c r="H4" s="123"/>
      <c r="I4" s="123"/>
      <c r="N4" t="s">
        <v>1125</v>
      </c>
    </row>
    <row r="5" spans="1:14" ht="15.75" thickBot="1" x14ac:dyDescent="0.3">
      <c r="A5" s="254" t="s">
        <v>2835</v>
      </c>
      <c r="B5" s="255"/>
      <c r="C5" s="123" t="s">
        <v>394</v>
      </c>
      <c r="D5" s="123"/>
      <c r="E5" s="123"/>
      <c r="F5" s="123"/>
      <c r="G5" s="123"/>
      <c r="H5" s="123"/>
      <c r="I5" s="124"/>
      <c r="M5" s="193">
        <v>7.5</v>
      </c>
      <c r="N5" s="194" t="s">
        <v>2836</v>
      </c>
    </row>
    <row r="6" spans="1:14" ht="15.75" thickTop="1" x14ac:dyDescent="0.25">
      <c r="A6" s="254" t="s">
        <v>2837</v>
      </c>
      <c r="B6" s="255"/>
      <c r="C6" s="123"/>
      <c r="D6" s="123"/>
      <c r="E6" s="123"/>
      <c r="F6" s="123"/>
      <c r="G6" s="123"/>
      <c r="H6" s="123"/>
      <c r="I6" s="124"/>
      <c r="K6" s="260" t="s">
        <v>2986</v>
      </c>
      <c r="L6" s="261"/>
      <c r="M6" s="195">
        <v>10.5</v>
      </c>
      <c r="N6" s="194" t="s">
        <v>2839</v>
      </c>
    </row>
    <row r="7" spans="1:14" x14ac:dyDescent="0.25">
      <c r="A7" s="254" t="s">
        <v>2840</v>
      </c>
      <c r="B7" s="255"/>
      <c r="C7" s="123" t="s">
        <v>3052</v>
      </c>
      <c r="D7" s="123"/>
      <c r="E7" s="123"/>
      <c r="F7" s="123"/>
      <c r="G7" s="123"/>
      <c r="H7" s="123"/>
      <c r="I7" s="124"/>
      <c r="K7" s="196" t="s">
        <v>2841</v>
      </c>
      <c r="L7" s="197">
        <f>M5*M6</f>
        <v>78.75</v>
      </c>
    </row>
    <row r="8" spans="1:14" x14ac:dyDescent="0.25">
      <c r="A8" s="254" t="s">
        <v>2842</v>
      </c>
      <c r="B8" s="255"/>
      <c r="C8" s="123" t="s">
        <v>395</v>
      </c>
      <c r="D8" s="123"/>
      <c r="E8" s="123"/>
      <c r="F8" s="123"/>
      <c r="G8" s="123"/>
      <c r="H8" s="123"/>
      <c r="I8" s="124"/>
      <c r="K8" s="198" t="s">
        <v>2843</v>
      </c>
      <c r="L8" s="197">
        <v>0</v>
      </c>
    </row>
    <row r="9" spans="1:14" x14ac:dyDescent="0.25">
      <c r="A9" s="254" t="s">
        <v>2844</v>
      </c>
      <c r="B9" s="255"/>
      <c r="C9" s="123" t="s">
        <v>3053</v>
      </c>
      <c r="D9" s="123"/>
      <c r="E9" s="123"/>
      <c r="F9" s="123"/>
      <c r="G9" s="123"/>
      <c r="H9" s="123"/>
      <c r="I9" s="124"/>
      <c r="K9" s="196" t="s">
        <v>2999</v>
      </c>
      <c r="L9" s="197">
        <v>352</v>
      </c>
      <c r="M9" s="109"/>
    </row>
    <row r="10" spans="1:14" x14ac:dyDescent="0.25">
      <c r="A10" s="245" t="s">
        <v>2846</v>
      </c>
      <c r="B10" s="246"/>
      <c r="C10" s="125"/>
      <c r="D10" s="125"/>
      <c r="E10" s="125"/>
      <c r="F10" s="125"/>
      <c r="G10" s="125"/>
      <c r="H10" s="125"/>
      <c r="I10" s="126"/>
      <c r="K10" s="196" t="s">
        <v>2847</v>
      </c>
      <c r="L10" s="197">
        <v>0</v>
      </c>
      <c r="M10" s="109">
        <f>(L7+L9)/L11*100</f>
        <v>21.430348258706466</v>
      </c>
    </row>
    <row r="11" spans="1:14" x14ac:dyDescent="0.25">
      <c r="A11" s="127"/>
      <c r="B11" s="127"/>
      <c r="C11" s="127"/>
      <c r="D11" s="127"/>
      <c r="E11" s="127"/>
      <c r="F11" s="127"/>
      <c r="G11" s="127"/>
      <c r="H11" s="127"/>
      <c r="I11" s="127"/>
      <c r="K11" s="196" t="s">
        <v>2848</v>
      </c>
      <c r="L11" s="197">
        <v>2010</v>
      </c>
      <c r="M11" s="168"/>
    </row>
    <row r="12" spans="1:14" x14ac:dyDescent="0.25">
      <c r="A12" s="128"/>
      <c r="B12" s="128"/>
      <c r="C12" s="128"/>
      <c r="D12" s="128"/>
      <c r="E12" s="128"/>
      <c r="F12" s="128"/>
      <c r="G12" s="128"/>
      <c r="H12" s="128"/>
      <c r="I12" s="128"/>
      <c r="K12" s="198" t="s">
        <v>2849</v>
      </c>
      <c r="L12" s="199" t="str">
        <f>IF(L9&gt;0,LEFT(M10,5)&amp;"%","")</f>
        <v>21.43%</v>
      </c>
    </row>
    <row r="13" spans="1:14" x14ac:dyDescent="0.25">
      <c r="A13" s="128"/>
      <c r="B13" s="128"/>
      <c r="C13" s="128"/>
      <c r="D13" s="128"/>
      <c r="E13" s="128"/>
      <c r="F13" s="128"/>
      <c r="G13" s="128"/>
      <c r="H13" s="128"/>
      <c r="I13" s="128"/>
      <c r="K13" s="198" t="s">
        <v>2850</v>
      </c>
      <c r="L13" s="199">
        <f>(L11 - (L7 + L9 + L10)) / L11</f>
        <v>0.78569651741293534</v>
      </c>
    </row>
    <row r="14" spans="1:14" ht="15.75" thickBot="1" x14ac:dyDescent="0.3">
      <c r="A14" s="128"/>
      <c r="B14" s="128"/>
      <c r="C14" s="128"/>
      <c r="D14" s="128"/>
      <c r="E14" s="128"/>
      <c r="F14" s="128"/>
      <c r="G14" s="128"/>
      <c r="H14" s="128"/>
      <c r="I14" s="128"/>
      <c r="K14" s="200" t="s">
        <v>2851</v>
      </c>
      <c r="L14" s="201" t="str">
        <f>ROUNDUP(((L11 - (L7 + L9 - L8 + L10)) / L11) * 100,1)&amp;"%"</f>
        <v>78.6%</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45763</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423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2423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2423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2423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2423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2423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2423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2423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2423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2423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2423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2423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2423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2423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2423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2423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2423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2423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2423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2423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2423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2423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2423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2423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2423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2423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2423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2423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2423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2423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2423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2423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2423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2423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2423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2423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2423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139F-DD11-45EE-84AF-B556A3C59AD3}">
  <sheetPr codeName="Sheet8"/>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BPA0294</v>
      </c>
    </row>
    <row r="2" spans="1:14" ht="15.75" customHeight="1" thickTop="1" x14ac:dyDescent="0.35">
      <c r="A2" s="248" t="str">
        <f ca="1">C4&amp;" - "&amp;C5&amp;" - "&amp;C7</f>
        <v>BPA0294 - Brad O'Riley - Lot 1 35 Upper Goulburn Rd, Tallarook VIC 3659</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BPA0294</v>
      </c>
      <c r="D4" s="134"/>
      <c r="E4" s="134"/>
      <c r="F4" s="134"/>
      <c r="G4" s="134"/>
      <c r="H4" s="123"/>
      <c r="I4" s="123"/>
      <c r="N4" t="s">
        <v>1125</v>
      </c>
    </row>
    <row r="5" spans="1:14" ht="15.75" thickBot="1" x14ac:dyDescent="0.3">
      <c r="A5" s="254" t="s">
        <v>2835</v>
      </c>
      <c r="B5" s="255"/>
      <c r="C5" s="123" t="s">
        <v>388</v>
      </c>
      <c r="D5" s="123"/>
      <c r="E5" s="123"/>
      <c r="F5" s="123"/>
      <c r="G5" s="123"/>
      <c r="H5" s="123"/>
      <c r="I5" s="124"/>
      <c r="M5" s="193">
        <v>10</v>
      </c>
      <c r="N5" s="194" t="s">
        <v>2836</v>
      </c>
    </row>
    <row r="6" spans="1:14" ht="15.75" thickTop="1" x14ac:dyDescent="0.25">
      <c r="A6" s="254" t="s">
        <v>2837</v>
      </c>
      <c r="B6" s="255"/>
      <c r="C6" s="123"/>
      <c r="D6" s="123"/>
      <c r="E6" s="123"/>
      <c r="F6" s="123"/>
      <c r="G6" s="123"/>
      <c r="H6" s="123"/>
      <c r="I6" s="124"/>
      <c r="K6" s="260" t="s">
        <v>2986</v>
      </c>
      <c r="L6" s="261"/>
      <c r="M6" s="195">
        <v>20</v>
      </c>
      <c r="N6" s="194" t="s">
        <v>2839</v>
      </c>
    </row>
    <row r="7" spans="1:14" x14ac:dyDescent="0.25">
      <c r="A7" s="254" t="s">
        <v>2840</v>
      </c>
      <c r="B7" s="255"/>
      <c r="C7" s="123" t="s">
        <v>3054</v>
      </c>
      <c r="D7" s="123"/>
      <c r="E7" s="123"/>
      <c r="F7" s="123"/>
      <c r="G7" s="123"/>
      <c r="H7" s="123"/>
      <c r="I7" s="124"/>
      <c r="K7" s="196" t="s">
        <v>2841</v>
      </c>
      <c r="L7" s="197">
        <f>M5*M6</f>
        <v>200</v>
      </c>
    </row>
    <row r="8" spans="1:14" x14ac:dyDescent="0.25">
      <c r="A8" s="254" t="s">
        <v>2842</v>
      </c>
      <c r="B8" s="255"/>
      <c r="C8" s="123" t="s">
        <v>389</v>
      </c>
      <c r="D8" s="123"/>
      <c r="E8" s="123"/>
      <c r="F8" s="123"/>
      <c r="G8" s="123"/>
      <c r="H8" s="123"/>
      <c r="I8" s="124"/>
      <c r="K8" s="198" t="s">
        <v>2843</v>
      </c>
      <c r="L8" s="197">
        <v>0</v>
      </c>
    </row>
    <row r="9" spans="1:14" x14ac:dyDescent="0.25">
      <c r="A9" s="254" t="s">
        <v>2844</v>
      </c>
      <c r="B9" s="255"/>
      <c r="C9" s="140" t="s">
        <v>3055</v>
      </c>
      <c r="D9" s="123"/>
      <c r="E9" s="123"/>
      <c r="F9" s="123"/>
      <c r="G9" s="123"/>
      <c r="H9" s="123"/>
      <c r="I9" s="124"/>
      <c r="K9" s="196" t="s">
        <v>2999</v>
      </c>
      <c r="L9" s="197">
        <v>0</v>
      </c>
      <c r="M9" s="109"/>
    </row>
    <row r="10" spans="1:14" x14ac:dyDescent="0.25">
      <c r="A10" s="245" t="s">
        <v>2846</v>
      </c>
      <c r="B10" s="246"/>
      <c r="C10" s="125"/>
      <c r="D10" s="125"/>
      <c r="E10" s="125"/>
      <c r="F10" s="125"/>
      <c r="G10" s="125"/>
      <c r="H10" s="125"/>
      <c r="I10" s="126"/>
      <c r="K10" s="196" t="s">
        <v>2847</v>
      </c>
      <c r="L10" s="197">
        <v>0</v>
      </c>
      <c r="M10" s="109">
        <f>(L7+L9)/L11*100</f>
        <v>18.115942028985508</v>
      </c>
    </row>
    <row r="11" spans="1:14" x14ac:dyDescent="0.25">
      <c r="A11" s="127"/>
      <c r="B11" s="127"/>
      <c r="C11" s="127"/>
      <c r="D11" s="127"/>
      <c r="E11" s="127"/>
      <c r="F11" s="127"/>
      <c r="G11" s="127"/>
      <c r="H11" s="127"/>
      <c r="I11" s="127"/>
      <c r="K11" s="196" t="s">
        <v>2848</v>
      </c>
      <c r="L11" s="197">
        <v>1104</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 / L11</f>
        <v>0.8188405797101449</v>
      </c>
    </row>
    <row r="14" spans="1:14" ht="15.75" thickBot="1" x14ac:dyDescent="0.3">
      <c r="A14" s="128"/>
      <c r="B14" s="128"/>
      <c r="C14" s="128"/>
      <c r="D14" s="128"/>
      <c r="E14" s="128"/>
      <c r="F14" s="128"/>
      <c r="G14" s="128"/>
      <c r="H14" s="128"/>
      <c r="I14" s="128"/>
      <c r="K14" s="200" t="s">
        <v>2851</v>
      </c>
      <c r="L14" s="201" t="str">
        <f>ROUNDUP(((L11 - (L7 + L9 - L8 + L10)) / L11) * 100,1)&amp;"%"</f>
        <v>81.9%</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c r="E25" s="138"/>
      <c r="F25" s="138"/>
      <c r="G25" s="138"/>
    </row>
    <row r="26" spans="1:9" x14ac:dyDescent="0.25">
      <c r="A26" s="136" t="s">
        <v>2859</v>
      </c>
      <c r="B26" s="123"/>
      <c r="C26" s="123"/>
      <c r="D26" s="137"/>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c r="F29" s="123" t="s">
        <v>2864</v>
      </c>
      <c r="G29" s="123"/>
    </row>
    <row r="30" spans="1:9" x14ac:dyDescent="0.25">
      <c r="A30" s="129" t="b">
        <v>1</v>
      </c>
      <c r="B30" s="123" t="s">
        <v>2865</v>
      </c>
      <c r="C30" s="123"/>
      <c r="D30" s="123"/>
      <c r="E30" s="129"/>
      <c r="F30" s="123" t="s">
        <v>2866</v>
      </c>
      <c r="G30" s="123"/>
    </row>
    <row r="31" spans="1:9" x14ac:dyDescent="0.25">
      <c r="A31" s="129" t="b">
        <v>1</v>
      </c>
      <c r="B31" s="123" t="s">
        <v>2867</v>
      </c>
      <c r="C31" s="123"/>
      <c r="D31" s="123"/>
      <c r="E31" s="123"/>
      <c r="F31" s="123"/>
      <c r="G31" s="123"/>
      <c r="I31" s="38">
        <v>45763</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85"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85" t="s">
        <v>2878</v>
      </c>
      <c r="C36" s="123"/>
      <c r="D36" s="123"/>
      <c r="E36" s="123" t="s">
        <v>2879</v>
      </c>
      <c r="G36" s="123"/>
      <c r="H36" s="185" t="s">
        <v>2880</v>
      </c>
      <c r="I36" s="123"/>
    </row>
    <row r="37" spans="1:9" ht="15.75" thickBot="1" x14ac:dyDescent="0.3">
      <c r="A37" s="130" t="b">
        <v>0</v>
      </c>
      <c r="B37" s="131" t="s">
        <v>2881</v>
      </c>
      <c r="C37" s="131"/>
      <c r="D37" s="131"/>
      <c r="E37" s="131"/>
      <c r="F37" s="131"/>
      <c r="G37" s="131"/>
      <c r="H37" s="131"/>
      <c r="I37" s="144">
        <v>45770</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A1387872-87E2-436A-AE0F-27532732E8F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23923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23923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23923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23923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23923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23923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23923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23924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23924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23924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23924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23924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23924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23924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23924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23924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23924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23925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23925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239252"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23925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23925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23925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23925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23925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23925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23925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23926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23926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239262"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239263"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239264"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239265"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239266"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239267"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239268"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239269"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64762-8BD3-4786-BA3E-A5E8FC65B70A}">
  <sheetPr codeName="Sheet136"/>
  <dimension ref="A1:N50"/>
  <sheetViews>
    <sheetView zoomScale="115" zoomScaleNormal="115" workbookViewId="0">
      <selection activeCell="H36" sqref="H36"/>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BPA0293</v>
      </c>
    </row>
    <row r="2" spans="1:14" ht="15.75" customHeight="1" thickTop="1" x14ac:dyDescent="0.35">
      <c r="A2" s="248" t="str">
        <f ca="1">C4&amp;" - "&amp;C5&amp;" - "&amp;C7</f>
        <v>BPA0293 - Michael Sevdalis - 13 Marngo Court, Kurunjang VIC 3337</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BPA0293</v>
      </c>
      <c r="D4" s="134"/>
      <c r="E4" s="134"/>
      <c r="F4" s="134"/>
      <c r="G4" s="134"/>
      <c r="H4" s="123"/>
      <c r="I4" s="123"/>
      <c r="N4" t="s">
        <v>1125</v>
      </c>
    </row>
    <row r="5" spans="1:14" ht="15.75" thickBot="1" x14ac:dyDescent="0.3">
      <c r="A5" s="254" t="s">
        <v>2835</v>
      </c>
      <c r="B5" s="255"/>
      <c r="C5" s="123" t="s">
        <v>381</v>
      </c>
      <c r="D5" s="123"/>
      <c r="E5" s="123"/>
      <c r="F5" s="123"/>
      <c r="G5" s="123"/>
      <c r="H5" s="123"/>
      <c r="I5" s="124"/>
      <c r="M5" s="193">
        <v>0</v>
      </c>
      <c r="N5" s="194" t="s">
        <v>2836</v>
      </c>
    </row>
    <row r="6" spans="1:14" ht="15.75" thickTop="1" x14ac:dyDescent="0.25">
      <c r="A6" s="254" t="s">
        <v>2837</v>
      </c>
      <c r="B6" s="255"/>
      <c r="C6" s="123"/>
      <c r="D6" s="123"/>
      <c r="E6" s="123"/>
      <c r="F6" s="123"/>
      <c r="G6" s="123"/>
      <c r="H6" s="123"/>
      <c r="I6" s="124"/>
      <c r="K6" s="260" t="s">
        <v>2986</v>
      </c>
      <c r="L6" s="261"/>
      <c r="M6" s="195">
        <v>0</v>
      </c>
      <c r="N6" s="194" t="s">
        <v>2839</v>
      </c>
    </row>
    <row r="7" spans="1:14" x14ac:dyDescent="0.25">
      <c r="A7" s="254" t="s">
        <v>2840</v>
      </c>
      <c r="B7" s="255"/>
      <c r="C7" s="123" t="s">
        <v>3056</v>
      </c>
      <c r="D7" s="123"/>
      <c r="E7" s="123"/>
      <c r="F7" s="123"/>
      <c r="G7" s="123"/>
      <c r="H7" s="123"/>
      <c r="I7" s="124"/>
      <c r="K7" s="196" t="s">
        <v>2841</v>
      </c>
      <c r="L7" s="197">
        <f>M5*M6</f>
        <v>0</v>
      </c>
    </row>
    <row r="8" spans="1:14" x14ac:dyDescent="0.25">
      <c r="A8" s="254" t="s">
        <v>2842</v>
      </c>
      <c r="B8" s="255"/>
      <c r="C8" s="123" t="s">
        <v>382</v>
      </c>
      <c r="D8" s="123"/>
      <c r="E8" s="123"/>
      <c r="F8" s="123"/>
      <c r="G8" s="123"/>
      <c r="H8" s="123"/>
      <c r="I8" s="124"/>
      <c r="K8" s="198" t="s">
        <v>2843</v>
      </c>
      <c r="L8" s="197">
        <v>0</v>
      </c>
    </row>
    <row r="9" spans="1:14" x14ac:dyDescent="0.25">
      <c r="A9" s="254" t="s">
        <v>2844</v>
      </c>
      <c r="B9" s="255"/>
      <c r="C9" s="123" t="s">
        <v>3057</v>
      </c>
      <c r="D9" s="123"/>
      <c r="E9" s="123"/>
      <c r="F9" s="123"/>
      <c r="G9" s="123"/>
      <c r="H9" s="123"/>
      <c r="I9" s="124"/>
      <c r="K9" s="196" t="s">
        <v>2999</v>
      </c>
      <c r="L9" s="197">
        <v>0</v>
      </c>
      <c r="M9" s="109"/>
    </row>
    <row r="10" spans="1:14" x14ac:dyDescent="0.25">
      <c r="A10" s="245" t="s">
        <v>2846</v>
      </c>
      <c r="B10" s="246"/>
      <c r="C10" s="125"/>
      <c r="D10" s="125"/>
      <c r="E10" s="125"/>
      <c r="F10" s="125"/>
      <c r="G10" s="125"/>
      <c r="H10" s="125"/>
      <c r="I10" s="126"/>
      <c r="K10" s="196" t="s">
        <v>2847</v>
      </c>
      <c r="L10" s="197">
        <v>0</v>
      </c>
      <c r="M10" s="109">
        <f>(L7+L9)/L11*100</f>
        <v>0</v>
      </c>
    </row>
    <row r="11" spans="1:14" x14ac:dyDescent="0.25">
      <c r="A11" s="127"/>
      <c r="B11" s="127"/>
      <c r="C11" s="127"/>
      <c r="D11" s="127"/>
      <c r="E11" s="127"/>
      <c r="F11" s="127"/>
      <c r="G11" s="127"/>
      <c r="H11" s="127"/>
      <c r="I11" s="127"/>
      <c r="K11" s="196" t="s">
        <v>2848</v>
      </c>
      <c r="L11" s="197">
        <v>1104</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 / L11</f>
        <v>1</v>
      </c>
    </row>
    <row r="14" spans="1:14" ht="15.75" thickBot="1" x14ac:dyDescent="0.3">
      <c r="A14" s="128"/>
      <c r="B14" s="128"/>
      <c r="C14" s="128"/>
      <c r="D14" s="128"/>
      <c r="E14" s="128"/>
      <c r="F14" s="128"/>
      <c r="G14" s="128"/>
      <c r="H14" s="128"/>
      <c r="I14" s="128"/>
      <c r="K14" s="200" t="s">
        <v>2851</v>
      </c>
      <c r="L14" s="201" t="str">
        <f>ROUNDUP(((L11 - (L7 + L9 - L8 + L10)) / L11) * 100,1)&amp;"%"</f>
        <v>100%</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26023</v>
      </c>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2898</v>
      </c>
      <c r="E27" s="138"/>
      <c r="F27" s="138"/>
      <c r="G27" s="138"/>
    </row>
    <row r="28" spans="1:9" x14ac:dyDescent="0.25">
      <c r="A28" s="129" t="b">
        <v>1</v>
      </c>
      <c r="B28" s="123" t="s">
        <v>2861</v>
      </c>
      <c r="C28" s="123"/>
      <c r="D28" s="123"/>
      <c r="E28" s="129" t="b">
        <v>0</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45761</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0</v>
      </c>
      <c r="B35" s="139" t="s">
        <v>2875</v>
      </c>
      <c r="C35" s="123"/>
      <c r="D35" s="123"/>
      <c r="E35" s="139" t="s">
        <v>2876</v>
      </c>
      <c r="G35" s="123"/>
      <c r="H35" s="123" t="s">
        <v>2877</v>
      </c>
      <c r="I35" s="123"/>
    </row>
    <row r="36" spans="1:9" x14ac:dyDescent="0.25">
      <c r="A36" s="129" t="b">
        <v>1</v>
      </c>
      <c r="B36" s="123" t="s">
        <v>2878</v>
      </c>
      <c r="C36" s="123"/>
      <c r="D36" s="123"/>
      <c r="E36" s="123" t="s">
        <v>2879</v>
      </c>
      <c r="G36" s="123"/>
      <c r="H36" s="185"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887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20887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20887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20887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20887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20887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20887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20887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20887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20887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20887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20887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20887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20887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20887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20887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20887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20887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20887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2088724"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20887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20887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20887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20887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20887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20887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20887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20887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20887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20887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20887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20887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20887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20887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20887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20887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20887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6E660-48A9-44A5-94CC-72DF59041DAC}">
  <sheetPr codeName="Sheet91"/>
  <dimension ref="A1:N50"/>
  <sheetViews>
    <sheetView topLeftCell="A21" zoomScale="115" zoomScaleNormal="115" workbookViewId="0">
      <selection activeCell="F45" sqref="F45"/>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BPA0291</v>
      </c>
    </row>
    <row r="2" spans="1:14" ht="15.75" customHeight="1" thickTop="1" x14ac:dyDescent="0.35">
      <c r="A2" s="248" t="str">
        <f ca="1">C4&amp;" - "&amp;C5&amp;" - "&amp;C7</f>
        <v>BPA0291 - Leanna Valentin - 11A Maskell Lane, Tatura VIC 3616</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BPA0291</v>
      </c>
      <c r="D4" s="134"/>
      <c r="E4" s="134"/>
      <c r="F4" s="134"/>
      <c r="G4" s="134"/>
      <c r="H4" s="123"/>
      <c r="I4" s="123"/>
      <c r="N4" t="s">
        <v>1125</v>
      </c>
    </row>
    <row r="5" spans="1:14" ht="15.75" thickBot="1" x14ac:dyDescent="0.3">
      <c r="A5" s="254" t="s">
        <v>2835</v>
      </c>
      <c r="B5" s="255"/>
      <c r="C5" s="123" t="s">
        <v>375</v>
      </c>
      <c r="D5" s="123"/>
      <c r="E5" s="123"/>
      <c r="F5" s="123"/>
      <c r="G5" s="123"/>
      <c r="H5" s="123"/>
      <c r="I5" s="124"/>
      <c r="M5" s="193">
        <v>9</v>
      </c>
      <c r="N5" s="194" t="s">
        <v>2836</v>
      </c>
    </row>
    <row r="6" spans="1:14" ht="15.75" thickTop="1" x14ac:dyDescent="0.25">
      <c r="A6" s="254" t="s">
        <v>2837</v>
      </c>
      <c r="B6" s="255"/>
      <c r="C6" s="123"/>
      <c r="D6" s="123"/>
      <c r="E6" s="123"/>
      <c r="F6" s="123"/>
      <c r="G6" s="123"/>
      <c r="H6" s="123"/>
      <c r="I6" s="124"/>
      <c r="K6" s="260" t="s">
        <v>2986</v>
      </c>
      <c r="L6" s="261"/>
      <c r="M6" s="195">
        <v>20</v>
      </c>
      <c r="N6" s="194" t="s">
        <v>2839</v>
      </c>
    </row>
    <row r="7" spans="1:14" x14ac:dyDescent="0.25">
      <c r="A7" s="254" t="s">
        <v>2840</v>
      </c>
      <c r="B7" s="255"/>
      <c r="C7" s="123" t="s">
        <v>3058</v>
      </c>
      <c r="D7" s="123"/>
      <c r="E7" s="123"/>
      <c r="F7" s="123"/>
      <c r="G7" s="123"/>
      <c r="H7" s="123"/>
      <c r="I7" s="124"/>
      <c r="K7" s="196" t="s">
        <v>2841</v>
      </c>
      <c r="L7" s="197">
        <f>M5*M6</f>
        <v>180</v>
      </c>
    </row>
    <row r="8" spans="1:14" x14ac:dyDescent="0.25">
      <c r="A8" s="254" t="s">
        <v>2842</v>
      </c>
      <c r="B8" s="255"/>
      <c r="C8" s="123" t="s">
        <v>376</v>
      </c>
      <c r="D8" s="123"/>
      <c r="E8" s="123"/>
      <c r="F8" s="123"/>
      <c r="G8" s="123"/>
      <c r="H8" s="123"/>
      <c r="I8" s="124"/>
      <c r="K8" s="198" t="s">
        <v>2843</v>
      </c>
      <c r="L8" s="197">
        <v>0</v>
      </c>
    </row>
    <row r="9" spans="1:14" x14ac:dyDescent="0.25">
      <c r="A9" s="254" t="s">
        <v>2844</v>
      </c>
      <c r="B9" s="255"/>
      <c r="C9" s="140" t="s">
        <v>3059</v>
      </c>
      <c r="D9" s="123"/>
      <c r="E9" s="123"/>
      <c r="F9" s="123"/>
      <c r="G9" s="123"/>
      <c r="H9" s="123"/>
      <c r="I9" s="124"/>
      <c r="K9" s="196" t="s">
        <v>2999</v>
      </c>
      <c r="L9" s="197">
        <v>0</v>
      </c>
      <c r="M9" s="109"/>
    </row>
    <row r="10" spans="1:14" x14ac:dyDescent="0.25">
      <c r="A10" s="245" t="s">
        <v>2846</v>
      </c>
      <c r="B10" s="246"/>
      <c r="C10" s="125"/>
      <c r="D10" s="125"/>
      <c r="E10" s="125"/>
      <c r="F10" s="125"/>
      <c r="G10" s="125"/>
      <c r="H10" s="125"/>
      <c r="I10" s="126"/>
      <c r="K10" s="196" t="s">
        <v>2847</v>
      </c>
      <c r="L10" s="197">
        <v>0</v>
      </c>
      <c r="M10" s="109">
        <f>(L7+L9)/L11*100</f>
        <v>4.5</v>
      </c>
    </row>
    <row r="11" spans="1:14" x14ac:dyDescent="0.25">
      <c r="A11" s="127"/>
      <c r="B11" s="127"/>
      <c r="C11" s="127"/>
      <c r="D11" s="127"/>
      <c r="E11" s="127"/>
      <c r="F11" s="127"/>
      <c r="G11" s="127"/>
      <c r="H11" s="127"/>
      <c r="I11" s="127"/>
      <c r="K11" s="196" t="s">
        <v>2848</v>
      </c>
      <c r="L11" s="197">
        <v>4000</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 / L11</f>
        <v>0.95499999999999996</v>
      </c>
    </row>
    <row r="14" spans="1:14" ht="15.75" thickBot="1" x14ac:dyDescent="0.3">
      <c r="A14" s="128"/>
      <c r="B14" s="128"/>
      <c r="C14" s="128"/>
      <c r="D14" s="128"/>
      <c r="E14" s="128"/>
      <c r="F14" s="128"/>
      <c r="G14" s="128"/>
      <c r="H14" s="128"/>
      <c r="I14" s="128"/>
      <c r="K14" s="200" t="s">
        <v>2851</v>
      </c>
      <c r="L14" s="201" t="str">
        <f>ROUNDUP(((L11 - (L7 + L9 - L8 + L10)) / L11) * 100,1)&amp;"%"</f>
        <v>95.5%</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49690</v>
      </c>
      <c r="E22" s="257"/>
      <c r="F22" s="257"/>
      <c r="G22" s="257"/>
      <c r="H22" s="257"/>
      <c r="I22" s="138"/>
    </row>
    <row r="23" spans="1:9" x14ac:dyDescent="0.25">
      <c r="A23" s="136" t="s">
        <v>2856</v>
      </c>
      <c r="B23" s="123"/>
      <c r="C23" s="123"/>
      <c r="D23" s="137" t="s">
        <v>3060</v>
      </c>
      <c r="E23" s="138"/>
      <c r="F23" s="138"/>
      <c r="G23" s="138"/>
    </row>
    <row r="24" spans="1:9" x14ac:dyDescent="0.25">
      <c r="A24" s="136" t="s">
        <v>2857</v>
      </c>
      <c r="B24" s="123"/>
      <c r="C24" s="123"/>
      <c r="D24" s="137" t="s">
        <v>3029</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2898</v>
      </c>
      <c r="E27" s="138"/>
      <c r="F27" s="138"/>
      <c r="G27" s="138"/>
    </row>
    <row r="28" spans="1:9" x14ac:dyDescent="0.25">
      <c r="A28" s="129" t="b">
        <v>1</v>
      </c>
      <c r="B28" s="123" t="s">
        <v>2861</v>
      </c>
      <c r="C28" s="123"/>
      <c r="D28" s="123"/>
      <c r="E28" s="129" t="b">
        <v>0</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1</v>
      </c>
      <c r="F30" s="123" t="s">
        <v>2866</v>
      </c>
      <c r="G30" s="123"/>
    </row>
    <row r="31" spans="1:9" x14ac:dyDescent="0.25">
      <c r="A31" s="129" t="b">
        <v>1</v>
      </c>
      <c r="B31" s="123" t="s">
        <v>2867</v>
      </c>
      <c r="C31" s="123"/>
      <c r="D31" s="123"/>
      <c r="E31" s="123"/>
      <c r="F31" s="123"/>
      <c r="G31" s="123"/>
      <c r="I31" s="38">
        <v>45757</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45763</v>
      </c>
    </row>
    <row r="38" spans="1:9" ht="15.75" thickTop="1" x14ac:dyDescent="0.25">
      <c r="A38" s="141"/>
      <c r="B38" s="142" t="s">
        <v>2882</v>
      </c>
      <c r="C38" s="142"/>
      <c r="D38" s="142"/>
      <c r="E38" s="142"/>
      <c r="F38" s="142"/>
      <c r="G38" s="142"/>
      <c r="H38" s="142"/>
      <c r="I38" s="145">
        <v>45769</v>
      </c>
    </row>
    <row r="39" spans="1:9" x14ac:dyDescent="0.25">
      <c r="A39" s="129"/>
      <c r="B39" s="123" t="s">
        <v>1726</v>
      </c>
      <c r="C39" s="123"/>
      <c r="D39" s="123"/>
      <c r="E39" s="123"/>
      <c r="F39" s="123"/>
      <c r="G39" s="123"/>
      <c r="H39" s="123"/>
      <c r="I39" s="143"/>
    </row>
    <row r="40" spans="1:9" x14ac:dyDescent="0.25">
      <c r="A40" s="129" t="b">
        <v>1</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hyperlinks>
    <hyperlink ref="C9" r:id="rId1" xr:uid="{4E223F55-02B4-43AB-87F2-4C8C64B976A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93715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93715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93715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93715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93715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93715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93715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93716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93716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93716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93716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93716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93716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93716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93716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93716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93716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93717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93717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937172"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93717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93717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93717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93717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93717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93717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93717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93718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93718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937182"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937183"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937184"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937185"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937186"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937187"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937188"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937189"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FB585-164C-4965-BFE6-C0C3B319C140}">
  <sheetPr codeName="Sheet6"/>
  <dimension ref="A1:N50"/>
  <sheetViews>
    <sheetView zoomScale="85" zoomScaleNormal="85" workbookViewId="0">
      <selection activeCell="K4" sqref="K4"/>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BPA0290</v>
      </c>
    </row>
    <row r="2" spans="1:14" ht="15.75" customHeight="1" thickTop="1" x14ac:dyDescent="0.35">
      <c r="A2" s="248" t="str">
        <f ca="1">C4&amp;" - "&amp;C5&amp;" - "&amp;C7</f>
        <v>BPA0290 - Donald YMCA Kinder - 10 Houston Street, Donald VIC 3480</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BPA0290</v>
      </c>
      <c r="D4" s="134"/>
      <c r="E4" s="134"/>
      <c r="F4" s="134"/>
      <c r="G4" s="134"/>
      <c r="H4" s="123"/>
      <c r="I4" s="123"/>
      <c r="N4" t="s">
        <v>1125</v>
      </c>
    </row>
    <row r="5" spans="1:14" ht="15.75" thickBot="1" x14ac:dyDescent="0.3">
      <c r="A5" s="254" t="s">
        <v>2835</v>
      </c>
      <c r="B5" s="255"/>
      <c r="C5" s="123" t="s">
        <v>368</v>
      </c>
      <c r="D5" s="123"/>
      <c r="E5" s="123"/>
      <c r="F5" s="123"/>
      <c r="G5" s="123"/>
      <c r="H5" s="123"/>
      <c r="I5" s="124"/>
      <c r="M5" s="193">
        <v>4</v>
      </c>
      <c r="N5" s="194" t="s">
        <v>2836</v>
      </c>
    </row>
    <row r="6" spans="1:14" ht="15.75" thickTop="1" x14ac:dyDescent="0.25">
      <c r="A6" s="254" t="s">
        <v>2837</v>
      </c>
      <c r="B6" s="255"/>
      <c r="C6" s="123" t="s">
        <v>3061</v>
      </c>
      <c r="D6" s="123"/>
      <c r="E6" s="123"/>
      <c r="F6" s="123"/>
      <c r="G6" s="123"/>
      <c r="H6" s="123"/>
      <c r="I6" s="124"/>
      <c r="K6" s="260" t="s">
        <v>2986</v>
      </c>
      <c r="L6" s="261"/>
      <c r="M6" s="195">
        <v>12.5</v>
      </c>
      <c r="N6" s="194" t="s">
        <v>2839</v>
      </c>
    </row>
    <row r="7" spans="1:14" x14ac:dyDescent="0.25">
      <c r="A7" s="254" t="s">
        <v>2840</v>
      </c>
      <c r="B7" s="255"/>
      <c r="C7" s="123" t="s">
        <v>3062</v>
      </c>
      <c r="D7" s="123"/>
      <c r="E7" s="123"/>
      <c r="F7" s="123"/>
      <c r="G7" s="123"/>
      <c r="H7" s="123"/>
      <c r="I7" s="124"/>
      <c r="K7" s="196" t="s">
        <v>2841</v>
      </c>
      <c r="L7" s="197">
        <f>M5*M6</f>
        <v>50</v>
      </c>
    </row>
    <row r="8" spans="1:14" x14ac:dyDescent="0.25">
      <c r="A8" s="254" t="s">
        <v>2842</v>
      </c>
      <c r="B8" s="255"/>
      <c r="C8" s="123" t="s">
        <v>369</v>
      </c>
      <c r="D8" s="123"/>
      <c r="E8" s="123"/>
      <c r="F8" s="123"/>
      <c r="G8" s="123"/>
      <c r="H8" s="123"/>
      <c r="I8" s="124"/>
      <c r="K8" s="198" t="s">
        <v>2843</v>
      </c>
      <c r="L8" s="197">
        <v>0</v>
      </c>
    </row>
    <row r="9" spans="1:14" x14ac:dyDescent="0.25">
      <c r="A9" s="254" t="s">
        <v>2844</v>
      </c>
      <c r="B9" s="255"/>
      <c r="C9" s="123" t="s">
        <v>3063</v>
      </c>
      <c r="D9" s="123"/>
      <c r="E9" s="123"/>
      <c r="F9" s="123"/>
      <c r="G9" s="123"/>
      <c r="H9" s="123"/>
      <c r="I9" s="124"/>
      <c r="K9" s="196" t="s">
        <v>2999</v>
      </c>
      <c r="L9" s="197">
        <v>743</v>
      </c>
      <c r="M9" s="109"/>
    </row>
    <row r="10" spans="1:14" x14ac:dyDescent="0.25">
      <c r="A10" s="245" t="s">
        <v>2846</v>
      </c>
      <c r="B10" s="246"/>
      <c r="C10" s="125"/>
      <c r="D10" s="125"/>
      <c r="E10" s="125"/>
      <c r="F10" s="125"/>
      <c r="G10" s="125"/>
      <c r="H10" s="125"/>
      <c r="I10" s="126"/>
      <c r="K10" s="196" t="s">
        <v>2847</v>
      </c>
      <c r="L10" s="197">
        <v>378</v>
      </c>
      <c r="M10" s="109">
        <f>(L7+L9)/L11*100</f>
        <v>9.5946763460375077</v>
      </c>
    </row>
    <row r="11" spans="1:14" x14ac:dyDescent="0.25">
      <c r="A11" s="127"/>
      <c r="B11" s="127"/>
      <c r="C11" s="127"/>
      <c r="D11" s="127"/>
      <c r="E11" s="127"/>
      <c r="F11" s="127"/>
      <c r="G11" s="127"/>
      <c r="H11" s="127"/>
      <c r="I11" s="127"/>
      <c r="K11" s="196" t="s">
        <v>2848</v>
      </c>
      <c r="L11" s="197">
        <v>8265</v>
      </c>
      <c r="M11" s="168"/>
    </row>
    <row r="12" spans="1:14" x14ac:dyDescent="0.25">
      <c r="A12" s="128"/>
      <c r="B12" s="128"/>
      <c r="C12" s="128"/>
      <c r="D12" s="128"/>
      <c r="E12" s="128"/>
      <c r="F12" s="128"/>
      <c r="G12" s="128"/>
      <c r="H12" s="128"/>
      <c r="I12" s="128"/>
      <c r="K12" s="198" t="s">
        <v>2849</v>
      </c>
      <c r="L12" s="199" t="str">
        <f>IF(L9&gt;0,LEFT(M10,5)&amp;"%","")</f>
        <v>9.594%</v>
      </c>
    </row>
    <row r="13" spans="1:14" x14ac:dyDescent="0.25">
      <c r="A13" s="128"/>
      <c r="B13" s="128"/>
      <c r="C13" s="128"/>
      <c r="D13" s="128"/>
      <c r="E13" s="128"/>
      <c r="F13" s="128"/>
      <c r="G13" s="128"/>
      <c r="H13" s="128"/>
      <c r="I13" s="128"/>
      <c r="K13" s="198" t="s">
        <v>2850</v>
      </c>
      <c r="L13" s="199">
        <f>(L11 - (L7 + L9 + L10)) / L11</f>
        <v>0.85831820931639446</v>
      </c>
    </row>
    <row r="14" spans="1:14" ht="15.75" thickBot="1" x14ac:dyDescent="0.3">
      <c r="A14" s="128"/>
      <c r="B14" s="128"/>
      <c r="C14" s="128"/>
      <c r="D14" s="128"/>
      <c r="E14" s="128"/>
      <c r="F14" s="128"/>
      <c r="G14" s="128"/>
      <c r="H14" s="128"/>
      <c r="I14" s="128"/>
      <c r="K14" s="200" t="s">
        <v>2851</v>
      </c>
      <c r="L14" s="201" t="str">
        <f>ROUNDUP(((L11 - (L7 + L9 - L8 + L10)) / L11) * 100,1)&amp;"%"</f>
        <v>85.9%</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3064</v>
      </c>
      <c r="G21" s="138"/>
      <c r="H21" s="138"/>
      <c r="I21" s="138"/>
    </row>
    <row r="22" spans="1:9" x14ac:dyDescent="0.25">
      <c r="A22" s="136" t="s">
        <v>2855</v>
      </c>
      <c r="B22" s="123"/>
      <c r="C22" s="123"/>
      <c r="D22" s="256">
        <v>20160</v>
      </c>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f>3*12.5</f>
        <v>37.5</v>
      </c>
      <c r="E24" s="138"/>
      <c r="F24" s="138"/>
      <c r="G24" s="138"/>
    </row>
    <row r="25" spans="1:9" x14ac:dyDescent="0.25">
      <c r="A25" s="136" t="s">
        <v>2858</v>
      </c>
      <c r="B25" s="123"/>
      <c r="C25" s="123"/>
      <c r="D25" s="137" t="s">
        <v>3065</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3066</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c r="F30" s="123" t="s">
        <v>2866</v>
      </c>
      <c r="G30" s="123"/>
    </row>
    <row r="31" spans="1:9" x14ac:dyDescent="0.25">
      <c r="A31" s="129" t="b">
        <v>1</v>
      </c>
      <c r="B31" s="123" t="s">
        <v>2867</v>
      </c>
      <c r="C31" s="123"/>
      <c r="D31" s="123"/>
      <c r="E31" s="123"/>
      <c r="F31" s="123"/>
      <c r="G31" s="123"/>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4019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64019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64019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64019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64019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64019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64019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64020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64020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64020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64020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64020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64020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64020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64020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64020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64020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64021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64021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64021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64021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64021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64021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64021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64021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64021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64021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64022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64022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64022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64022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64022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64022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64022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64022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64022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64022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04C0F-0805-4B46-96C7-CA6E84F96B39}">
  <sheetPr codeName="Sheet116"/>
  <dimension ref="A1:N50"/>
  <sheetViews>
    <sheetView zoomScale="115" zoomScaleNormal="115" workbookViewId="0">
      <selection activeCell="K18" sqref="K18"/>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BPA0289</v>
      </c>
    </row>
    <row r="2" spans="1:14" ht="15.75" customHeight="1" thickTop="1" x14ac:dyDescent="0.35">
      <c r="A2" s="248" t="str">
        <f ca="1">C4&amp;" - "&amp;C5&amp;" - "&amp;C7</f>
        <v>BPA0289 - Troy Anderson - 54 The Elms Boulevard, Kilmore VIC 3764</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BPA0289</v>
      </c>
      <c r="D4" s="134"/>
      <c r="E4" s="134"/>
      <c r="F4" s="134"/>
      <c r="G4" s="134"/>
      <c r="H4" s="123"/>
      <c r="I4" s="123"/>
      <c r="N4" t="s">
        <v>1125</v>
      </c>
    </row>
    <row r="5" spans="1:14" ht="15.75" thickBot="1" x14ac:dyDescent="0.3">
      <c r="A5" s="254" t="s">
        <v>2835</v>
      </c>
      <c r="B5" s="255"/>
      <c r="C5" s="123" t="s">
        <v>362</v>
      </c>
      <c r="D5" s="123"/>
      <c r="E5" s="123"/>
      <c r="F5" s="123"/>
      <c r="G5" s="123"/>
      <c r="H5" s="123"/>
      <c r="I5" s="124"/>
      <c r="M5" s="193">
        <v>9</v>
      </c>
      <c r="N5" s="194" t="s">
        <v>2836</v>
      </c>
    </row>
    <row r="6" spans="1:14" ht="15.75" thickTop="1" x14ac:dyDescent="0.25">
      <c r="A6" s="254" t="s">
        <v>2837</v>
      </c>
      <c r="B6" s="255"/>
      <c r="C6" s="123"/>
      <c r="D6" s="123"/>
      <c r="E6" s="123"/>
      <c r="F6" s="123"/>
      <c r="G6" s="123"/>
      <c r="H6" s="123"/>
      <c r="I6" s="124"/>
      <c r="K6" s="260" t="s">
        <v>2986</v>
      </c>
      <c r="L6" s="261"/>
      <c r="M6" s="195">
        <v>18</v>
      </c>
      <c r="N6" s="194" t="s">
        <v>2839</v>
      </c>
    </row>
    <row r="7" spans="1:14" x14ac:dyDescent="0.25">
      <c r="A7" s="254" t="s">
        <v>2840</v>
      </c>
      <c r="B7" s="255"/>
      <c r="C7" s="123" t="s">
        <v>3067</v>
      </c>
      <c r="D7" s="123"/>
      <c r="E7" s="123"/>
      <c r="F7" s="123"/>
      <c r="G7" s="123"/>
      <c r="H7" s="123"/>
      <c r="I7" s="124"/>
      <c r="K7" s="196" t="s">
        <v>2841</v>
      </c>
      <c r="L7" s="197">
        <f>M5*M6</f>
        <v>162</v>
      </c>
    </row>
    <row r="8" spans="1:14" x14ac:dyDescent="0.25">
      <c r="A8" s="254" t="s">
        <v>2842</v>
      </c>
      <c r="B8" s="255"/>
      <c r="C8" s="123" t="s">
        <v>363</v>
      </c>
      <c r="D8" s="123"/>
      <c r="E8" s="123"/>
      <c r="F8" s="123"/>
      <c r="G8" s="123"/>
      <c r="H8" s="123"/>
      <c r="I8" s="124"/>
      <c r="K8" s="198" t="s">
        <v>2843</v>
      </c>
      <c r="L8" s="197">
        <v>0</v>
      </c>
    </row>
    <row r="9" spans="1:14" x14ac:dyDescent="0.25">
      <c r="A9" s="254" t="s">
        <v>2844</v>
      </c>
      <c r="B9" s="255"/>
      <c r="C9" s="123" t="s">
        <v>3068</v>
      </c>
      <c r="D9" s="123"/>
      <c r="E9" s="123"/>
      <c r="F9" s="123"/>
      <c r="G9" s="123"/>
      <c r="H9" s="123"/>
      <c r="I9" s="124"/>
      <c r="K9" s="196" t="s">
        <v>2999</v>
      </c>
      <c r="L9" s="197">
        <v>0</v>
      </c>
      <c r="M9" s="109"/>
    </row>
    <row r="10" spans="1:14" x14ac:dyDescent="0.25">
      <c r="A10" s="245" t="s">
        <v>2846</v>
      </c>
      <c r="B10" s="246"/>
      <c r="C10" s="125"/>
      <c r="D10" s="125"/>
      <c r="E10" s="125"/>
      <c r="F10" s="125"/>
      <c r="G10" s="125"/>
      <c r="H10" s="125"/>
      <c r="I10" s="126"/>
      <c r="K10" s="196" t="s">
        <v>2847</v>
      </c>
      <c r="L10" s="197">
        <v>0</v>
      </c>
      <c r="M10" s="109">
        <f>(L7+L9)/L11*100</f>
        <v>14.673913043478262</v>
      </c>
    </row>
    <row r="11" spans="1:14" x14ac:dyDescent="0.25">
      <c r="A11" s="127"/>
      <c r="B11" s="127"/>
      <c r="C11" s="127"/>
      <c r="D11" s="127"/>
      <c r="E11" s="127"/>
      <c r="F11" s="127"/>
      <c r="G11" s="127"/>
      <c r="H11" s="127"/>
      <c r="I11" s="127"/>
      <c r="K11" s="196" t="s">
        <v>2848</v>
      </c>
      <c r="L11" s="197">
        <v>1104</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 / L11</f>
        <v>0.85326086956521741</v>
      </c>
    </row>
    <row r="14" spans="1:14" ht="15.75" thickBot="1" x14ac:dyDescent="0.3">
      <c r="A14" s="128"/>
      <c r="B14" s="128"/>
      <c r="C14" s="128"/>
      <c r="D14" s="128"/>
      <c r="E14" s="128"/>
      <c r="F14" s="128"/>
      <c r="G14" s="128"/>
      <c r="H14" s="128"/>
      <c r="I14" s="128"/>
      <c r="K14" s="200" t="s">
        <v>2851</v>
      </c>
      <c r="L14" s="201" t="str">
        <f>ROUNDUP(((L11 - (L7 + L9 - L8 + L10)) / L11) * 100,1)&amp;"%"</f>
        <v>85.4%</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47931</v>
      </c>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t="s">
        <v>3039</v>
      </c>
      <c r="E24" s="138"/>
      <c r="F24" s="138"/>
      <c r="G24" s="138"/>
    </row>
    <row r="25" spans="1:9" x14ac:dyDescent="0.25">
      <c r="A25" s="136" t="s">
        <v>2858</v>
      </c>
      <c r="B25" s="123"/>
      <c r="C25" s="123"/>
      <c r="D25" s="137" t="s">
        <v>3069</v>
      </c>
      <c r="E25" s="138"/>
      <c r="F25" s="138"/>
      <c r="G25" s="138"/>
    </row>
    <row r="26" spans="1:9" x14ac:dyDescent="0.25">
      <c r="A26" s="136" t="s">
        <v>2859</v>
      </c>
      <c r="B26" s="123"/>
      <c r="C26" s="123"/>
      <c r="D26" s="137">
        <v>1</v>
      </c>
      <c r="E26" s="138"/>
      <c r="F26" s="138"/>
      <c r="G26" s="138"/>
    </row>
    <row r="27" spans="1:9" x14ac:dyDescent="0.25">
      <c r="A27" s="136" t="s">
        <v>2860</v>
      </c>
      <c r="B27" s="123"/>
      <c r="C27" s="123"/>
      <c r="D27" s="137" t="s">
        <v>2898</v>
      </c>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t="b">
        <v>1</v>
      </c>
      <c r="F29" s="123" t="s">
        <v>2864</v>
      </c>
      <c r="G29" s="123"/>
    </row>
    <row r="30" spans="1:9" x14ac:dyDescent="0.25">
      <c r="A30" s="129" t="b">
        <v>1</v>
      </c>
      <c r="B30" s="123" t="s">
        <v>2865</v>
      </c>
      <c r="C30" s="123"/>
      <c r="D30" s="123"/>
      <c r="E30" s="129" t="b">
        <v>0</v>
      </c>
      <c r="F30" s="123" t="s">
        <v>2866</v>
      </c>
      <c r="G30" s="123"/>
    </row>
    <row r="31" spans="1:9" x14ac:dyDescent="0.25">
      <c r="A31" s="129" t="b">
        <v>1</v>
      </c>
      <c r="B31" s="123" t="s">
        <v>2867</v>
      </c>
      <c r="C31" s="123"/>
      <c r="D31" s="123"/>
      <c r="E31" s="123"/>
      <c r="F31" s="123"/>
      <c r="G31" s="123"/>
      <c r="I31" s="38">
        <v>45755</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45764</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2:G3"/>
    <mergeCell ref="A4:B4"/>
    <mergeCell ref="A5:B5"/>
    <mergeCell ref="A6:B6"/>
    <mergeCell ref="A32:I32"/>
    <mergeCell ref="K6:L6"/>
    <mergeCell ref="A8:B8"/>
    <mergeCell ref="A9:B9"/>
    <mergeCell ref="A10:B10"/>
    <mergeCell ref="D22:H22"/>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8969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78969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78969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78970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78970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78970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78970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78970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78970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78970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78970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78970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78970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78971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78971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78971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78971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78971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78971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78971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78971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78971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78971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78972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78972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78972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78972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78972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78972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78972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78972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78972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78972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78973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78973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78973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78973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3880D-30A5-43F4-BBE8-B538E58FEB65}">
  <sheetPr codeName="Sheet153"/>
  <dimension ref="A1:N50"/>
  <sheetViews>
    <sheetView zoomScale="115" zoomScaleNormal="115" workbookViewId="0">
      <selection activeCell="C9" sqref="C9"/>
    </sheetView>
  </sheetViews>
  <sheetFormatPr defaultRowHeight="15" x14ac:dyDescent="0.25"/>
  <cols>
    <col min="9" max="9" width="14.140625" customWidth="1"/>
    <col min="10" max="10" width="12" bestFit="1" customWidth="1"/>
    <col min="11" max="11" width="31" customWidth="1"/>
    <col min="12" max="12" width="10.7109375" bestFit="1" customWidth="1"/>
  </cols>
  <sheetData>
    <row r="1" spans="1:14" ht="15.75" thickBot="1" x14ac:dyDescent="0.3">
      <c r="A1" s="106" t="str" cm="1">
        <f t="array" aca="1" ref="A1" ca="1">MID(CELL("filename",A1),FIND("]",CELL("filename",A1))+1,256)</f>
        <v>BPA0288</v>
      </c>
    </row>
    <row r="2" spans="1:14" ht="15.75" customHeight="1" thickTop="1" x14ac:dyDescent="0.35">
      <c r="A2" s="248" t="str">
        <f ca="1">C4&amp;" - "&amp;C5&amp;" - "&amp;C7</f>
        <v>BPA0288 - Josef &amp; Catherine Kozar - 843 Bendigo-Maryborough Rd, Lockwood VIC 3551</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BPA0288</v>
      </c>
      <c r="D4" s="134"/>
      <c r="E4" s="134"/>
      <c r="F4" s="134"/>
      <c r="G4" s="134"/>
      <c r="H4" s="123"/>
      <c r="I4" s="123"/>
      <c r="N4" t="s">
        <v>1125</v>
      </c>
    </row>
    <row r="5" spans="1:14" ht="15.75" thickBot="1" x14ac:dyDescent="0.3">
      <c r="A5" s="254" t="s">
        <v>2835</v>
      </c>
      <c r="B5" s="255"/>
      <c r="C5" s="123" t="s">
        <v>356</v>
      </c>
      <c r="D5" s="123"/>
      <c r="E5" s="123"/>
      <c r="F5" s="123"/>
      <c r="G5" s="123"/>
      <c r="H5" s="123"/>
      <c r="I5" s="124"/>
      <c r="M5" s="193">
        <v>9</v>
      </c>
      <c r="N5" s="194" t="s">
        <v>2836</v>
      </c>
    </row>
    <row r="6" spans="1:14" ht="15.75" thickTop="1" x14ac:dyDescent="0.25">
      <c r="A6" s="254" t="s">
        <v>2837</v>
      </c>
      <c r="B6" s="255"/>
      <c r="C6" s="123"/>
      <c r="D6" s="123"/>
      <c r="E6" s="123"/>
      <c r="F6" s="123"/>
      <c r="G6" s="123"/>
      <c r="H6" s="123"/>
      <c r="I6" s="124"/>
      <c r="K6" s="260" t="s">
        <v>2986</v>
      </c>
      <c r="L6" s="261"/>
      <c r="M6" s="195">
        <v>10</v>
      </c>
      <c r="N6" s="194" t="s">
        <v>2839</v>
      </c>
    </row>
    <row r="7" spans="1:14" x14ac:dyDescent="0.25">
      <c r="A7" s="254" t="s">
        <v>2840</v>
      </c>
      <c r="B7" s="255"/>
      <c r="C7" s="123" t="s">
        <v>3070</v>
      </c>
      <c r="D7" s="123"/>
      <c r="E7" s="123"/>
      <c r="F7" s="123"/>
      <c r="G7" s="123"/>
      <c r="H7" s="123"/>
      <c r="I7" s="124"/>
      <c r="K7" s="196" t="s">
        <v>2841</v>
      </c>
      <c r="L7" s="197">
        <f>M5*M6</f>
        <v>90</v>
      </c>
    </row>
    <row r="8" spans="1:14" x14ac:dyDescent="0.25">
      <c r="A8" s="254" t="s">
        <v>2842</v>
      </c>
      <c r="B8" s="255"/>
      <c r="C8" s="123" t="s">
        <v>357</v>
      </c>
      <c r="D8" s="123"/>
      <c r="E8" s="123"/>
      <c r="F8" s="123"/>
      <c r="G8" s="123"/>
      <c r="H8" s="123"/>
      <c r="I8" s="124"/>
      <c r="K8" s="198" t="s">
        <v>2843</v>
      </c>
      <c r="L8" s="197"/>
    </row>
    <row r="9" spans="1:14" x14ac:dyDescent="0.25">
      <c r="A9" s="254" t="s">
        <v>2844</v>
      </c>
      <c r="B9" s="255"/>
      <c r="C9" s="140" t="s">
        <v>3071</v>
      </c>
      <c r="D9" s="123"/>
      <c r="E9" s="123"/>
      <c r="F9" s="123"/>
      <c r="G9" s="123"/>
      <c r="H9" s="123"/>
      <c r="I9" s="124"/>
      <c r="K9" s="196" t="s">
        <v>2999</v>
      </c>
      <c r="L9" s="197"/>
      <c r="M9" s="109"/>
    </row>
    <row r="10" spans="1:14" x14ac:dyDescent="0.25">
      <c r="A10" s="245" t="s">
        <v>2846</v>
      </c>
      <c r="B10" s="246"/>
      <c r="C10" s="125"/>
      <c r="D10" s="125"/>
      <c r="E10" s="125"/>
      <c r="F10" s="125"/>
      <c r="G10" s="125"/>
      <c r="H10" s="125"/>
      <c r="I10" s="126"/>
      <c r="K10" s="196" t="s">
        <v>2847</v>
      </c>
      <c r="L10" s="197"/>
      <c r="M10" s="109">
        <f>(L7+L9)/L11*100</f>
        <v>8.1521739130434785</v>
      </c>
    </row>
    <row r="11" spans="1:14" x14ac:dyDescent="0.25">
      <c r="A11" s="127"/>
      <c r="B11" s="127"/>
      <c r="C11" s="127"/>
      <c r="D11" s="127"/>
      <c r="E11" s="127"/>
      <c r="F11" s="127"/>
      <c r="G11" s="127"/>
      <c r="H11" s="127"/>
      <c r="I11" s="127"/>
      <c r="K11" s="196" t="s">
        <v>2848</v>
      </c>
      <c r="L11" s="197">
        <v>1104</v>
      </c>
      <c r="M11" s="168"/>
    </row>
    <row r="12" spans="1:14" x14ac:dyDescent="0.25">
      <c r="A12" s="128"/>
      <c r="B12" s="128"/>
      <c r="C12" s="128"/>
      <c r="D12" s="128"/>
      <c r="E12" s="128"/>
      <c r="F12" s="128"/>
      <c r="G12" s="128"/>
      <c r="H12" s="128"/>
      <c r="I12" s="128"/>
      <c r="K12" s="198" t="s">
        <v>2849</v>
      </c>
      <c r="L12" s="199" t="str">
        <f>IF(L9&gt;0,LEFT(M10,5)&amp;"%","")</f>
        <v/>
      </c>
    </row>
    <row r="13" spans="1:14" x14ac:dyDescent="0.25">
      <c r="A13" s="128"/>
      <c r="B13" s="128"/>
      <c r="C13" s="128"/>
      <c r="D13" s="128"/>
      <c r="E13" s="128"/>
      <c r="F13" s="128"/>
      <c r="G13" s="128"/>
      <c r="H13" s="128"/>
      <c r="I13" s="128"/>
      <c r="K13" s="198" t="s">
        <v>2850</v>
      </c>
      <c r="L13" s="199">
        <f>(L11 - (L7 + L9 + L10)) / L11</f>
        <v>0.91847826086956519</v>
      </c>
    </row>
    <row r="14" spans="1:14" ht="15.75" thickBot="1" x14ac:dyDescent="0.3">
      <c r="A14" s="128"/>
      <c r="B14" s="128"/>
      <c r="C14" s="128"/>
      <c r="D14" s="128"/>
      <c r="E14" s="128"/>
      <c r="F14" s="128"/>
      <c r="G14" s="128"/>
      <c r="H14" s="128"/>
      <c r="I14" s="128"/>
      <c r="K14" s="200" t="s">
        <v>2851</v>
      </c>
      <c r="L14" s="201" t="str">
        <f>ROUNDUP(((L11 - (L7 + L9 - L8 + L10)) / L11) * 100,1)&amp;"%"</f>
        <v>91.9%</v>
      </c>
    </row>
    <row r="15" spans="1:14" ht="15.75" thickTop="1" x14ac:dyDescent="0.25">
      <c r="A15" s="128"/>
      <c r="B15" s="128"/>
      <c r="C15" s="128"/>
      <c r="D15" s="128"/>
      <c r="E15" s="128"/>
      <c r="F15" s="128"/>
      <c r="G15" s="128"/>
      <c r="H15" s="128"/>
      <c r="I15" s="128"/>
    </row>
    <row r="16" spans="1:14"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38758</v>
      </c>
      <c r="E22" s="257"/>
      <c r="F22" s="257"/>
      <c r="G22" s="257"/>
      <c r="H22" s="257"/>
      <c r="I22" s="138"/>
    </row>
    <row r="23" spans="1:9" x14ac:dyDescent="0.25">
      <c r="A23" s="136" t="s">
        <v>2856</v>
      </c>
      <c r="B23" s="123"/>
      <c r="C23" s="123"/>
      <c r="D23" s="137"/>
      <c r="E23" s="138"/>
      <c r="F23" s="138"/>
      <c r="G23" s="138"/>
    </row>
    <row r="24" spans="1:9" x14ac:dyDescent="0.25">
      <c r="A24" s="136" t="s">
        <v>2857</v>
      </c>
      <c r="B24" s="123"/>
      <c r="C24" s="123"/>
      <c r="D24" s="137" t="s">
        <v>3072</v>
      </c>
      <c r="E24" s="138"/>
      <c r="F24" s="138"/>
      <c r="G24" s="138"/>
    </row>
    <row r="25" spans="1:9" x14ac:dyDescent="0.25">
      <c r="A25" s="136" t="s">
        <v>2858</v>
      </c>
      <c r="B25" s="123"/>
      <c r="C25" s="123"/>
      <c r="D25" s="137" t="s">
        <v>2930</v>
      </c>
      <c r="E25" s="138"/>
      <c r="F25" s="138"/>
      <c r="G25" s="138"/>
    </row>
    <row r="26" spans="1:9" x14ac:dyDescent="0.25">
      <c r="A26" s="136" t="s">
        <v>2859</v>
      </c>
      <c r="B26" s="123"/>
      <c r="C26" s="123"/>
      <c r="D26" s="137">
        <v>1</v>
      </c>
      <c r="E26" s="138"/>
      <c r="F26" s="138"/>
      <c r="G26" s="138"/>
    </row>
    <row r="27" spans="1:9" x14ac:dyDescent="0.25">
      <c r="A27" s="136" t="s">
        <v>2860</v>
      </c>
      <c r="B27" s="123"/>
      <c r="C27" s="123"/>
      <c r="D27" s="137"/>
      <c r="E27" s="138"/>
      <c r="F27" s="138"/>
      <c r="G27" s="138"/>
    </row>
    <row r="28" spans="1:9" x14ac:dyDescent="0.25">
      <c r="A28" s="129" t="b">
        <v>1</v>
      </c>
      <c r="B28" s="123" t="s">
        <v>2861</v>
      </c>
      <c r="C28" s="123"/>
      <c r="D28" s="123"/>
      <c r="E28" s="129" t="b">
        <v>1</v>
      </c>
      <c r="F28" s="123" t="s">
        <v>2862</v>
      </c>
      <c r="G28" s="123"/>
    </row>
    <row r="29" spans="1:9" x14ac:dyDescent="0.25">
      <c r="A29" s="129" t="b">
        <v>1</v>
      </c>
      <c r="B29" s="123" t="s">
        <v>2863</v>
      </c>
      <c r="C29" s="123"/>
      <c r="D29" s="123"/>
      <c r="E29" s="129"/>
      <c r="F29" s="123" t="s">
        <v>2864</v>
      </c>
      <c r="G29" s="123"/>
    </row>
    <row r="30" spans="1:9" x14ac:dyDescent="0.25">
      <c r="A30" s="129" t="b">
        <v>1</v>
      </c>
      <c r="B30" s="123" t="s">
        <v>2865</v>
      </c>
      <c r="C30" s="123"/>
      <c r="D30" s="123"/>
      <c r="E30" s="129" t="b">
        <v>1</v>
      </c>
      <c r="F30" s="123" t="s">
        <v>2866</v>
      </c>
      <c r="G30" s="123"/>
    </row>
    <row r="31" spans="1:9" x14ac:dyDescent="0.25">
      <c r="A31" s="129"/>
      <c r="B31" s="123" t="s">
        <v>2867</v>
      </c>
      <c r="C31" s="123"/>
      <c r="D31" s="123"/>
      <c r="E31" s="123"/>
      <c r="F31" s="123"/>
      <c r="G31" s="123"/>
      <c r="I31" s="38">
        <v>45751</v>
      </c>
    </row>
    <row r="32" spans="1:9"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85" t="s">
        <v>2880</v>
      </c>
      <c r="I36" s="123"/>
    </row>
    <row r="37" spans="1:9" ht="15.75" thickBot="1" x14ac:dyDescent="0.3">
      <c r="A37" s="130" t="b">
        <v>0</v>
      </c>
      <c r="B37" s="131" t="s">
        <v>2881</v>
      </c>
      <c r="C37" s="131"/>
      <c r="D37" s="131"/>
      <c r="E37" s="131"/>
      <c r="F37" s="131"/>
      <c r="G37" s="131"/>
      <c r="H37" s="131"/>
      <c r="I37" s="144">
        <v>45762</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K6:L6"/>
    <mergeCell ref="A8:B8"/>
    <mergeCell ref="A9:B9"/>
    <mergeCell ref="A10:B10"/>
    <mergeCell ref="D22:H22"/>
    <mergeCell ref="A7:B7"/>
    <mergeCell ref="A2:G3"/>
    <mergeCell ref="A4:B4"/>
    <mergeCell ref="A5:B5"/>
    <mergeCell ref="A6:B6"/>
    <mergeCell ref="A32:I32"/>
  </mergeCells>
  <hyperlinks>
    <hyperlink ref="C9" r:id="rId1" xr:uid="{DDF7672A-929C-43E1-9BF7-2751A0C2A14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4906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4906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4906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4906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4906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4906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4906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4906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4906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4906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4906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4907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4907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4907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4907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4907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4907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4907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4907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49070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4907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4907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4907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4907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4907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4907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4907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4907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4907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4907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4907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4907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4907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4907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4907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4907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4907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C57A4-CD15-4636-A803-4B10FCA377B1}">
  <sheetPr codeName="Sheet151"/>
  <dimension ref="A1:N50"/>
  <sheetViews>
    <sheetView topLeftCell="B1" zoomScale="115" zoomScaleNormal="115" workbookViewId="0">
      <selection activeCell="K22" sqref="K22"/>
    </sheetView>
  </sheetViews>
  <sheetFormatPr defaultRowHeight="15" x14ac:dyDescent="0.25"/>
  <cols>
    <col min="9" max="9" width="14.140625" customWidth="1"/>
    <col min="10" max="10" width="12" bestFit="1" customWidth="1"/>
    <col min="11" max="11" width="36.5703125" customWidth="1"/>
  </cols>
  <sheetData>
    <row r="1" spans="1:14" ht="15.75" thickBot="1" x14ac:dyDescent="0.3">
      <c r="A1" s="106" t="str" cm="1">
        <f t="array" aca="1" ref="A1" ca="1">MID(CELL("filename",A1),FIND("]",CELL("filename",A1))+1,256)</f>
        <v>BPA0285</v>
      </c>
    </row>
    <row r="2" spans="1:14" ht="15.75" customHeight="1" thickTop="1" x14ac:dyDescent="0.35">
      <c r="A2" s="248" t="str">
        <f ca="1">C4&amp;" - "&amp;C5&amp;" - "&amp;C7</f>
        <v>BPA0285 - Reuben Worseldine - 557 Munro-Stockdale Rd, Munro VIC 3862</v>
      </c>
      <c r="B2" s="249"/>
      <c r="C2" s="249"/>
      <c r="D2" s="249"/>
      <c r="E2" s="249"/>
      <c r="F2" s="249"/>
      <c r="G2" s="250"/>
      <c r="H2" s="132"/>
    </row>
    <row r="3" spans="1:14" ht="15.75" customHeight="1" thickBot="1" x14ac:dyDescent="0.4">
      <c r="A3" s="251"/>
      <c r="B3" s="252"/>
      <c r="C3" s="252"/>
      <c r="D3" s="252"/>
      <c r="E3" s="252"/>
      <c r="F3" s="252"/>
      <c r="G3" s="253"/>
      <c r="H3" s="132"/>
    </row>
    <row r="4" spans="1:14" ht="15.75" thickTop="1" x14ac:dyDescent="0.25">
      <c r="A4" s="258" t="s">
        <v>2834</v>
      </c>
      <c r="B4" s="259"/>
      <c r="C4" s="134" t="str">
        <f ca="1">A1</f>
        <v>BPA0285</v>
      </c>
      <c r="D4" s="134"/>
      <c r="E4" s="134"/>
      <c r="F4" s="134"/>
      <c r="G4" s="134"/>
      <c r="H4" s="123"/>
      <c r="I4" s="123"/>
    </row>
    <row r="5" spans="1:14" x14ac:dyDescent="0.25">
      <c r="A5" s="254" t="s">
        <v>2835</v>
      </c>
      <c r="B5" s="255"/>
      <c r="C5" s="123" t="s">
        <v>349</v>
      </c>
      <c r="D5" s="123"/>
      <c r="E5" s="123"/>
      <c r="F5" s="123"/>
      <c r="G5" s="123"/>
      <c r="H5" s="123"/>
      <c r="I5" s="124"/>
    </row>
    <row r="6" spans="1:14" x14ac:dyDescent="0.25">
      <c r="A6" s="254" t="s">
        <v>2837</v>
      </c>
      <c r="B6" s="255"/>
      <c r="C6" s="123"/>
      <c r="D6" s="123"/>
      <c r="E6" s="123"/>
      <c r="F6" s="123"/>
      <c r="G6" s="123"/>
      <c r="H6" s="123"/>
      <c r="I6" s="124"/>
    </row>
    <row r="7" spans="1:14" x14ac:dyDescent="0.25">
      <c r="A7" s="254" t="s">
        <v>2840</v>
      </c>
      <c r="B7" s="255"/>
      <c r="C7" s="123" t="s">
        <v>3073</v>
      </c>
      <c r="D7" s="123"/>
      <c r="E7" s="123"/>
      <c r="F7" s="123"/>
      <c r="G7" s="123"/>
      <c r="H7" s="123"/>
      <c r="I7" s="124"/>
      <c r="N7" t="s">
        <v>1125</v>
      </c>
    </row>
    <row r="8" spans="1:14" ht="15.75" thickBot="1" x14ac:dyDescent="0.3">
      <c r="A8" s="254" t="s">
        <v>2842</v>
      </c>
      <c r="B8" s="255"/>
      <c r="C8" s="123" t="s">
        <v>350</v>
      </c>
      <c r="D8" s="123"/>
      <c r="E8" s="123"/>
      <c r="F8" s="123"/>
      <c r="G8" s="123"/>
      <c r="H8" s="123"/>
      <c r="I8" s="124"/>
      <c r="M8" s="193">
        <v>12</v>
      </c>
      <c r="N8" s="194" t="s">
        <v>2836</v>
      </c>
    </row>
    <row r="9" spans="1:14" ht="15.75" thickTop="1" x14ac:dyDescent="0.25">
      <c r="A9" s="254" t="s">
        <v>2844</v>
      </c>
      <c r="B9" s="255"/>
      <c r="C9" s="123" t="s">
        <v>3074</v>
      </c>
      <c r="D9" s="123"/>
      <c r="E9" s="123"/>
      <c r="F9" s="123"/>
      <c r="G9" s="123"/>
      <c r="H9" s="123"/>
      <c r="I9" s="124"/>
      <c r="K9" s="260" t="s">
        <v>2986</v>
      </c>
      <c r="L9" s="261"/>
      <c r="M9" s="195">
        <v>15.2</v>
      </c>
      <c r="N9" s="194" t="s">
        <v>2839</v>
      </c>
    </row>
    <row r="10" spans="1:14" x14ac:dyDescent="0.25">
      <c r="A10" s="245" t="s">
        <v>2846</v>
      </c>
      <c r="B10" s="246"/>
      <c r="C10" s="125"/>
      <c r="D10" s="125"/>
      <c r="E10" s="125"/>
      <c r="F10" s="125"/>
      <c r="G10" s="125"/>
      <c r="H10" s="125"/>
      <c r="I10" s="126"/>
      <c r="K10" s="196" t="s">
        <v>2841</v>
      </c>
      <c r="L10" s="197">
        <f>M8*M9</f>
        <v>182.39999999999998</v>
      </c>
    </row>
    <row r="11" spans="1:14" x14ac:dyDescent="0.25">
      <c r="A11" s="127"/>
      <c r="B11" s="127"/>
      <c r="C11" s="127"/>
      <c r="D11" s="127"/>
      <c r="E11" s="127"/>
      <c r="F11" s="127"/>
      <c r="G11" s="127"/>
      <c r="H11" s="127"/>
      <c r="I11" s="127"/>
      <c r="K11" s="198" t="s">
        <v>2843</v>
      </c>
      <c r="L11" s="197">
        <v>26</v>
      </c>
    </row>
    <row r="12" spans="1:14" x14ac:dyDescent="0.25">
      <c r="A12" s="128"/>
      <c r="B12" s="128"/>
      <c r="C12" s="128"/>
      <c r="D12" s="128"/>
      <c r="E12" s="128"/>
      <c r="F12" s="128"/>
      <c r="G12" s="128"/>
      <c r="H12" s="128"/>
      <c r="I12" s="128"/>
      <c r="K12" s="196" t="s">
        <v>2999</v>
      </c>
      <c r="L12" s="197">
        <f>97+262</f>
        <v>359</v>
      </c>
      <c r="M12" s="109"/>
    </row>
    <row r="13" spans="1:14" x14ac:dyDescent="0.25">
      <c r="A13" s="128"/>
      <c r="B13" s="128"/>
      <c r="C13" s="128"/>
      <c r="D13" s="128"/>
      <c r="E13" s="128"/>
      <c r="F13" s="128"/>
      <c r="G13" s="128"/>
      <c r="H13" s="128"/>
      <c r="I13" s="128"/>
      <c r="K13" s="196" t="s">
        <v>2847</v>
      </c>
      <c r="L13" s="197">
        <v>0</v>
      </c>
      <c r="M13" s="109">
        <f>(L10+L12)/L14*100</f>
        <v>4.2296874999999998</v>
      </c>
    </row>
    <row r="14" spans="1:14" x14ac:dyDescent="0.25">
      <c r="A14" s="128"/>
      <c r="B14" s="128"/>
      <c r="C14" s="128"/>
      <c r="D14" s="128"/>
      <c r="E14" s="128"/>
      <c r="F14" s="128"/>
      <c r="G14" s="128"/>
      <c r="H14" s="128"/>
      <c r="I14" s="128"/>
      <c r="K14" s="196" t="s">
        <v>2848</v>
      </c>
      <c r="L14" s="197">
        <v>12800</v>
      </c>
      <c r="M14" s="168"/>
    </row>
    <row r="15" spans="1:14" x14ac:dyDescent="0.25">
      <c r="A15" s="128"/>
      <c r="B15" s="128"/>
      <c r="C15" s="128"/>
      <c r="D15" s="128"/>
      <c r="E15" s="128"/>
      <c r="F15" s="128"/>
      <c r="G15" s="128"/>
      <c r="H15" s="128"/>
      <c r="I15" s="128"/>
      <c r="K15" s="198" t="s">
        <v>2849</v>
      </c>
      <c r="L15" s="199" t="str">
        <f>IF(L12&gt;0,LEFT(M13,5)&amp;"%","")</f>
        <v>4.229%</v>
      </c>
    </row>
    <row r="16" spans="1:14" x14ac:dyDescent="0.25">
      <c r="A16" s="128"/>
      <c r="B16" s="128"/>
      <c r="C16" s="128"/>
      <c r="D16" s="128"/>
      <c r="E16" s="128"/>
      <c r="F16" s="128"/>
      <c r="G16" s="128"/>
      <c r="H16" s="128"/>
      <c r="I16" s="128"/>
      <c r="K16" s="198" t="s">
        <v>2850</v>
      </c>
      <c r="L16" s="199">
        <f>(L14 - (L10 + L12 + L13)) / L14</f>
        <v>0.95770312499999999</v>
      </c>
    </row>
    <row r="17" spans="1:12" ht="15.75" thickBot="1" x14ac:dyDescent="0.3">
      <c r="A17" s="128"/>
      <c r="B17" s="128"/>
      <c r="C17" s="128"/>
      <c r="D17" s="128"/>
      <c r="E17" s="128"/>
      <c r="F17" s="128"/>
      <c r="G17" s="128"/>
      <c r="H17" s="128"/>
      <c r="I17" s="128"/>
      <c r="K17" s="200" t="s">
        <v>2851</v>
      </c>
      <c r="L17" s="201" t="str">
        <f>ROUNDUP(((L14 - (L10 + L12 - L11 + L13)) / L14) * 100,1)&amp;"%"</f>
        <v>96%</v>
      </c>
    </row>
    <row r="18" spans="1:12" ht="15.75" thickTop="1" x14ac:dyDescent="0.25">
      <c r="A18" s="128"/>
      <c r="B18" s="128"/>
      <c r="C18" s="128"/>
      <c r="D18" s="128"/>
      <c r="E18" s="128"/>
      <c r="F18" s="128"/>
      <c r="G18" s="128"/>
      <c r="H18" s="128"/>
      <c r="I18" s="128"/>
    </row>
    <row r="19" spans="1:12" x14ac:dyDescent="0.25">
      <c r="A19" s="128"/>
      <c r="B19" s="128"/>
      <c r="C19" s="128"/>
      <c r="D19" s="128"/>
      <c r="E19" s="128"/>
      <c r="F19" s="128"/>
      <c r="G19" s="128"/>
      <c r="H19" s="128"/>
      <c r="I19" s="128"/>
    </row>
    <row r="20" spans="1:12" x14ac:dyDescent="0.25">
      <c r="A20" s="136" t="s">
        <v>2852</v>
      </c>
      <c r="B20" s="123"/>
      <c r="C20" s="123"/>
      <c r="D20" s="123"/>
      <c r="E20" s="123"/>
      <c r="F20" s="123"/>
      <c r="G20" s="123"/>
      <c r="H20" s="123"/>
      <c r="I20" s="123"/>
    </row>
    <row r="21" spans="1:12" x14ac:dyDescent="0.25">
      <c r="A21" s="136" t="s">
        <v>2853</v>
      </c>
      <c r="B21" s="123"/>
      <c r="C21" s="123"/>
      <c r="D21" s="137" t="s">
        <v>2929</v>
      </c>
      <c r="E21" s="138"/>
      <c r="F21" s="138"/>
      <c r="G21" s="138"/>
      <c r="H21" s="138"/>
      <c r="I21" s="138"/>
    </row>
    <row r="22" spans="1:12" ht="15.75" thickBot="1" x14ac:dyDescent="0.3">
      <c r="A22" s="136" t="s">
        <v>2855</v>
      </c>
      <c r="B22" s="123"/>
      <c r="C22" s="123"/>
      <c r="D22" s="256">
        <v>75353</v>
      </c>
      <c r="E22" s="257"/>
      <c r="F22" s="257"/>
      <c r="G22" s="257"/>
      <c r="H22" s="257"/>
      <c r="I22" s="138"/>
    </row>
    <row r="23" spans="1:12" ht="15.75" thickBot="1" x14ac:dyDescent="0.3">
      <c r="A23" s="136" t="s">
        <v>2856</v>
      </c>
      <c r="B23" s="123"/>
      <c r="C23" s="123"/>
      <c r="D23" s="137" t="s">
        <v>3075</v>
      </c>
      <c r="E23" s="138"/>
      <c r="F23" s="138"/>
      <c r="G23" s="138"/>
      <c r="H23" s="262" t="s">
        <v>2986</v>
      </c>
      <c r="I23" s="263"/>
    </row>
    <row r="24" spans="1:12" x14ac:dyDescent="0.25">
      <c r="A24" s="136" t="s">
        <v>2857</v>
      </c>
      <c r="B24" s="123"/>
      <c r="C24" s="123"/>
      <c r="D24" s="137" t="s">
        <v>3029</v>
      </c>
      <c r="E24" s="138"/>
      <c r="F24" s="138"/>
      <c r="G24" s="138"/>
      <c r="H24" s="186" t="s">
        <v>3076</v>
      </c>
      <c r="I24" s="187">
        <v>180</v>
      </c>
    </row>
    <row r="25" spans="1:12" x14ac:dyDescent="0.25">
      <c r="A25" s="136" t="s">
        <v>2858</v>
      </c>
      <c r="B25" s="123"/>
      <c r="C25" s="123"/>
      <c r="D25" s="137" t="s">
        <v>2930</v>
      </c>
      <c r="E25" s="138"/>
      <c r="F25" s="138"/>
      <c r="G25" s="138"/>
      <c r="H25" s="188" t="s">
        <v>3077</v>
      </c>
      <c r="I25" s="189">
        <v>313</v>
      </c>
    </row>
    <row r="26" spans="1:12" x14ac:dyDescent="0.25">
      <c r="A26" s="136" t="s">
        <v>2859</v>
      </c>
      <c r="B26" s="123"/>
      <c r="C26" s="123"/>
      <c r="D26" s="137">
        <v>1</v>
      </c>
      <c r="E26" s="138"/>
      <c r="F26" s="138"/>
      <c r="G26" s="138"/>
      <c r="H26" s="188" t="s">
        <v>2847</v>
      </c>
      <c r="I26" s="189">
        <v>0</v>
      </c>
      <c r="J26" s="109"/>
      <c r="L26" t="s">
        <v>1125</v>
      </c>
    </row>
    <row r="27" spans="1:12" x14ac:dyDescent="0.25">
      <c r="A27" s="136" t="s">
        <v>2860</v>
      </c>
      <c r="B27" s="123"/>
      <c r="C27" s="123"/>
      <c r="D27" s="137" t="s">
        <v>3078</v>
      </c>
      <c r="E27" s="138"/>
      <c r="F27" s="138"/>
      <c r="G27" s="138"/>
      <c r="H27" s="188" t="s">
        <v>2848</v>
      </c>
      <c r="I27" s="189">
        <v>13000</v>
      </c>
      <c r="J27" s="109">
        <f>(I24+I25)/I27*100</f>
        <v>3.7923076923076922</v>
      </c>
      <c r="K27" s="193">
        <v>12</v>
      </c>
      <c r="L27" s="194" t="s">
        <v>2836</v>
      </c>
    </row>
    <row r="28" spans="1:12" x14ac:dyDescent="0.25">
      <c r="A28" s="129" t="b">
        <v>1</v>
      </c>
      <c r="B28" s="123" t="s">
        <v>2861</v>
      </c>
      <c r="C28" s="123"/>
      <c r="D28" s="123"/>
      <c r="E28" s="129" t="b">
        <v>1</v>
      </c>
      <c r="F28" s="123" t="s">
        <v>2862</v>
      </c>
      <c r="G28" s="123"/>
      <c r="H28" s="188" t="s">
        <v>2849</v>
      </c>
      <c r="I28" s="190" t="str">
        <f>IF(I25&gt;0,LEFT(J27,5)&amp;"%","")</f>
        <v>3.792%</v>
      </c>
      <c r="J28" s="168"/>
      <c r="K28" s="193">
        <v>15</v>
      </c>
      <c r="L28" s="194" t="s">
        <v>2839</v>
      </c>
    </row>
    <row r="29" spans="1:12" ht="15.75" thickBot="1" x14ac:dyDescent="0.3">
      <c r="A29" s="129" t="b">
        <v>1</v>
      </c>
      <c r="B29" s="123" t="s">
        <v>2863</v>
      </c>
      <c r="C29" s="123"/>
      <c r="D29" s="123"/>
      <c r="E29" s="129" t="b">
        <v>0</v>
      </c>
      <c r="F29" s="123" t="s">
        <v>2864</v>
      </c>
      <c r="G29" s="123"/>
      <c r="H29" s="191" t="s">
        <v>2850</v>
      </c>
      <c r="I29" s="192">
        <f>(I27 - (I24 + I25 + I26)) / I27</f>
        <v>0.96207692307692305</v>
      </c>
    </row>
    <row r="30" spans="1:12" x14ac:dyDescent="0.25">
      <c r="A30" s="129" t="b">
        <v>1</v>
      </c>
      <c r="B30" s="123" t="s">
        <v>2865</v>
      </c>
      <c r="C30" s="123"/>
      <c r="D30" s="123"/>
      <c r="E30" s="129" t="b">
        <v>1</v>
      </c>
      <c r="F30" s="123" t="s">
        <v>2866</v>
      </c>
      <c r="G30" s="123"/>
      <c r="H30" s="123"/>
      <c r="I30" s="123"/>
    </row>
    <row r="31" spans="1:12" x14ac:dyDescent="0.25">
      <c r="A31" s="129"/>
      <c r="B31" s="123" t="s">
        <v>2867</v>
      </c>
      <c r="C31" s="123"/>
      <c r="D31" s="123"/>
      <c r="E31" s="123"/>
      <c r="F31" s="123"/>
      <c r="G31" s="123"/>
      <c r="H31" s="123"/>
      <c r="I31" s="143">
        <v>45744</v>
      </c>
    </row>
    <row r="32" spans="1:12"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2">
    <mergeCell ref="A10:B10"/>
    <mergeCell ref="D22:H22"/>
    <mergeCell ref="H23:I23"/>
    <mergeCell ref="A32:I32"/>
    <mergeCell ref="K9:L9"/>
    <mergeCell ref="A9:B9"/>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35041"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335042"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335043"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335044"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335045"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335046"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335047"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335048"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335049"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335050"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335051"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335052"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335053"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335054"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335055"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335056"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335057" r:id="rId20" name="Check Box 17">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1335058"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335059"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335060"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335061" r:id="rId24" name="Check Box 21">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1335062" r:id="rId25" name="Check Box 22">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1335063"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335064"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335065"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335066"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335067"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335068"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335069"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335070"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335071"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335072"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335073"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335074"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335075"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335076"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335077"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E273B-EF22-471C-9986-CD8BBA74673F}">
  <sheetPr codeName="Sheet99"/>
  <dimension ref="A1:L50"/>
  <sheetViews>
    <sheetView workbookViewId="0">
      <selection activeCell="N25" sqref="N25"/>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BPA0280</v>
      </c>
    </row>
    <row r="2" spans="1:9" ht="15.75" customHeight="1" thickTop="1" x14ac:dyDescent="0.35">
      <c r="A2" s="248" t="str">
        <f ca="1">C4&amp;" - "&amp;C5&amp;" - "&amp;C7</f>
        <v>BPA0280 - Dirk Blitz - 12 Belcher Way, Gisborne VIC 3437</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BPA0280</v>
      </c>
      <c r="D4" s="134"/>
      <c r="E4" s="134"/>
      <c r="F4" s="134"/>
      <c r="G4" s="134"/>
      <c r="H4" s="123"/>
      <c r="I4" s="123"/>
    </row>
    <row r="5" spans="1:9" x14ac:dyDescent="0.25">
      <c r="A5" s="254" t="s">
        <v>2835</v>
      </c>
      <c r="B5" s="255"/>
      <c r="C5" s="123" t="s">
        <v>343</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3079</v>
      </c>
      <c r="D7" s="123"/>
      <c r="E7" s="123"/>
      <c r="F7" s="123"/>
      <c r="G7" s="123"/>
      <c r="H7" s="123"/>
      <c r="I7" s="124"/>
    </row>
    <row r="8" spans="1:9" x14ac:dyDescent="0.25">
      <c r="A8" s="254" t="s">
        <v>2842</v>
      </c>
      <c r="B8" s="255"/>
      <c r="C8" s="123" t="s">
        <v>344</v>
      </c>
      <c r="D8" s="123"/>
      <c r="E8" s="123"/>
      <c r="F8" s="123"/>
      <c r="G8" s="123"/>
      <c r="H8" s="123"/>
      <c r="I8" s="124"/>
    </row>
    <row r="9" spans="1:9" x14ac:dyDescent="0.25">
      <c r="A9" s="254" t="s">
        <v>2844</v>
      </c>
      <c r="B9" s="255"/>
      <c r="C9" s="140" t="s">
        <v>3080</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2" x14ac:dyDescent="0.25">
      <c r="A17" s="128"/>
      <c r="B17" s="128"/>
      <c r="C17" s="128"/>
      <c r="D17" s="128"/>
      <c r="E17" s="128"/>
      <c r="F17" s="128"/>
      <c r="G17" s="128"/>
      <c r="H17" s="128"/>
      <c r="I17" s="128"/>
    </row>
    <row r="18" spans="1:12" x14ac:dyDescent="0.25">
      <c r="A18" s="128"/>
      <c r="B18" s="128"/>
      <c r="C18" s="128"/>
      <c r="D18" s="128"/>
      <c r="E18" s="128"/>
      <c r="F18" s="128"/>
      <c r="G18" s="128"/>
      <c r="H18" s="128"/>
      <c r="I18" s="128"/>
    </row>
    <row r="19" spans="1:12" x14ac:dyDescent="0.25">
      <c r="A19" s="128"/>
      <c r="B19" s="128"/>
      <c r="C19" s="128"/>
      <c r="D19" s="128"/>
      <c r="E19" s="128"/>
      <c r="F19" s="128"/>
      <c r="G19" s="128"/>
      <c r="H19" s="128"/>
      <c r="I19" s="128"/>
    </row>
    <row r="20" spans="1:12" x14ac:dyDescent="0.25">
      <c r="A20" s="136" t="s">
        <v>2852</v>
      </c>
      <c r="B20" s="123"/>
      <c r="C20" s="123"/>
      <c r="D20" s="123"/>
      <c r="E20" s="123"/>
      <c r="F20" s="123"/>
      <c r="G20" s="123"/>
      <c r="H20" s="123"/>
      <c r="I20" s="123"/>
    </row>
    <row r="21" spans="1:12" x14ac:dyDescent="0.25">
      <c r="A21" s="136" t="s">
        <v>2853</v>
      </c>
      <c r="B21" s="123"/>
      <c r="C21" s="123"/>
      <c r="D21" s="137" t="s">
        <v>2929</v>
      </c>
      <c r="E21" s="138"/>
      <c r="F21" s="138"/>
      <c r="G21" s="138"/>
      <c r="H21" s="138"/>
      <c r="I21" s="138"/>
    </row>
    <row r="22" spans="1:12" ht="15.75" thickBot="1" x14ac:dyDescent="0.3">
      <c r="A22" s="136" t="s">
        <v>2855</v>
      </c>
      <c r="B22" s="123"/>
      <c r="C22" s="123"/>
      <c r="D22" s="256"/>
      <c r="E22" s="257"/>
      <c r="F22" s="257"/>
      <c r="G22" s="257"/>
      <c r="H22" s="257"/>
      <c r="I22" s="138"/>
    </row>
    <row r="23" spans="1:12" ht="15.75" thickBot="1" x14ac:dyDescent="0.3">
      <c r="A23" s="136" t="s">
        <v>2856</v>
      </c>
      <c r="B23" s="123"/>
      <c r="C23" s="123"/>
      <c r="D23" s="137"/>
      <c r="E23" s="138"/>
      <c r="F23" s="138"/>
      <c r="G23" s="138"/>
      <c r="H23" s="262" t="s">
        <v>2986</v>
      </c>
      <c r="I23" s="263"/>
    </row>
    <row r="24" spans="1:12" x14ac:dyDescent="0.25">
      <c r="A24" s="136" t="s">
        <v>2857</v>
      </c>
      <c r="B24" s="123"/>
      <c r="C24" s="123"/>
      <c r="D24" s="137" t="s">
        <v>3081</v>
      </c>
      <c r="E24" s="138"/>
      <c r="F24" s="138"/>
      <c r="G24" s="138"/>
      <c r="H24" s="186" t="s">
        <v>3076</v>
      </c>
      <c r="I24" s="187">
        <f>K27*K28</f>
        <v>28</v>
      </c>
    </row>
    <row r="25" spans="1:12" x14ac:dyDescent="0.25">
      <c r="A25" s="136" t="s">
        <v>2858</v>
      </c>
      <c r="B25" s="123"/>
      <c r="C25" s="123"/>
      <c r="D25" s="137"/>
      <c r="E25" s="138"/>
      <c r="F25" s="138"/>
      <c r="G25" s="138"/>
      <c r="H25" s="188" t="s">
        <v>3077</v>
      </c>
      <c r="I25" s="189">
        <v>245</v>
      </c>
    </row>
    <row r="26" spans="1:12" x14ac:dyDescent="0.25">
      <c r="A26" s="136" t="s">
        <v>2859</v>
      </c>
      <c r="B26" s="123"/>
      <c r="C26" s="123"/>
      <c r="D26" s="137"/>
      <c r="E26" s="138"/>
      <c r="F26" s="138"/>
      <c r="G26" s="138"/>
      <c r="H26" s="188" t="s">
        <v>2847</v>
      </c>
      <c r="I26" s="189">
        <f>24+35.5+55</f>
        <v>114.5</v>
      </c>
      <c r="J26" s="109"/>
      <c r="L26" t="s">
        <v>1125</v>
      </c>
    </row>
    <row r="27" spans="1:12" x14ac:dyDescent="0.25">
      <c r="A27" s="136" t="s">
        <v>2860</v>
      </c>
      <c r="B27" s="123"/>
      <c r="C27" s="123"/>
      <c r="D27" s="137"/>
      <c r="E27" s="138"/>
      <c r="F27" s="138"/>
      <c r="G27" s="138"/>
      <c r="H27" s="188" t="s">
        <v>2848</v>
      </c>
      <c r="I27" s="189">
        <v>626</v>
      </c>
      <c r="J27" s="109">
        <f>(I24+I25)/I27*100</f>
        <v>43.610223642172521</v>
      </c>
      <c r="K27" s="193">
        <v>4</v>
      </c>
      <c r="L27" s="194" t="s">
        <v>2836</v>
      </c>
    </row>
    <row r="28" spans="1:12" x14ac:dyDescent="0.25">
      <c r="A28" s="129" t="b">
        <v>1</v>
      </c>
      <c r="B28" s="123" t="s">
        <v>2861</v>
      </c>
      <c r="C28" s="123"/>
      <c r="D28" s="123"/>
      <c r="E28" s="129" t="b">
        <v>0</v>
      </c>
      <c r="F28" s="123" t="s">
        <v>2862</v>
      </c>
      <c r="G28" s="123"/>
      <c r="H28" s="188" t="s">
        <v>2849</v>
      </c>
      <c r="I28" s="190" t="str">
        <f>IF(I25&gt;0,LEFT(J27,5)&amp;"%","")</f>
        <v>43.61%</v>
      </c>
      <c r="J28" s="168"/>
      <c r="K28" s="193">
        <v>7</v>
      </c>
      <c r="L28" s="194" t="s">
        <v>2839</v>
      </c>
    </row>
    <row r="29" spans="1:12" ht="15.75" thickBot="1" x14ac:dyDescent="0.3">
      <c r="A29" s="129" t="b">
        <v>1</v>
      </c>
      <c r="B29" s="123" t="s">
        <v>2863</v>
      </c>
      <c r="C29" s="123"/>
      <c r="D29" s="123"/>
      <c r="E29" s="129" t="b">
        <v>1</v>
      </c>
      <c r="F29" s="123" t="s">
        <v>2864</v>
      </c>
      <c r="G29" s="123"/>
      <c r="H29" s="191" t="s">
        <v>2850</v>
      </c>
      <c r="I29" s="192">
        <f>(I27 - (I24 + I25 + I26)) / I27</f>
        <v>0.38099041533546324</v>
      </c>
    </row>
    <row r="30" spans="1:12" x14ac:dyDescent="0.25">
      <c r="A30" s="129" t="b">
        <v>1</v>
      </c>
      <c r="B30" s="123" t="s">
        <v>2865</v>
      </c>
      <c r="C30" s="123"/>
      <c r="D30" s="123"/>
      <c r="E30" s="129" t="b">
        <v>1</v>
      </c>
      <c r="F30" s="123" t="s">
        <v>2866</v>
      </c>
      <c r="G30" s="123"/>
      <c r="H30" s="123"/>
      <c r="I30" s="123"/>
    </row>
    <row r="31" spans="1:12" x14ac:dyDescent="0.25">
      <c r="A31" s="129" t="b">
        <v>1</v>
      </c>
      <c r="B31" s="123" t="s">
        <v>2867</v>
      </c>
      <c r="C31" s="123"/>
      <c r="D31" s="123"/>
      <c r="E31" s="123"/>
      <c r="F31" s="123"/>
      <c r="G31" s="123"/>
      <c r="H31" s="123"/>
      <c r="I31" s="143">
        <v>45740</v>
      </c>
    </row>
    <row r="32" spans="1:12"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85"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B39F2FCA-33F1-45AA-A1B1-3D06D4D9D41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18041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18041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18041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18042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18042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18042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18042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18042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18042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18042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18042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18042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18042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18043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18043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18043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180433" r:id="rId21" name="Check Box 17">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118043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18043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18043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180437" r:id="rId25" name="Check Box 21">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1180438" r:id="rId26" name="Check Box 22">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118043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18044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18044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18044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18044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18044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18044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18044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18044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18044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18044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18045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18045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18045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18045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B473E-7640-44A2-85BB-3C0C62DB6354}">
  <sheetPr codeName="Sheet65"/>
  <dimension ref="A1:L50"/>
  <sheetViews>
    <sheetView workbookViewId="0">
      <selection activeCell="K42" sqref="K42"/>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E0020</v>
      </c>
    </row>
    <row r="2" spans="1:9" ht="15.75" customHeight="1" thickTop="1" x14ac:dyDescent="0.35">
      <c r="A2" s="248" t="str">
        <f ca="1">C4&amp;" - "&amp;C5&amp;" - "&amp;C7</f>
        <v>E0020 - Keith Stammers - 27 Wrixon St, Romsey VIC 3434</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E0020</v>
      </c>
      <c r="D4" s="134"/>
      <c r="E4" s="134"/>
      <c r="F4" s="134"/>
      <c r="G4" s="134"/>
      <c r="H4" s="123"/>
      <c r="I4" s="123"/>
    </row>
    <row r="5" spans="1:9" x14ac:dyDescent="0.25">
      <c r="A5" s="254" t="s">
        <v>2835</v>
      </c>
      <c r="B5" s="255"/>
      <c r="C5" s="123" t="s">
        <v>2399</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3082</v>
      </c>
      <c r="D7" s="123"/>
      <c r="E7" s="123"/>
      <c r="F7" s="123"/>
      <c r="G7" s="123"/>
      <c r="H7" s="123"/>
      <c r="I7" s="124"/>
    </row>
    <row r="8" spans="1:9" x14ac:dyDescent="0.25">
      <c r="A8" s="254" t="s">
        <v>2842</v>
      </c>
      <c r="B8" s="255"/>
      <c r="C8" s="123" t="s">
        <v>2400</v>
      </c>
      <c r="D8" s="123"/>
      <c r="E8" s="123"/>
      <c r="F8" s="123"/>
      <c r="G8" s="123"/>
      <c r="H8" s="123"/>
      <c r="I8" s="124"/>
    </row>
    <row r="9" spans="1:9" x14ac:dyDescent="0.25">
      <c r="A9" s="254" t="s">
        <v>2844</v>
      </c>
      <c r="B9" s="255"/>
      <c r="C9" s="140" t="s">
        <v>3083</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2" x14ac:dyDescent="0.25">
      <c r="A17" s="128"/>
      <c r="B17" s="128"/>
      <c r="C17" s="128"/>
      <c r="D17" s="128"/>
      <c r="E17" s="128"/>
      <c r="F17" s="128"/>
      <c r="G17" s="128"/>
      <c r="H17" s="128"/>
      <c r="I17" s="128"/>
    </row>
    <row r="18" spans="1:12" x14ac:dyDescent="0.25">
      <c r="A18" s="128"/>
      <c r="B18" s="128"/>
      <c r="C18" s="128"/>
      <c r="D18" s="128"/>
      <c r="E18" s="128"/>
      <c r="F18" s="128"/>
      <c r="G18" s="128"/>
      <c r="H18" s="128"/>
      <c r="I18" s="128"/>
    </row>
    <row r="19" spans="1:12" x14ac:dyDescent="0.25">
      <c r="A19" s="128"/>
      <c r="B19" s="128"/>
      <c r="C19" s="128"/>
      <c r="D19" s="128"/>
      <c r="E19" s="128"/>
      <c r="F19" s="128"/>
      <c r="G19" s="128"/>
      <c r="H19" s="128"/>
      <c r="I19" s="128"/>
    </row>
    <row r="20" spans="1:12" x14ac:dyDescent="0.25">
      <c r="A20" s="136" t="s">
        <v>2852</v>
      </c>
      <c r="B20" s="123"/>
      <c r="C20" s="123"/>
      <c r="D20" s="123"/>
      <c r="E20" s="123"/>
      <c r="F20" s="123"/>
      <c r="G20" s="123"/>
      <c r="H20" s="123"/>
      <c r="I20" s="123"/>
    </row>
    <row r="21" spans="1:12" x14ac:dyDescent="0.25">
      <c r="A21" s="136" t="s">
        <v>2853</v>
      </c>
      <c r="B21" s="123"/>
      <c r="C21" s="123"/>
      <c r="D21" s="137" t="s">
        <v>2929</v>
      </c>
      <c r="E21" s="138"/>
      <c r="F21" s="138"/>
      <c r="G21" s="138"/>
      <c r="H21" s="138"/>
      <c r="I21" s="138"/>
    </row>
    <row r="22" spans="1:12" ht="15.75" thickBot="1" x14ac:dyDescent="0.3">
      <c r="A22" s="136" t="s">
        <v>2855</v>
      </c>
      <c r="B22" s="123"/>
      <c r="C22" s="123"/>
      <c r="D22" s="256">
        <v>32664</v>
      </c>
      <c r="E22" s="257"/>
      <c r="F22" s="257"/>
      <c r="G22" s="257"/>
      <c r="H22" s="257"/>
      <c r="I22" s="138"/>
    </row>
    <row r="23" spans="1:12" ht="15.75" thickBot="1" x14ac:dyDescent="0.3">
      <c r="A23" s="136" t="s">
        <v>2856</v>
      </c>
      <c r="B23" s="123"/>
      <c r="C23" s="123"/>
      <c r="D23" s="137"/>
      <c r="E23" s="138"/>
      <c r="F23" s="138"/>
      <c r="G23" s="138"/>
      <c r="H23" s="262" t="s">
        <v>2986</v>
      </c>
      <c r="I23" s="263"/>
    </row>
    <row r="24" spans="1:12" x14ac:dyDescent="0.25">
      <c r="A24" s="136" t="s">
        <v>2857</v>
      </c>
      <c r="B24" s="123"/>
      <c r="C24" s="123"/>
      <c r="D24" s="137" t="s">
        <v>2979</v>
      </c>
      <c r="E24" s="138"/>
      <c r="F24" s="138"/>
      <c r="G24" s="138"/>
      <c r="H24" s="186" t="s">
        <v>3076</v>
      </c>
      <c r="I24" s="187">
        <v>84</v>
      </c>
    </row>
    <row r="25" spans="1:12" x14ac:dyDescent="0.25">
      <c r="A25" s="136" t="s">
        <v>2858</v>
      </c>
      <c r="B25" s="123"/>
      <c r="C25" s="123"/>
      <c r="D25" s="137" t="s">
        <v>2930</v>
      </c>
      <c r="E25" s="138"/>
      <c r="F25" s="138"/>
      <c r="G25" s="138"/>
      <c r="H25" s="188" t="s">
        <v>3077</v>
      </c>
      <c r="I25" s="189">
        <v>218</v>
      </c>
    </row>
    <row r="26" spans="1:12" x14ac:dyDescent="0.25">
      <c r="A26" s="136" t="s">
        <v>2859</v>
      </c>
      <c r="B26" s="123"/>
      <c r="C26" s="123"/>
      <c r="D26" s="137">
        <v>1</v>
      </c>
      <c r="E26" s="138"/>
      <c r="F26" s="138"/>
      <c r="G26" s="138"/>
      <c r="H26" s="188" t="s">
        <v>2847</v>
      </c>
      <c r="I26" s="189">
        <v>0</v>
      </c>
      <c r="J26" s="109"/>
      <c r="L26" t="s">
        <v>1125</v>
      </c>
    </row>
    <row r="27" spans="1:12" x14ac:dyDescent="0.25">
      <c r="A27" s="136" t="s">
        <v>2860</v>
      </c>
      <c r="B27" s="123"/>
      <c r="C27" s="123"/>
      <c r="D27" s="137" t="s">
        <v>2965</v>
      </c>
      <c r="E27" s="138"/>
      <c r="F27" s="138"/>
      <c r="G27" s="138"/>
      <c r="H27" s="188" t="s">
        <v>2848</v>
      </c>
      <c r="I27" s="189">
        <v>2023</v>
      </c>
      <c r="J27" s="109">
        <f>(I24+I25)/I27*100</f>
        <v>14.928324270884824</v>
      </c>
      <c r="K27" s="193">
        <v>10.5</v>
      </c>
      <c r="L27" s="194" t="s">
        <v>2836</v>
      </c>
    </row>
    <row r="28" spans="1:12" x14ac:dyDescent="0.25">
      <c r="A28" s="129" t="b">
        <v>1</v>
      </c>
      <c r="B28" s="123" t="s">
        <v>2861</v>
      </c>
      <c r="C28" s="123"/>
      <c r="D28" s="123"/>
      <c r="E28" s="129" t="b">
        <v>1</v>
      </c>
      <c r="F28" s="123" t="s">
        <v>2862</v>
      </c>
      <c r="G28" s="123"/>
      <c r="H28" s="188" t="s">
        <v>2849</v>
      </c>
      <c r="I28" s="190" t="str">
        <f>IF(I25&gt;0,LEFT(J27,5)&amp;"%","")</f>
        <v>14.92%</v>
      </c>
      <c r="J28" s="168"/>
      <c r="K28" s="193">
        <v>12</v>
      </c>
      <c r="L28" s="194" t="s">
        <v>2839</v>
      </c>
    </row>
    <row r="29" spans="1:12" ht="15.75" thickBot="1" x14ac:dyDescent="0.3">
      <c r="A29" s="129" t="b">
        <v>1</v>
      </c>
      <c r="B29" s="123" t="s">
        <v>2863</v>
      </c>
      <c r="C29" s="123"/>
      <c r="D29" s="123"/>
      <c r="E29" s="129" t="b">
        <v>1</v>
      </c>
      <c r="F29" s="123" t="s">
        <v>2864</v>
      </c>
      <c r="G29" s="123"/>
      <c r="H29" s="191" t="s">
        <v>2850</v>
      </c>
      <c r="I29" s="192">
        <f>(I27 - (I24 + I25 + I26)) / I27</f>
        <v>0.8507167572911517</v>
      </c>
    </row>
    <row r="30" spans="1:12" x14ac:dyDescent="0.25">
      <c r="A30" s="129" t="b">
        <v>1</v>
      </c>
      <c r="B30" s="123" t="s">
        <v>2865</v>
      </c>
      <c r="C30" s="123"/>
      <c r="D30" s="123"/>
      <c r="E30" s="129" t="b">
        <v>1</v>
      </c>
      <c r="F30" s="123" t="s">
        <v>2866</v>
      </c>
      <c r="G30" s="123"/>
      <c r="H30" s="123"/>
      <c r="I30" s="123"/>
    </row>
    <row r="31" spans="1:12" x14ac:dyDescent="0.25">
      <c r="A31" s="129" t="b">
        <v>1</v>
      </c>
      <c r="B31" s="123" t="s">
        <v>2867</v>
      </c>
      <c r="C31" s="123"/>
      <c r="D31" s="123"/>
      <c r="E31" s="123"/>
      <c r="F31" s="123"/>
      <c r="G31" s="123"/>
      <c r="H31" s="123"/>
      <c r="I31" s="143">
        <v>45740</v>
      </c>
    </row>
    <row r="32" spans="1:12"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39" t="s">
        <v>2878</v>
      </c>
      <c r="C36" s="123"/>
      <c r="D36" s="123"/>
      <c r="E36" s="123" t="s">
        <v>2879</v>
      </c>
      <c r="G36" s="123"/>
      <c r="H36" s="185" t="s">
        <v>2880</v>
      </c>
      <c r="I36" s="123"/>
    </row>
    <row r="37" spans="1:9" ht="15.75" thickBot="1" x14ac:dyDescent="0.3">
      <c r="A37" s="130" t="b">
        <v>0</v>
      </c>
      <c r="B37" s="131" t="s">
        <v>2881</v>
      </c>
      <c r="C37" s="131"/>
      <c r="D37" s="131"/>
      <c r="E37" s="131"/>
      <c r="F37" s="131"/>
      <c r="G37" s="131"/>
      <c r="H37" s="131"/>
      <c r="I37" s="144">
        <v>45748</v>
      </c>
    </row>
    <row r="38" spans="1:9" ht="15.75" thickTop="1" x14ac:dyDescent="0.25">
      <c r="A38" s="141"/>
      <c r="B38" s="142" t="s">
        <v>2882</v>
      </c>
      <c r="C38" s="142"/>
      <c r="D38" s="142"/>
      <c r="E38" s="142"/>
      <c r="F38" s="142"/>
      <c r="G38" s="142"/>
      <c r="H38" s="142"/>
      <c r="I38" s="145">
        <v>45750</v>
      </c>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29CBCB6F-B446-458A-9AD9-D97A9A44FBB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03705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03705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03705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03706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03706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03706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03706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03706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103706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03706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03706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03706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03706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03707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03707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103707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037073" r:id="rId21" name="Check Box 17">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103707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03707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03707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037077" r:id="rId25" name="Check Box 21">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1037078" r:id="rId26" name="Check Box 22">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103707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03708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03708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03708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03708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03708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03708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03708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103708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103708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103708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103709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103709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103709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103709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DD6E-7AD5-462D-996F-1307A8CD5418}">
  <sheetPr codeName="Sheet145"/>
  <dimension ref="A1:J50"/>
  <sheetViews>
    <sheetView workbookViewId="0">
      <selection activeCell="K19" sqref="K1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E0019</v>
      </c>
    </row>
    <row r="2" spans="1:9" ht="15.75" customHeight="1" thickTop="1" x14ac:dyDescent="0.35">
      <c r="A2" s="248" t="str">
        <f ca="1">C4&amp;" - "&amp;C5&amp;" - "&amp;C7</f>
        <v>E0019 - Wendy &amp; Luke Igoe - 1 Ironstone Rd, Epsom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E0019</v>
      </c>
      <c r="D4" s="134"/>
      <c r="E4" s="134"/>
      <c r="F4" s="134"/>
      <c r="G4" s="134"/>
      <c r="H4" s="123"/>
      <c r="I4" s="123"/>
    </row>
    <row r="5" spans="1:9" x14ac:dyDescent="0.25">
      <c r="A5" s="254" t="s">
        <v>2835</v>
      </c>
      <c r="B5" s="255"/>
      <c r="C5" s="123" t="s">
        <v>74</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3084</v>
      </c>
      <c r="D7" s="123"/>
      <c r="E7" s="123"/>
      <c r="F7" s="123"/>
      <c r="G7" s="123"/>
      <c r="H7" s="123"/>
      <c r="I7" s="124"/>
    </row>
    <row r="8" spans="1:9" x14ac:dyDescent="0.25">
      <c r="A8" s="254" t="s">
        <v>2842</v>
      </c>
      <c r="B8" s="255"/>
      <c r="C8" s="123" t="s">
        <v>75</v>
      </c>
      <c r="D8" s="123"/>
      <c r="E8" s="123"/>
      <c r="F8" s="123"/>
      <c r="G8" s="123"/>
      <c r="H8" s="123"/>
      <c r="I8" s="124"/>
    </row>
    <row r="9" spans="1:9" x14ac:dyDescent="0.25">
      <c r="A9" s="254" t="s">
        <v>2844</v>
      </c>
      <c r="B9" s="255"/>
      <c r="C9" s="123" t="s">
        <v>3085</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0</v>
      </c>
      <c r="B29" s="123" t="s">
        <v>2863</v>
      </c>
      <c r="C29" s="123"/>
      <c r="D29" s="123"/>
      <c r="E29" s="129"/>
      <c r="F29" s="123" t="s">
        <v>2864</v>
      </c>
      <c r="G29" s="123"/>
      <c r="H29" s="123"/>
      <c r="I29" s="123"/>
    </row>
    <row r="30" spans="1:10" x14ac:dyDescent="0.25">
      <c r="A30" s="129"/>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503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7503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7503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7503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7503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7503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7503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7503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7503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7503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7503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7503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7503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7503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7503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7503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7503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7503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7503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75035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7503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7503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7503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7503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7503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7503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7503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7503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7503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7503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7503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7503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7503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7503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7503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7503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7503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30F6F-5010-423D-B277-81479A4D46EC}">
  <sheetPr codeName="Sheet144"/>
  <dimension ref="A1:J50"/>
  <sheetViews>
    <sheetView workbookViewId="0">
      <selection activeCell="K12" sqref="K12"/>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E9346</v>
      </c>
    </row>
    <row r="2" spans="1:9" ht="15.75" customHeight="1" thickTop="1" x14ac:dyDescent="0.35">
      <c r="A2" s="248" t="str">
        <f ca="1">C4&amp;" - "&amp;C5&amp;" - "&amp;C7</f>
        <v>E9346 - Jordan Knight - 72 Oscar Drive, Marong VIC 3515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E9346</v>
      </c>
      <c r="D4" s="134"/>
      <c r="E4" s="134"/>
      <c r="F4" s="134"/>
      <c r="G4" s="134"/>
      <c r="H4" s="123"/>
      <c r="I4" s="123"/>
    </row>
    <row r="5" spans="1:9" x14ac:dyDescent="0.25">
      <c r="A5" s="254" t="s">
        <v>2835</v>
      </c>
      <c r="B5" s="255"/>
      <c r="C5" s="123" t="s">
        <v>682</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3088</v>
      </c>
      <c r="D7" s="123"/>
      <c r="E7" s="123"/>
      <c r="F7" s="123"/>
      <c r="G7" s="123"/>
      <c r="H7" s="123"/>
      <c r="I7" s="124"/>
    </row>
    <row r="8" spans="1:9" x14ac:dyDescent="0.25">
      <c r="A8" s="254" t="s">
        <v>2842</v>
      </c>
      <c r="B8" s="255"/>
      <c r="C8" s="123" t="s">
        <v>683</v>
      </c>
      <c r="D8" s="123"/>
      <c r="E8" s="123"/>
      <c r="F8" s="123"/>
      <c r="G8" s="123"/>
      <c r="H8" s="123"/>
      <c r="I8" s="124"/>
    </row>
    <row r="9" spans="1:9" x14ac:dyDescent="0.25">
      <c r="A9" s="254" t="s">
        <v>2844</v>
      </c>
      <c r="B9" s="255"/>
      <c r="C9" s="140" t="s">
        <v>3089</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0</v>
      </c>
      <c r="B28" s="123" t="s">
        <v>2861</v>
      </c>
      <c r="C28" s="123"/>
      <c r="D28" s="123"/>
      <c r="E28" s="129" t="b">
        <v>0</v>
      </c>
      <c r="F28" s="123" t="s">
        <v>2862</v>
      </c>
      <c r="G28" s="123"/>
      <c r="H28" s="123"/>
      <c r="I28" s="123"/>
      <c r="J28" s="168"/>
    </row>
    <row r="29" spans="1:10" x14ac:dyDescent="0.25">
      <c r="A29" s="129" t="b">
        <v>0</v>
      </c>
      <c r="B29" s="123" t="s">
        <v>2863</v>
      </c>
      <c r="C29" s="123"/>
      <c r="D29" s="123"/>
      <c r="E29" s="129"/>
      <c r="F29" s="123" t="s">
        <v>2864</v>
      </c>
      <c r="G29" s="123"/>
      <c r="H29" s="123"/>
      <c r="I29" s="123"/>
    </row>
    <row r="30" spans="1:10" x14ac:dyDescent="0.25">
      <c r="A30" s="129"/>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45735</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C176AEA1-FE7F-4135-A0EE-63D6285CB52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74828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74829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74829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74829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74829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74829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74829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74829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74829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74829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74829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74830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74830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74830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74830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74830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74830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74830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74830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74830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74830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74831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74831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74831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74831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74831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74831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74831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74831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74831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74831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74832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74832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74832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74832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74832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74832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3F666-FB42-453F-A1B0-ED0B94B823DD}">
  <sheetPr codeName="Sheet47"/>
  <dimension ref="A1:J50"/>
  <sheetViews>
    <sheetView workbookViewId="0">
      <selection activeCell="L24" sqref="L24"/>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E0018</v>
      </c>
    </row>
    <row r="2" spans="1:9" ht="15.75" customHeight="1" thickTop="1" x14ac:dyDescent="0.35">
      <c r="A2" s="248" t="str">
        <f ca="1">C4&amp;" - "&amp;C5&amp;" - "&amp;C7</f>
        <v>E0018 - Jeffrey Bronsgeest - 7 Shirley Court, Huntly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E0018</v>
      </c>
      <c r="D4" s="134"/>
      <c r="E4" s="134"/>
      <c r="F4" s="134"/>
      <c r="G4" s="134"/>
      <c r="H4" s="123"/>
      <c r="I4" s="123"/>
    </row>
    <row r="5" spans="1:9" x14ac:dyDescent="0.25">
      <c r="A5" s="254" t="s">
        <v>2835</v>
      </c>
      <c r="B5" s="255"/>
      <c r="C5" s="123" t="s">
        <v>3090</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3091</v>
      </c>
      <c r="D7" s="123"/>
      <c r="E7" s="123"/>
      <c r="F7" s="123"/>
      <c r="G7" s="123"/>
      <c r="H7" s="123"/>
      <c r="I7" s="124"/>
    </row>
    <row r="8" spans="1:9" x14ac:dyDescent="0.25">
      <c r="A8" s="254" t="s">
        <v>2842</v>
      </c>
      <c r="B8" s="255"/>
      <c r="C8" s="123" t="s">
        <v>69</v>
      </c>
      <c r="D8" s="123"/>
      <c r="E8" s="123"/>
      <c r="F8" s="123"/>
      <c r="G8" s="123"/>
      <c r="H8" s="123"/>
      <c r="I8" s="124"/>
    </row>
    <row r="9" spans="1:9" x14ac:dyDescent="0.25">
      <c r="A9" s="254" t="s">
        <v>2844</v>
      </c>
      <c r="B9" s="255"/>
      <c r="C9" s="140" t="s">
        <v>3092</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0</v>
      </c>
      <c r="B28" s="123" t="s">
        <v>2861</v>
      </c>
      <c r="C28" s="123"/>
      <c r="D28" s="123"/>
      <c r="E28" s="129" t="b">
        <v>0</v>
      </c>
      <c r="F28" s="123" t="s">
        <v>2862</v>
      </c>
      <c r="G28" s="123"/>
      <c r="H28" s="123"/>
      <c r="I28" s="123"/>
      <c r="J28" s="168"/>
    </row>
    <row r="29" spans="1:10" x14ac:dyDescent="0.25">
      <c r="A29" s="129" t="b">
        <v>0</v>
      </c>
      <c r="B29" s="123" t="s">
        <v>2863</v>
      </c>
      <c r="C29" s="123"/>
      <c r="D29" s="123"/>
      <c r="E29" s="129"/>
      <c r="F29" s="123" t="s">
        <v>2864</v>
      </c>
      <c r="G29" s="123"/>
      <c r="H29" s="123"/>
      <c r="I29" s="123"/>
    </row>
    <row r="30" spans="1:10" x14ac:dyDescent="0.25">
      <c r="A30" s="129"/>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85" t="s">
        <v>2880</v>
      </c>
      <c r="I36" s="123"/>
    </row>
    <row r="37" spans="1:9" ht="15.75" thickBot="1" x14ac:dyDescent="0.3">
      <c r="A37" s="130" t="b">
        <v>0</v>
      </c>
      <c r="B37" s="131" t="s">
        <v>2881</v>
      </c>
      <c r="C37" s="131"/>
      <c r="D37" s="131"/>
      <c r="E37" s="131"/>
      <c r="F37" s="131"/>
      <c r="G37" s="131"/>
      <c r="H37" s="131"/>
      <c r="I37" s="144">
        <v>45729</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9183E42F-A363-4F7A-8CC9-8129D5E48A3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60492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60493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60493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60493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60493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60493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60493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60493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60493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60493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60493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60494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60494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60494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60494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60494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60494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60494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60494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60494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60494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60495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60495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60495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60495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60495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60495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60495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60495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60495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60495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60496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60496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60496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60496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60496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60496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9527-A8E5-4AF2-872D-3DB78285761E}">
  <sheetPr codeName="Sheet76"/>
  <dimension ref="A1:J50"/>
  <sheetViews>
    <sheetView workbookViewId="0">
      <selection activeCell="L24" sqref="L24"/>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BPA0275</v>
      </c>
    </row>
    <row r="2" spans="1:9" ht="15.75" customHeight="1" thickTop="1" x14ac:dyDescent="0.35">
      <c r="A2" s="248" t="str">
        <f ca="1">C4&amp;" - "&amp;C5&amp;" - "&amp;C7</f>
        <v>BPA0275 - Mick Clancy - 668 Goulburn Valley Hwy, Thornton VIC 3712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BPA0275</v>
      </c>
      <c r="D4" s="134"/>
      <c r="E4" s="134"/>
      <c r="F4" s="134"/>
      <c r="G4" s="134"/>
      <c r="H4" s="123"/>
      <c r="I4" s="123"/>
    </row>
    <row r="5" spans="1:9" x14ac:dyDescent="0.25">
      <c r="A5" s="254" t="s">
        <v>2835</v>
      </c>
      <c r="B5" s="255"/>
      <c r="C5" s="123" t="s">
        <v>337</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3093</v>
      </c>
      <c r="D7" s="123"/>
      <c r="E7" s="123"/>
      <c r="F7" s="123"/>
      <c r="G7" s="123"/>
      <c r="H7" s="123"/>
      <c r="I7" s="124"/>
    </row>
    <row r="8" spans="1:9" x14ac:dyDescent="0.25">
      <c r="A8" s="254" t="s">
        <v>2842</v>
      </c>
      <c r="B8" s="255"/>
      <c r="C8" s="123" t="s">
        <v>338</v>
      </c>
      <c r="D8" s="123"/>
      <c r="E8" s="123"/>
      <c r="F8" s="123"/>
      <c r="G8" s="123"/>
      <c r="H8" s="123"/>
      <c r="I8" s="124"/>
    </row>
    <row r="9" spans="1:9" x14ac:dyDescent="0.25">
      <c r="A9" s="254" t="s">
        <v>2844</v>
      </c>
      <c r="B9" s="255"/>
      <c r="C9" s="140" t="s">
        <v>3094</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0</v>
      </c>
      <c r="F29" s="123" t="s">
        <v>2864</v>
      </c>
      <c r="G29" s="123"/>
      <c r="H29" s="123"/>
      <c r="I29" s="123"/>
    </row>
    <row r="30" spans="1:10" x14ac:dyDescent="0.25">
      <c r="A30" s="129" t="b">
        <v>1</v>
      </c>
      <c r="B30" s="123" t="s">
        <v>2865</v>
      </c>
      <c r="C30" s="123"/>
      <c r="D30" s="123"/>
      <c r="E30" s="129" t="b">
        <v>1</v>
      </c>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45727</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08AFA8F0-69F5-4B70-BDB3-5EEFC3A0644F}"/>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31820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31821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31821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31821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31821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31821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31821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31821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31821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31821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31821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31822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31822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31822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31822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31822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31822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31822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31822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31822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31822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31823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31823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31823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31823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31823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31823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31823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31823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31823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31823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31824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31824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31824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31824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31824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31824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EE13B-79A4-4046-8996-9E6996BB146E}">
  <sheetPr codeName="Sheet60"/>
  <dimension ref="A1:J50"/>
  <sheetViews>
    <sheetView workbookViewId="0">
      <selection activeCell="L22" sqref="L22"/>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BPA0273</v>
      </c>
    </row>
    <row r="2" spans="1:9" ht="15.75" customHeight="1" thickTop="1" x14ac:dyDescent="0.35">
      <c r="A2" s="248" t="str">
        <f ca="1">C4&amp;" - "&amp;C5&amp;" - "&amp;C7</f>
        <v>BPA0273 - James Stevens - 97 Flora Avenue, Mildura VIC 3500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BPA0273</v>
      </c>
      <c r="D4" s="134"/>
      <c r="E4" s="134"/>
      <c r="F4" s="134"/>
      <c r="G4" s="134"/>
      <c r="H4" s="123"/>
      <c r="I4" s="123"/>
    </row>
    <row r="5" spans="1:9" x14ac:dyDescent="0.25">
      <c r="A5" s="254" t="s">
        <v>2835</v>
      </c>
      <c r="B5" s="255"/>
      <c r="C5" s="123" t="s">
        <v>332</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3095</v>
      </c>
      <c r="D7" s="123"/>
      <c r="E7" s="123"/>
      <c r="F7" s="123"/>
      <c r="G7" s="123"/>
      <c r="H7" s="123"/>
      <c r="I7" s="124"/>
    </row>
    <row r="8" spans="1:9" x14ac:dyDescent="0.25">
      <c r="A8" s="254" t="s">
        <v>2842</v>
      </c>
      <c r="B8" s="255"/>
      <c r="C8" s="123" t="s">
        <v>333</v>
      </c>
      <c r="D8" s="123"/>
      <c r="E8" s="123"/>
      <c r="F8" s="123"/>
      <c r="G8" s="123"/>
      <c r="H8" s="123"/>
      <c r="I8" s="124"/>
    </row>
    <row r="9" spans="1:9" x14ac:dyDescent="0.25">
      <c r="A9" s="254" t="s">
        <v>2844</v>
      </c>
      <c r="B9" s="255"/>
      <c r="C9" s="140" t="s">
        <v>3096</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v>78877</v>
      </c>
      <c r="E22" s="257"/>
      <c r="F22" s="257"/>
      <c r="G22" s="257"/>
      <c r="H22" s="257"/>
      <c r="I22" s="138"/>
    </row>
    <row r="23" spans="1:10" ht="15.75" thickBot="1" x14ac:dyDescent="0.3">
      <c r="A23" s="136" t="s">
        <v>2856</v>
      </c>
      <c r="B23" s="123"/>
      <c r="C23" s="123"/>
      <c r="D23" s="137" t="s">
        <v>3097</v>
      </c>
      <c r="E23" s="138"/>
      <c r="F23" s="138"/>
      <c r="G23" s="138"/>
      <c r="H23" s="262" t="s">
        <v>2986</v>
      </c>
      <c r="I23" s="263"/>
    </row>
    <row r="24" spans="1:10" x14ac:dyDescent="0.25">
      <c r="A24" s="136" t="s">
        <v>2857</v>
      </c>
      <c r="B24" s="123"/>
      <c r="C24" s="123"/>
      <c r="D24" s="137" t="s">
        <v>3098</v>
      </c>
      <c r="E24" s="138"/>
      <c r="F24" s="138"/>
      <c r="G24" s="138"/>
      <c r="H24" s="170" t="s">
        <v>1125</v>
      </c>
      <c r="I24" s="171" t="str">
        <f>IF(D24&gt;0,D24,"")</f>
        <v>360m²</v>
      </c>
    </row>
    <row r="25" spans="1:10" x14ac:dyDescent="0.25">
      <c r="A25" s="136" t="s">
        <v>2858</v>
      </c>
      <c r="B25" s="123"/>
      <c r="C25" s="123"/>
      <c r="D25" s="137" t="s">
        <v>2930</v>
      </c>
      <c r="E25" s="138"/>
      <c r="F25" s="138"/>
      <c r="G25" s="138"/>
      <c r="H25" s="170" t="s">
        <v>3086</v>
      </c>
      <c r="I25" s="171"/>
    </row>
    <row r="26" spans="1:10" x14ac:dyDescent="0.25">
      <c r="A26" s="136" t="s">
        <v>2859</v>
      </c>
      <c r="B26" s="123"/>
      <c r="C26" s="123"/>
      <c r="D26" s="137">
        <v>1</v>
      </c>
      <c r="E26" s="138"/>
      <c r="F26" s="138"/>
      <c r="G26" s="138"/>
      <c r="H26" s="170" t="s">
        <v>2848</v>
      </c>
      <c r="I26" s="171" t="str">
        <f>IF(D23&gt;0,D23,"")</f>
        <v>4007m²</v>
      </c>
      <c r="J26" s="109" t="e">
        <f>(I24+I25)/I26*100</f>
        <v>#VALUE!</v>
      </c>
    </row>
    <row r="27" spans="1:10" ht="15.75" thickBot="1" x14ac:dyDescent="0.3">
      <c r="A27" s="136" t="s">
        <v>2860</v>
      </c>
      <c r="B27" s="123"/>
      <c r="C27" s="123"/>
      <c r="D27" s="137" t="s">
        <v>3099</v>
      </c>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t="b">
        <v>1</v>
      </c>
      <c r="F30" s="123" t="s">
        <v>2866</v>
      </c>
      <c r="G30" s="123"/>
      <c r="H30" s="123"/>
      <c r="I30" s="123"/>
    </row>
    <row r="31" spans="1:10" x14ac:dyDescent="0.25">
      <c r="A31" s="129" t="b">
        <v>1</v>
      </c>
      <c r="B31" s="123" t="s">
        <v>2867</v>
      </c>
      <c r="C31" s="123"/>
      <c r="D31" s="123"/>
      <c r="E31" s="123"/>
      <c r="F31" s="123"/>
      <c r="G31" s="123"/>
      <c r="H31" s="123"/>
      <c r="I31" s="143">
        <v>45712</v>
      </c>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85"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45728</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9B5D1D5A-FC7F-46FF-BCFB-96E4996B36C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04070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004070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004070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04070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04070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04071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04071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04071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04071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04071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004071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004071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004071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004071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04071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2004072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004072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004072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04072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040724"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2004072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004072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004072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004072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04072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04073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04073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004073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004073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004073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2004073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04073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04073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04073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2004073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2004074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2004074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8DF27-D6BA-4E2C-B424-01D9919BAB03}">
  <sheetPr codeName="Sheet35"/>
  <dimension ref="A1:J50"/>
  <sheetViews>
    <sheetView workbookViewId="0">
      <selection activeCell="M46" sqref="M46"/>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BPA0272</v>
      </c>
    </row>
    <row r="2" spans="1:9" ht="15.75" customHeight="1" thickTop="1" x14ac:dyDescent="0.35">
      <c r="A2" s="248" t="str">
        <f ca="1">C4&amp;" - "&amp;C5&amp;" - "&amp;C7</f>
        <v>BPA0272 - Janae Hendy &amp; Aaron Jensen - 10 Kangaroo Run, Wallan VIC 3756</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BPA0272</v>
      </c>
      <c r="D4" s="134"/>
      <c r="E4" s="134"/>
      <c r="F4" s="134"/>
      <c r="G4" s="134"/>
      <c r="H4" s="123"/>
      <c r="I4" s="123"/>
    </row>
    <row r="5" spans="1:9" x14ac:dyDescent="0.25">
      <c r="A5" s="254" t="s">
        <v>2835</v>
      </c>
      <c r="B5" s="255"/>
      <c r="C5" s="123" t="s">
        <v>326</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3100</v>
      </c>
      <c r="D7" s="123"/>
      <c r="E7" s="123"/>
      <c r="F7" s="123"/>
      <c r="G7" s="123"/>
      <c r="H7" s="123"/>
      <c r="I7" s="124"/>
    </row>
    <row r="8" spans="1:9" x14ac:dyDescent="0.25">
      <c r="A8" s="254" t="s">
        <v>2842</v>
      </c>
      <c r="B8" s="255"/>
      <c r="C8" s="123" t="s">
        <v>327</v>
      </c>
      <c r="D8" s="123"/>
      <c r="E8" s="123"/>
      <c r="F8" s="123"/>
      <c r="G8" s="123"/>
      <c r="H8" s="123"/>
      <c r="I8" s="124"/>
    </row>
    <row r="9" spans="1:9" x14ac:dyDescent="0.25">
      <c r="A9" s="254" t="s">
        <v>2844</v>
      </c>
      <c r="B9" s="255"/>
      <c r="C9" s="123" t="s">
        <v>3101</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v>138076</v>
      </c>
      <c r="E22" s="257"/>
      <c r="F22" s="257"/>
      <c r="G22" s="257"/>
      <c r="H22" s="257"/>
      <c r="I22" s="138"/>
    </row>
    <row r="23" spans="1:10" ht="15.75" thickBot="1" x14ac:dyDescent="0.3">
      <c r="A23" s="136" t="s">
        <v>2856</v>
      </c>
      <c r="B23" s="123"/>
      <c r="C23" s="123"/>
      <c r="D23" s="137" t="s">
        <v>3102</v>
      </c>
      <c r="E23" s="138"/>
      <c r="F23" s="138"/>
      <c r="G23" s="138"/>
      <c r="H23" s="262" t="s">
        <v>2986</v>
      </c>
      <c r="I23" s="263"/>
    </row>
    <row r="24" spans="1:10" x14ac:dyDescent="0.25">
      <c r="A24" s="136" t="s">
        <v>2857</v>
      </c>
      <c r="B24" s="123"/>
      <c r="C24" s="123"/>
      <c r="D24" s="137" t="s">
        <v>3103</v>
      </c>
      <c r="E24" s="138"/>
      <c r="F24" s="138"/>
      <c r="G24" s="138"/>
      <c r="H24" s="170" t="s">
        <v>1125</v>
      </c>
      <c r="I24" s="171" t="str">
        <f>IF(D24&gt;0,D24,"")</f>
        <v>450m²</v>
      </c>
    </row>
    <row r="25" spans="1:10" x14ac:dyDescent="0.25">
      <c r="A25" s="136" t="s">
        <v>2858</v>
      </c>
      <c r="B25" s="123"/>
      <c r="C25" s="123"/>
      <c r="D25" s="137" t="s">
        <v>2930</v>
      </c>
      <c r="E25" s="138"/>
      <c r="F25" s="138"/>
      <c r="G25" s="138"/>
      <c r="H25" s="170" t="s">
        <v>3086</v>
      </c>
      <c r="I25" s="171"/>
    </row>
    <row r="26" spans="1:10" x14ac:dyDescent="0.25">
      <c r="A26" s="136" t="s">
        <v>2859</v>
      </c>
      <c r="B26" s="123"/>
      <c r="C26" s="123"/>
      <c r="D26" s="137">
        <v>1</v>
      </c>
      <c r="E26" s="138"/>
      <c r="F26" s="138"/>
      <c r="G26" s="138"/>
      <c r="H26" s="170" t="s">
        <v>2848</v>
      </c>
      <c r="I26" s="171" t="str">
        <f>IF(D23&gt;0,D23,"")</f>
        <v>6216m²</v>
      </c>
      <c r="J26" s="109" t="e">
        <f>(I24+I25)/I26*100</f>
        <v>#VALUE!</v>
      </c>
    </row>
    <row r="27" spans="1:10" ht="15.75" thickBot="1" x14ac:dyDescent="0.3">
      <c r="A27" s="136" t="s">
        <v>2860</v>
      </c>
      <c r="B27" s="123"/>
      <c r="C27" s="123"/>
      <c r="D27" s="137" t="s">
        <v>3104</v>
      </c>
      <c r="E27" s="138"/>
      <c r="F27" s="138"/>
      <c r="G27" s="138"/>
      <c r="H27" s="172" t="s">
        <v>3087</v>
      </c>
      <c r="I27" s="173" t="str">
        <f>IF(I25&gt;0,LEFT(J26,5)&amp;"%","")</f>
        <v/>
      </c>
      <c r="J27" s="169"/>
    </row>
    <row r="28" spans="1:10" x14ac:dyDescent="0.25">
      <c r="A28" s="129" t="b">
        <v>1</v>
      </c>
      <c r="B28" s="123" t="s">
        <v>2861</v>
      </c>
      <c r="C28" s="123"/>
      <c r="D28" s="123"/>
      <c r="E28" s="129" t="b">
        <v>0</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t="b">
        <v>1</v>
      </c>
      <c r="F30" s="123" t="s">
        <v>2866</v>
      </c>
      <c r="G30" s="123"/>
      <c r="H30" s="123"/>
      <c r="I30" s="123"/>
    </row>
    <row r="31" spans="1:10" x14ac:dyDescent="0.25">
      <c r="A31" s="129" t="b">
        <v>1</v>
      </c>
      <c r="B31" s="123" t="s">
        <v>2867</v>
      </c>
      <c r="C31" s="123"/>
      <c r="D31" s="123"/>
      <c r="E31" s="123"/>
      <c r="F31" s="123"/>
      <c r="G31" s="123"/>
      <c r="H31" s="123"/>
      <c r="I31" s="143">
        <v>45712</v>
      </c>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45729</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034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9034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9034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9034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9034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9034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9034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9034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9034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9034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9034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9035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9035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9035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9035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9035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9035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9035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9035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9035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9035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9035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9035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9035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9035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9035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9035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9035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9035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9035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9035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9035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9035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9035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9035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9035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9035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66AB-8AEC-418B-95AB-EC1C5A944F08}">
  <sheetPr codeName="Sheet89"/>
  <dimension ref="A1:K51"/>
  <sheetViews>
    <sheetView workbookViewId="0">
      <selection activeCell="N3" sqref="N3"/>
    </sheetView>
  </sheetViews>
  <sheetFormatPr defaultRowHeight="15" x14ac:dyDescent="0.25"/>
  <cols>
    <col min="7" max="7" width="0.5703125" customWidth="1"/>
    <col min="8" max="8" width="18.85546875" customWidth="1"/>
    <col min="9" max="9" width="8.7109375" customWidth="1"/>
    <col min="10" max="10" width="12" bestFit="1" customWidth="1"/>
  </cols>
  <sheetData>
    <row r="1" spans="1:9" ht="15.75" thickBot="1" x14ac:dyDescent="0.3">
      <c r="A1" s="106" t="str" cm="1">
        <f t="array" aca="1" ref="A1" ca="1">MID(CELL("filename",A1),FIND("]",CELL("filename",A1))+1,256)</f>
        <v>BPA0271</v>
      </c>
    </row>
    <row r="2" spans="1:9" ht="15.75" customHeight="1" thickTop="1" x14ac:dyDescent="0.35">
      <c r="A2" s="248" t="str">
        <f ca="1">C4&amp;" - "&amp;C5&amp;" - "&amp;C7</f>
        <v>BPA0271 - Rodney Ardley - 19 Irontree Close, Kangaroo Flat VIC 3555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BPA0271</v>
      </c>
      <c r="D4" s="134"/>
      <c r="E4" s="134"/>
      <c r="F4" s="134"/>
      <c r="G4" s="134"/>
      <c r="H4" s="123"/>
      <c r="I4" s="123"/>
    </row>
    <row r="5" spans="1:9" x14ac:dyDescent="0.25">
      <c r="A5" s="254" t="s">
        <v>2835</v>
      </c>
      <c r="B5" s="255"/>
      <c r="C5" s="123" t="s">
        <v>2774</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3105</v>
      </c>
      <c r="D7" s="123"/>
      <c r="E7" s="123"/>
      <c r="F7" s="123"/>
      <c r="G7" s="123"/>
      <c r="H7" s="123"/>
      <c r="I7" s="124"/>
    </row>
    <row r="8" spans="1:9" x14ac:dyDescent="0.25">
      <c r="A8" s="254" t="s">
        <v>2842</v>
      </c>
      <c r="B8" s="255"/>
      <c r="C8" s="123" t="s">
        <v>3106</v>
      </c>
      <c r="D8" s="123"/>
      <c r="E8" s="123"/>
      <c r="F8" s="123"/>
      <c r="G8" s="123"/>
      <c r="H8" s="123"/>
      <c r="I8" s="124"/>
    </row>
    <row r="9" spans="1:9" x14ac:dyDescent="0.25">
      <c r="A9" s="254" t="s">
        <v>2844</v>
      </c>
      <c r="B9" s="255"/>
      <c r="C9" s="123" t="s">
        <v>3107</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1" x14ac:dyDescent="0.25">
      <c r="A17" s="128"/>
      <c r="B17" s="128"/>
      <c r="C17" s="128"/>
      <c r="D17" s="128"/>
      <c r="E17" s="128"/>
      <c r="F17" s="128"/>
      <c r="G17" s="128"/>
      <c r="H17" s="128"/>
      <c r="I17" s="128"/>
    </row>
    <row r="18" spans="1:11" x14ac:dyDescent="0.25">
      <c r="A18" s="128"/>
      <c r="B18" s="128"/>
      <c r="C18" s="128"/>
      <c r="D18" s="128"/>
      <c r="E18" s="128"/>
      <c r="F18" s="128"/>
      <c r="G18" s="128"/>
      <c r="H18" s="128"/>
      <c r="I18" s="128"/>
    </row>
    <row r="19" spans="1:11" x14ac:dyDescent="0.25">
      <c r="A19" s="128"/>
      <c r="B19" s="128"/>
      <c r="C19" s="128"/>
      <c r="D19" s="128"/>
      <c r="E19" s="128"/>
      <c r="F19" s="128"/>
      <c r="G19" s="128"/>
      <c r="H19" s="128"/>
      <c r="I19" s="128"/>
    </row>
    <row r="20" spans="1:11" x14ac:dyDescent="0.25">
      <c r="A20" s="136" t="s">
        <v>2852</v>
      </c>
      <c r="B20" s="123"/>
      <c r="C20" s="123"/>
      <c r="D20" s="123"/>
      <c r="E20" s="123"/>
      <c r="F20" s="123"/>
      <c r="G20" s="123"/>
      <c r="H20" s="123"/>
      <c r="I20" s="123"/>
    </row>
    <row r="21" spans="1:11" x14ac:dyDescent="0.25">
      <c r="A21" s="136" t="s">
        <v>2853</v>
      </c>
      <c r="B21" s="123"/>
      <c r="C21" s="123"/>
      <c r="D21" s="137" t="s">
        <v>2854</v>
      </c>
      <c r="E21" s="138"/>
      <c r="F21" s="138"/>
      <c r="G21" s="138"/>
      <c r="H21" s="138"/>
      <c r="I21" s="138"/>
    </row>
    <row r="22" spans="1:11" ht="15.75" thickBot="1" x14ac:dyDescent="0.3">
      <c r="A22" s="136" t="s">
        <v>2855</v>
      </c>
      <c r="B22" s="123"/>
      <c r="C22" s="123"/>
      <c r="D22" s="256"/>
      <c r="E22" s="257"/>
      <c r="F22" s="257"/>
      <c r="G22" s="257"/>
      <c r="H22" s="257"/>
      <c r="I22" s="138"/>
    </row>
    <row r="23" spans="1:11" ht="15.75" thickBot="1" x14ac:dyDescent="0.3">
      <c r="A23" s="136" t="s">
        <v>2856</v>
      </c>
      <c r="B23" s="123"/>
      <c r="C23" s="123"/>
      <c r="D23" s="137"/>
      <c r="E23" s="138"/>
      <c r="F23" s="138"/>
      <c r="G23" s="138"/>
      <c r="H23" s="262" t="s">
        <v>2986</v>
      </c>
      <c r="I23" s="263"/>
    </row>
    <row r="24" spans="1:11" x14ac:dyDescent="0.25">
      <c r="A24" s="136" t="s">
        <v>2857</v>
      </c>
      <c r="B24" s="123"/>
      <c r="C24" s="123"/>
      <c r="D24" s="137"/>
      <c r="E24" s="138"/>
      <c r="F24" s="138"/>
      <c r="G24" s="138"/>
      <c r="H24" s="186" t="s">
        <v>3076</v>
      </c>
      <c r="I24" s="187">
        <f>K27+K28</f>
        <v>102.44999999999999</v>
      </c>
    </row>
    <row r="25" spans="1:11" x14ac:dyDescent="0.25">
      <c r="A25" s="136" t="s">
        <v>2858</v>
      </c>
      <c r="B25" s="123"/>
      <c r="C25" s="123"/>
      <c r="D25" s="137"/>
      <c r="E25" s="138"/>
      <c r="F25" s="138"/>
      <c r="G25" s="138"/>
      <c r="H25" s="188" t="s">
        <v>3077</v>
      </c>
      <c r="I25" s="189">
        <f>60+225</f>
        <v>285</v>
      </c>
    </row>
    <row r="26" spans="1:11" x14ac:dyDescent="0.25">
      <c r="A26" s="136"/>
      <c r="B26" s="123"/>
      <c r="C26" s="123"/>
      <c r="D26" s="137"/>
      <c r="E26" s="138"/>
      <c r="F26" s="138"/>
      <c r="G26" s="138"/>
      <c r="H26" s="188" t="s">
        <v>2847</v>
      </c>
      <c r="I26" s="189">
        <f>32+45</f>
        <v>77</v>
      </c>
    </row>
    <row r="27" spans="1:11" x14ac:dyDescent="0.25">
      <c r="A27" s="136" t="s">
        <v>2859</v>
      </c>
      <c r="B27" s="123"/>
      <c r="C27" s="123"/>
      <c r="D27" s="137"/>
      <c r="E27" s="138"/>
      <c r="F27" s="138"/>
      <c r="G27" s="138"/>
      <c r="H27" s="188" t="s">
        <v>2848</v>
      </c>
      <c r="I27" s="189">
        <v>754</v>
      </c>
      <c r="J27" s="109">
        <f>(I24+I25)/I27*100</f>
        <v>51.38594164456233</v>
      </c>
      <c r="K27">
        <f>6*10.95</f>
        <v>65.699999999999989</v>
      </c>
    </row>
    <row r="28" spans="1:11" x14ac:dyDescent="0.25">
      <c r="A28" s="136" t="s">
        <v>2860</v>
      </c>
      <c r="B28" s="123"/>
      <c r="C28" s="123"/>
      <c r="D28" s="137"/>
      <c r="E28" s="138"/>
      <c r="F28" s="138"/>
      <c r="G28" s="138"/>
      <c r="H28" s="188" t="s">
        <v>2849</v>
      </c>
      <c r="I28" s="190" t="str">
        <f>IF(I25&gt;0,LEFT(J27,5)&amp;"%","")</f>
        <v>51.38%</v>
      </c>
      <c r="J28" s="169"/>
      <c r="K28">
        <f>4.9*7.5</f>
        <v>36.75</v>
      </c>
    </row>
    <row r="29" spans="1:11" ht="15.75" thickBot="1" x14ac:dyDescent="0.3">
      <c r="A29" s="129" t="b">
        <v>1</v>
      </c>
      <c r="B29" s="123" t="s">
        <v>2861</v>
      </c>
      <c r="C29" s="123"/>
      <c r="D29" s="123"/>
      <c r="E29" s="129" t="b">
        <v>0</v>
      </c>
      <c r="F29" s="123" t="s">
        <v>2862</v>
      </c>
      <c r="G29" s="123"/>
      <c r="H29" s="191" t="s">
        <v>2850</v>
      </c>
      <c r="I29" s="192">
        <f>(I27 - (I24 + I25 + I26)) / I27</f>
        <v>0.38401856763925729</v>
      </c>
      <c r="J29" s="168"/>
    </row>
    <row r="30" spans="1:11" x14ac:dyDescent="0.25">
      <c r="A30" s="129" t="b">
        <v>1</v>
      </c>
      <c r="B30" s="123" t="s">
        <v>2863</v>
      </c>
      <c r="C30" s="123"/>
      <c r="D30" s="123"/>
      <c r="E30" s="129" t="b">
        <v>1</v>
      </c>
      <c r="F30" s="123" t="s">
        <v>2864</v>
      </c>
      <c r="G30" s="123"/>
      <c r="H30" s="123"/>
      <c r="I30" s="123"/>
    </row>
    <row r="31" spans="1:11" x14ac:dyDescent="0.25">
      <c r="A31" s="129" t="b">
        <v>1</v>
      </c>
      <c r="B31" s="123" t="s">
        <v>2865</v>
      </c>
      <c r="C31" s="123"/>
      <c r="D31" s="123"/>
      <c r="E31" s="129" t="b">
        <v>1</v>
      </c>
      <c r="F31" s="123" t="s">
        <v>2866</v>
      </c>
      <c r="G31" s="123"/>
      <c r="H31" s="123"/>
      <c r="I31" s="123"/>
    </row>
    <row r="32" spans="1:11" x14ac:dyDescent="0.25">
      <c r="A32" s="129" t="b">
        <v>1</v>
      </c>
      <c r="B32" s="123" t="s">
        <v>2867</v>
      </c>
      <c r="C32" s="123"/>
      <c r="D32" s="123"/>
      <c r="E32" s="123"/>
      <c r="F32" s="123"/>
      <c r="G32" s="123"/>
      <c r="H32" s="123"/>
      <c r="I32" s="143"/>
    </row>
    <row r="33" spans="1:9" x14ac:dyDescent="0.25">
      <c r="A33" s="247" t="s">
        <v>2868</v>
      </c>
      <c r="B33" s="247"/>
      <c r="C33" s="247"/>
      <c r="D33" s="247"/>
      <c r="E33" s="247"/>
      <c r="F33" s="247"/>
      <c r="G33" s="247"/>
      <c r="H33" s="247"/>
      <c r="I33" s="247"/>
    </row>
    <row r="34" spans="1:9" x14ac:dyDescent="0.25">
      <c r="A34" s="129" t="b">
        <v>1</v>
      </c>
      <c r="B34" s="123" t="s">
        <v>2869</v>
      </c>
      <c r="C34" s="123"/>
      <c r="D34" s="123" t="b">
        <v>1</v>
      </c>
      <c r="E34" s="123" t="s">
        <v>2870</v>
      </c>
      <c r="G34" s="123"/>
      <c r="H34" s="123" t="s">
        <v>2871</v>
      </c>
    </row>
    <row r="35" spans="1:9" x14ac:dyDescent="0.25">
      <c r="A35" s="129" t="b">
        <v>1</v>
      </c>
      <c r="B35" s="123" t="s">
        <v>2872</v>
      </c>
      <c r="C35" s="123"/>
      <c r="D35" s="123"/>
      <c r="E35" s="139" t="s">
        <v>2873</v>
      </c>
      <c r="G35" s="123"/>
      <c r="H35" s="123" t="s">
        <v>2874</v>
      </c>
    </row>
    <row r="36" spans="1:9" x14ac:dyDescent="0.25">
      <c r="A36" s="129" t="b">
        <v>1</v>
      </c>
      <c r="B36" s="123" t="s">
        <v>2875</v>
      </c>
      <c r="C36" s="123"/>
      <c r="D36" s="123"/>
      <c r="E36" s="123" t="s">
        <v>2876</v>
      </c>
      <c r="G36" s="123"/>
      <c r="H36" s="123" t="s">
        <v>2877</v>
      </c>
      <c r="I36" s="123"/>
    </row>
    <row r="37" spans="1:9" x14ac:dyDescent="0.25">
      <c r="A37" s="129" t="b">
        <v>1</v>
      </c>
      <c r="B37" s="123" t="s">
        <v>2878</v>
      </c>
      <c r="C37" s="123"/>
      <c r="D37" s="123"/>
      <c r="E37" s="123" t="s">
        <v>2879</v>
      </c>
      <c r="G37" s="123"/>
      <c r="H37" s="139" t="s">
        <v>2880</v>
      </c>
      <c r="I37" s="123"/>
    </row>
    <row r="38" spans="1:9" ht="15.75" thickBot="1" x14ac:dyDescent="0.3">
      <c r="A38" s="130" t="b">
        <v>0</v>
      </c>
      <c r="B38" s="131" t="s">
        <v>2881</v>
      </c>
      <c r="C38" s="131"/>
      <c r="D38" s="131"/>
      <c r="E38" s="131"/>
      <c r="F38" s="131"/>
      <c r="G38" s="131"/>
      <c r="H38" s="131"/>
      <c r="I38" s="144"/>
    </row>
    <row r="39" spans="1:9" ht="15.75" thickTop="1" x14ac:dyDescent="0.25">
      <c r="A39" s="141"/>
      <c r="B39" s="142" t="s">
        <v>2882</v>
      </c>
      <c r="C39" s="142"/>
      <c r="D39" s="142"/>
      <c r="E39" s="142"/>
      <c r="F39" s="142"/>
      <c r="G39" s="142"/>
      <c r="H39" s="142"/>
      <c r="I39" s="145"/>
    </row>
    <row r="40" spans="1:9" x14ac:dyDescent="0.25">
      <c r="A40" s="129"/>
      <c r="B40" s="123" t="s">
        <v>1726</v>
      </c>
      <c r="C40" s="123"/>
      <c r="D40" s="123"/>
      <c r="E40" s="123"/>
      <c r="F40" s="123"/>
      <c r="G40" s="123"/>
      <c r="H40" s="123"/>
      <c r="I40" s="143"/>
    </row>
    <row r="41" spans="1:9" x14ac:dyDescent="0.25">
      <c r="A41" s="129" t="b">
        <v>0</v>
      </c>
      <c r="B41" s="123" t="s">
        <v>3030</v>
      </c>
      <c r="C41" s="123"/>
      <c r="D41" s="123"/>
      <c r="E41" s="123"/>
      <c r="F41" s="123"/>
      <c r="G41" s="123"/>
      <c r="H41" s="123"/>
      <c r="I41" s="123"/>
    </row>
    <row r="42" spans="1:9" x14ac:dyDescent="0.25">
      <c r="A42" s="129"/>
      <c r="B42" s="123" t="s">
        <v>2884</v>
      </c>
      <c r="C42" s="123"/>
      <c r="D42" s="123"/>
      <c r="E42" s="123"/>
      <c r="F42" s="123"/>
      <c r="G42" s="123"/>
      <c r="H42" s="123"/>
      <c r="I42" s="143"/>
    </row>
    <row r="43" spans="1:9" x14ac:dyDescent="0.25">
      <c r="A43" s="129" t="b">
        <v>0</v>
      </c>
      <c r="B43" s="123" t="s">
        <v>2885</v>
      </c>
      <c r="C43" s="123"/>
      <c r="D43" s="123"/>
      <c r="E43" s="123"/>
      <c r="F43" s="123"/>
      <c r="G43" s="123"/>
      <c r="H43" s="123"/>
      <c r="I43" s="143"/>
    </row>
    <row r="44" spans="1:9" x14ac:dyDescent="0.25">
      <c r="A44" s="129"/>
      <c r="B44" s="123" t="s">
        <v>2886</v>
      </c>
      <c r="C44" s="123"/>
      <c r="D44" s="123"/>
      <c r="E44" s="123"/>
      <c r="F44" s="123"/>
      <c r="G44" s="123"/>
      <c r="H44" s="123"/>
      <c r="I44" s="123"/>
    </row>
    <row r="45" spans="1:9" x14ac:dyDescent="0.25">
      <c r="A45" s="129"/>
      <c r="B45" s="123" t="s">
        <v>3017</v>
      </c>
      <c r="C45" s="123"/>
      <c r="D45" s="123"/>
      <c r="E45" s="123"/>
      <c r="F45" s="123"/>
      <c r="G45" s="123"/>
      <c r="H45" s="123"/>
      <c r="I45" s="123"/>
    </row>
    <row r="46" spans="1:9" x14ac:dyDescent="0.25">
      <c r="A46" s="129"/>
      <c r="B46" s="123" t="s">
        <v>2888</v>
      </c>
      <c r="C46" s="123"/>
      <c r="D46" s="123"/>
      <c r="E46" s="123"/>
      <c r="F46" s="123"/>
      <c r="G46" s="123"/>
      <c r="H46" s="123"/>
      <c r="I46" s="123"/>
    </row>
    <row r="47" spans="1:9" x14ac:dyDescent="0.25">
      <c r="A47" s="129"/>
      <c r="B47" s="123" t="s">
        <v>3031</v>
      </c>
      <c r="C47" s="123"/>
      <c r="D47" s="123"/>
      <c r="E47" s="123"/>
      <c r="F47" s="123"/>
      <c r="G47" s="123"/>
      <c r="H47" s="123"/>
      <c r="I47" s="123"/>
    </row>
    <row r="48" spans="1:9" x14ac:dyDescent="0.25">
      <c r="A48" s="129"/>
      <c r="B48" s="123" t="s">
        <v>2890</v>
      </c>
      <c r="C48" s="123"/>
      <c r="D48" s="123"/>
      <c r="E48" s="123"/>
      <c r="F48" s="123"/>
      <c r="G48" s="123"/>
      <c r="H48" s="123"/>
      <c r="I48" s="123"/>
    </row>
    <row r="49" spans="1:9" x14ac:dyDescent="0.25">
      <c r="A49" s="129"/>
      <c r="B49" s="123" t="s">
        <v>3019</v>
      </c>
      <c r="C49" s="123"/>
      <c r="D49" s="123"/>
      <c r="E49" s="123"/>
      <c r="F49" s="123"/>
      <c r="G49" s="123"/>
      <c r="H49" s="123"/>
      <c r="I49" s="123"/>
    </row>
    <row r="50" spans="1:9" x14ac:dyDescent="0.25">
      <c r="A50" s="129" t="b">
        <v>0</v>
      </c>
      <c r="B50" s="123" t="s">
        <v>2892</v>
      </c>
      <c r="C50" s="123"/>
      <c r="D50" s="123"/>
      <c r="E50" s="123"/>
      <c r="F50" s="123"/>
      <c r="G50" s="123"/>
      <c r="H50" s="123"/>
      <c r="I50" s="123"/>
    </row>
    <row r="51" spans="1:9" x14ac:dyDescent="0.25">
      <c r="A51" s="122"/>
      <c r="B51" s="123" t="s">
        <v>3020</v>
      </c>
      <c r="C51" s="122"/>
      <c r="D51" s="122"/>
      <c r="E51" s="122"/>
      <c r="F51" s="122"/>
      <c r="G51" s="122"/>
      <c r="H51" s="122"/>
      <c r="I51" s="122"/>
    </row>
  </sheetData>
  <mergeCells count="11">
    <mergeCell ref="A8:B8"/>
    <mergeCell ref="A2:G3"/>
    <mergeCell ref="A4:B4"/>
    <mergeCell ref="A5:B5"/>
    <mergeCell ref="A6:B6"/>
    <mergeCell ref="A7:B7"/>
    <mergeCell ref="A9:B9"/>
    <mergeCell ref="A10:B10"/>
    <mergeCell ref="D22:H22"/>
    <mergeCell ref="H23:I23"/>
    <mergeCell ref="A33:I3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8945" r:id="rId4" name="Check Box 1">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20178946" r:id="rId5" name="Check Box 2">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0178947" r:id="rId6" name="Check Box 3">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0178948" r:id="rId7" name="Check Box 4">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0178949" r:id="rId8" name="Check Box 5">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0178950" r:id="rId9" name="Check Box 6">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0178951" r:id="rId10" name="Check Box 7">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2017895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2017895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0178954" r:id="rId13" name="Check Box 10">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20178955" r:id="rId14" name="Button 11">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20178956" r:id="rId15" name="Button 12">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20178957" r:id="rId16" name="Button 13">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0178958" r:id="rId17" name="Button 14">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mc:AlternateContent xmlns:mc="http://schemas.openxmlformats.org/markup-compatibility/2006">
          <mc:Choice Requires="x14">
            <control shapeId="20178959" r:id="rId18" name="Check Box 15">
              <controlPr defaultSize="0" autoFill="0" autoLine="0" autoPict="0">
                <anchor moveWithCells="1">
                  <from>
                    <xdr:col>0</xdr:col>
                    <xdr:colOff>0</xdr:colOff>
                    <xdr:row>49</xdr:row>
                    <xdr:rowOff>161925</xdr:rowOff>
                  </from>
                  <to>
                    <xdr:col>0</xdr:col>
                    <xdr:colOff>295275</xdr:colOff>
                    <xdr:row>51</xdr:row>
                    <xdr:rowOff>0</xdr:rowOff>
                  </to>
                </anchor>
              </controlPr>
            </control>
          </mc:Choice>
        </mc:AlternateContent>
        <mc:AlternateContent xmlns:mc="http://schemas.openxmlformats.org/markup-compatibility/2006">
          <mc:Choice Requires="x14">
            <control shapeId="20178960" r:id="rId19" name="Check Box 16">
              <controlPr defaultSize="0" autoFill="0" autoLine="0" autoPict="0">
                <anchor moveWithCells="1">
                  <from>
                    <xdr:col>0</xdr:col>
                    <xdr:colOff>0</xdr:colOff>
                    <xdr:row>28</xdr:row>
                    <xdr:rowOff>0</xdr:rowOff>
                  </from>
                  <to>
                    <xdr:col>0</xdr:col>
                    <xdr:colOff>295275</xdr:colOff>
                    <xdr:row>29</xdr:row>
                    <xdr:rowOff>19050</xdr:rowOff>
                  </to>
                </anchor>
              </controlPr>
            </control>
          </mc:Choice>
        </mc:AlternateContent>
        <mc:AlternateContent xmlns:mc="http://schemas.openxmlformats.org/markup-compatibility/2006">
          <mc:Choice Requires="x14">
            <control shapeId="20178961" r:id="rId20" name="Check Box 17">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0178962" r:id="rId21" name="Check Box 18">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0178963" r:id="rId22" name="Check Box 19">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20178964" r:id="rId23" name="Check Box 20">
              <controlPr defaultSize="0" autoFill="0" autoLine="0" autoPict="0">
                <anchor moveWithCells="1">
                  <from>
                    <xdr:col>3</xdr:col>
                    <xdr:colOff>600075</xdr:colOff>
                    <xdr:row>27</xdr:row>
                    <xdr:rowOff>171450</xdr:rowOff>
                  </from>
                  <to>
                    <xdr:col>4</xdr:col>
                    <xdr:colOff>285750</xdr:colOff>
                    <xdr:row>29</xdr:row>
                    <xdr:rowOff>0</xdr:rowOff>
                  </to>
                </anchor>
              </controlPr>
            </control>
          </mc:Choice>
        </mc:AlternateContent>
        <mc:AlternateContent xmlns:mc="http://schemas.openxmlformats.org/markup-compatibility/2006">
          <mc:Choice Requires="x14">
            <control shapeId="20178965" r:id="rId24" name="Check Box 21">
              <controlPr defaultSize="0" autoFill="0" autoLine="0" autoPict="0">
                <anchor moveWithCells="1">
                  <from>
                    <xdr:col>3</xdr:col>
                    <xdr:colOff>600075</xdr:colOff>
                    <xdr:row>28</xdr:row>
                    <xdr:rowOff>171450</xdr:rowOff>
                  </from>
                  <to>
                    <xdr:col>4</xdr:col>
                    <xdr:colOff>285750</xdr:colOff>
                    <xdr:row>30</xdr:row>
                    <xdr:rowOff>0</xdr:rowOff>
                  </to>
                </anchor>
              </controlPr>
            </control>
          </mc:Choice>
        </mc:AlternateContent>
        <mc:AlternateContent xmlns:mc="http://schemas.openxmlformats.org/markup-compatibility/2006">
          <mc:Choice Requires="x14">
            <control shapeId="20178966" r:id="rId25" name="Check Box 22">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20178967" r:id="rId26" name="Check Box 23">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0178968" r:id="rId27" name="Check Box 24">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0178969" r:id="rId28" name="Check Box 25">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0178970" r:id="rId29" name="Check Box 26">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20178971" r:id="rId30" name="Check Box 27">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20178972" r:id="rId31" name="Button 28">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20178973" r:id="rId32" name="Button 29">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20178974" r:id="rId33" name="Check Box 30">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20178975" r:id="rId34" name="Check Box 31">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20178976" r:id="rId35" name="Check Box 32">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20178977" r:id="rId36" name="Check Box 33">
              <controlPr defaultSize="0" autoFill="0" autoLine="0" autoPict="0">
                <anchor moveWithCells="1">
                  <from>
                    <xdr:col>3</xdr:col>
                    <xdr:colOff>333375</xdr:colOff>
                    <xdr:row>35</xdr:row>
                    <xdr:rowOff>171450</xdr:rowOff>
                  </from>
                  <to>
                    <xdr:col>4</xdr:col>
                    <xdr:colOff>19050</xdr:colOff>
                    <xdr:row>37</xdr:row>
                    <xdr:rowOff>9525</xdr:rowOff>
                  </to>
                </anchor>
              </controlPr>
            </control>
          </mc:Choice>
        </mc:AlternateContent>
        <mc:AlternateContent xmlns:mc="http://schemas.openxmlformats.org/markup-compatibility/2006">
          <mc:Choice Requires="x14">
            <control shapeId="20178978" r:id="rId37" name="Check Box 34">
              <controlPr defaultSize="0" autoFill="0" autoLine="0" autoPict="0">
                <anchor moveWithCells="1">
                  <from>
                    <xdr:col>6</xdr:col>
                    <xdr:colOff>361950</xdr:colOff>
                    <xdr:row>32</xdr:row>
                    <xdr:rowOff>180975</xdr:rowOff>
                  </from>
                  <to>
                    <xdr:col>7</xdr:col>
                    <xdr:colOff>295275</xdr:colOff>
                    <xdr:row>34</xdr:row>
                    <xdr:rowOff>19050</xdr:rowOff>
                  </to>
                </anchor>
              </controlPr>
            </control>
          </mc:Choice>
        </mc:AlternateContent>
        <mc:AlternateContent xmlns:mc="http://schemas.openxmlformats.org/markup-compatibility/2006">
          <mc:Choice Requires="x14">
            <control shapeId="20178979" r:id="rId38" name="Check Box 35">
              <controlPr defaultSize="0" autoFill="0" autoLine="0" autoPict="0">
                <anchor moveWithCells="1">
                  <from>
                    <xdr:col>6</xdr:col>
                    <xdr:colOff>361950</xdr:colOff>
                    <xdr:row>33</xdr:row>
                    <xdr:rowOff>180975</xdr:rowOff>
                  </from>
                  <to>
                    <xdr:col>7</xdr:col>
                    <xdr:colOff>295275</xdr:colOff>
                    <xdr:row>35</xdr:row>
                    <xdr:rowOff>19050</xdr:rowOff>
                  </to>
                </anchor>
              </controlPr>
            </control>
          </mc:Choice>
        </mc:AlternateContent>
        <mc:AlternateContent xmlns:mc="http://schemas.openxmlformats.org/markup-compatibility/2006">
          <mc:Choice Requires="x14">
            <control shapeId="20178980" r:id="rId39" name="Check Box 36">
              <controlPr defaultSize="0" autoFill="0" autoLine="0" autoPict="0">
                <anchor moveWithCells="1">
                  <from>
                    <xdr:col>6</xdr:col>
                    <xdr:colOff>361950</xdr:colOff>
                    <xdr:row>34</xdr:row>
                    <xdr:rowOff>180975</xdr:rowOff>
                  </from>
                  <to>
                    <xdr:col>7</xdr:col>
                    <xdr:colOff>295275</xdr:colOff>
                    <xdr:row>36</xdr:row>
                    <xdr:rowOff>19050</xdr:rowOff>
                  </to>
                </anchor>
              </controlPr>
            </control>
          </mc:Choice>
        </mc:AlternateContent>
        <mc:AlternateContent xmlns:mc="http://schemas.openxmlformats.org/markup-compatibility/2006">
          <mc:Choice Requires="x14">
            <control shapeId="20178981" r:id="rId40" name="Check Box 37">
              <controlPr defaultSize="0" autoFill="0" autoLine="0" autoPict="0">
                <anchor moveWithCells="1">
                  <from>
                    <xdr:col>6</xdr:col>
                    <xdr:colOff>361950</xdr:colOff>
                    <xdr:row>35</xdr:row>
                    <xdr:rowOff>180975</xdr:rowOff>
                  </from>
                  <to>
                    <xdr:col>7</xdr:col>
                    <xdr:colOff>295275</xdr:colOff>
                    <xdr:row>37</xdr:row>
                    <xdr:rowOff>19050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07C3D-BAA1-422A-9D47-DBC2DA096FEB}">
  <sheetPr codeName="Sheet139"/>
  <dimension ref="A1:J50"/>
  <sheetViews>
    <sheetView workbookViewId="0">
      <selection activeCell="K1" sqref="K1"/>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BPA0267</v>
      </c>
    </row>
    <row r="2" spans="1:9" ht="15.75" customHeight="1" thickTop="1" x14ac:dyDescent="0.35">
      <c r="A2" s="248" t="str">
        <f ca="1">C4&amp;" - "&amp;C5&amp;" - "&amp;C7</f>
        <v>BPA0267 - Lachlan Hume - 200 Mount Pleasant Rd, Eltham VIC 3095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BPA0267</v>
      </c>
      <c r="D4" s="134"/>
      <c r="E4" s="134"/>
      <c r="F4" s="134"/>
      <c r="G4" s="134"/>
      <c r="H4" s="123"/>
      <c r="I4" s="123"/>
    </row>
    <row r="5" spans="1:9" x14ac:dyDescent="0.25">
      <c r="A5" s="254" t="s">
        <v>2835</v>
      </c>
      <c r="B5" s="255"/>
      <c r="C5" s="123" t="s">
        <v>319</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3108</v>
      </c>
      <c r="D7" s="123"/>
      <c r="E7" s="123"/>
      <c r="F7" s="123"/>
      <c r="G7" s="123"/>
      <c r="H7" s="123"/>
      <c r="I7" s="124"/>
    </row>
    <row r="8" spans="1:9" x14ac:dyDescent="0.25">
      <c r="A8" s="254" t="s">
        <v>2842</v>
      </c>
      <c r="B8" s="255"/>
      <c r="C8" s="123" t="s">
        <v>320</v>
      </c>
      <c r="D8" s="123"/>
      <c r="E8" s="123"/>
      <c r="F8" s="123"/>
      <c r="G8" s="123"/>
      <c r="H8" s="123"/>
      <c r="I8" s="124"/>
    </row>
    <row r="9" spans="1:9" x14ac:dyDescent="0.25">
      <c r="A9" s="254" t="s">
        <v>2844</v>
      </c>
      <c r="B9" s="255"/>
      <c r="C9" s="123" t="s">
        <v>3109</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0</v>
      </c>
      <c r="B28" s="123" t="s">
        <v>2861</v>
      </c>
      <c r="C28" s="123"/>
      <c r="D28" s="123"/>
      <c r="E28" s="129" t="b">
        <v>0</v>
      </c>
      <c r="F28" s="123" t="s">
        <v>2862</v>
      </c>
      <c r="G28" s="123"/>
      <c r="H28" s="123"/>
      <c r="I28" s="123"/>
      <c r="J28" s="168"/>
    </row>
    <row r="29" spans="1:10" x14ac:dyDescent="0.25">
      <c r="A29" s="129" t="b">
        <v>0</v>
      </c>
      <c r="B29" s="123" t="s">
        <v>2863</v>
      </c>
      <c r="C29" s="123"/>
      <c r="D29" s="123"/>
      <c r="E29" s="129"/>
      <c r="F29" s="123" t="s">
        <v>2864</v>
      </c>
      <c r="G29" s="123"/>
      <c r="H29" s="123"/>
      <c r="I29" s="123"/>
    </row>
    <row r="30" spans="1:10" x14ac:dyDescent="0.25">
      <c r="A30" s="129"/>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4950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34950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34950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34950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34950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34951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34951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34951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34951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34951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34951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34951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34951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34951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34951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34952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34952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34952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34952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349524"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34952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34952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34952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34952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34952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34953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34953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34953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34953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34953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34953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34953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34953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34953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34953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34954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34954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E72C-B785-43DB-912A-4CF3A4E44B67}">
  <sheetPr codeName="Sheet138"/>
  <dimension ref="A1:J50"/>
  <sheetViews>
    <sheetView workbookViewId="0">
      <selection activeCell="C9" sqref="C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BPA0266</v>
      </c>
    </row>
    <row r="2" spans="1:9" ht="15.75" customHeight="1" thickTop="1" x14ac:dyDescent="0.35">
      <c r="A2" s="248" t="str">
        <f ca="1">C4&amp;" - "&amp;C5&amp;" - "&amp;C7</f>
        <v>BPA0266 - Justin Jackson - 15 Casey Crescent, Broadford VIC 3658</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BPA0266</v>
      </c>
      <c r="D4" s="134"/>
      <c r="E4" s="134"/>
      <c r="F4" s="134"/>
      <c r="G4" s="134"/>
      <c r="H4" s="123"/>
      <c r="I4" s="123"/>
    </row>
    <row r="5" spans="1:9" x14ac:dyDescent="0.25">
      <c r="A5" s="254" t="s">
        <v>2835</v>
      </c>
      <c r="B5" s="255"/>
      <c r="C5" s="123" t="s">
        <v>315</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3110</v>
      </c>
      <c r="D7" s="123"/>
      <c r="E7" s="123"/>
      <c r="F7" s="123"/>
      <c r="G7" s="123"/>
      <c r="H7" s="123"/>
      <c r="I7" s="124"/>
    </row>
    <row r="8" spans="1:9" x14ac:dyDescent="0.25">
      <c r="A8" s="254" t="s">
        <v>2842</v>
      </c>
      <c r="B8" s="255"/>
      <c r="C8" s="123" t="s">
        <v>316</v>
      </c>
      <c r="D8" s="123"/>
      <c r="E8" s="123"/>
      <c r="F8" s="123"/>
      <c r="G8" s="123"/>
      <c r="H8" s="123"/>
      <c r="I8" s="124"/>
    </row>
    <row r="9" spans="1:9" x14ac:dyDescent="0.25">
      <c r="A9" s="254" t="s">
        <v>2844</v>
      </c>
      <c r="B9" s="255"/>
      <c r="C9" s="140" t="s">
        <v>3111</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0</v>
      </c>
      <c r="B28" s="123" t="s">
        <v>2861</v>
      </c>
      <c r="C28" s="123"/>
      <c r="D28" s="123"/>
      <c r="E28" s="129" t="b">
        <v>0</v>
      </c>
      <c r="F28" s="123" t="s">
        <v>2862</v>
      </c>
      <c r="G28" s="123"/>
      <c r="H28" s="123"/>
      <c r="I28" s="123"/>
      <c r="J28" s="168"/>
    </row>
    <row r="29" spans="1:10" x14ac:dyDescent="0.25">
      <c r="A29" s="129" t="b">
        <v>0</v>
      </c>
      <c r="B29" s="123" t="s">
        <v>2863</v>
      </c>
      <c r="C29" s="123"/>
      <c r="D29" s="123"/>
      <c r="E29" s="129"/>
      <c r="F29" s="123" t="s">
        <v>2864</v>
      </c>
      <c r="G29" s="123"/>
      <c r="H29" s="123"/>
      <c r="I29" s="123"/>
    </row>
    <row r="30" spans="1:10" x14ac:dyDescent="0.25">
      <c r="A30" s="129"/>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45714</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2A39FD27-AB36-47F3-9198-8D46B96DBFED}"/>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34848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34848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34848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34848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34848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34848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34848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34848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34848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34849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34849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34849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34849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34849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34849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34849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34849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34849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34849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348500"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34850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34850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34850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34850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34850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34850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34850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34850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34850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34851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34851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34851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34851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34851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34851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34851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34851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96BDC-BC84-4FA0-A306-F29FC513A90C}">
  <sheetPr codeName="Sheet48"/>
  <dimension ref="A1:J50"/>
  <sheetViews>
    <sheetView workbookViewId="0">
      <selection activeCell="C9" sqref="C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BPA0265</v>
      </c>
    </row>
    <row r="2" spans="1:9" ht="15.75" customHeight="1" thickTop="1" x14ac:dyDescent="0.35">
      <c r="A2" s="248" t="str">
        <f ca="1">C4&amp;" - "&amp;C5&amp;" - "&amp;C7</f>
        <v>BPA0265 - Stjepan Marinovic - 10 Egan Ct, Darley VIC 3340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BPA0265</v>
      </c>
      <c r="D4" s="134"/>
      <c r="E4" s="134"/>
      <c r="F4" s="134"/>
      <c r="G4" s="134"/>
      <c r="H4" s="123"/>
      <c r="I4" s="123"/>
    </row>
    <row r="5" spans="1:9" x14ac:dyDescent="0.25">
      <c r="A5" s="254" t="s">
        <v>2835</v>
      </c>
      <c r="B5" s="255"/>
      <c r="C5" s="123" t="s">
        <v>309</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3112</v>
      </c>
      <c r="D7" s="123"/>
      <c r="E7" s="123"/>
      <c r="F7" s="123"/>
      <c r="G7" s="123"/>
      <c r="H7" s="123"/>
      <c r="I7" s="124"/>
    </row>
    <row r="8" spans="1:9" x14ac:dyDescent="0.25">
      <c r="A8" s="254" t="s">
        <v>2842</v>
      </c>
      <c r="B8" s="255"/>
      <c r="C8" s="123" t="s">
        <v>310</v>
      </c>
      <c r="D8" s="123"/>
      <c r="E8" s="123"/>
      <c r="F8" s="123"/>
      <c r="G8" s="123"/>
      <c r="H8" s="123"/>
      <c r="I8" s="124"/>
    </row>
    <row r="9" spans="1:9" x14ac:dyDescent="0.25">
      <c r="A9" s="254" t="s">
        <v>2844</v>
      </c>
      <c r="B9" s="255"/>
      <c r="C9" s="140" t="s">
        <v>3113</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0</v>
      </c>
      <c r="B28" s="123" t="s">
        <v>2861</v>
      </c>
      <c r="C28" s="123"/>
      <c r="D28" s="123"/>
      <c r="E28" s="129" t="b">
        <v>0</v>
      </c>
      <c r="F28" s="123" t="s">
        <v>2862</v>
      </c>
      <c r="G28" s="123"/>
      <c r="H28" s="123"/>
      <c r="I28" s="123"/>
      <c r="J28" s="168"/>
    </row>
    <row r="29" spans="1:10" x14ac:dyDescent="0.25">
      <c r="A29" s="129" t="b">
        <v>0</v>
      </c>
      <c r="B29" s="123" t="s">
        <v>2863</v>
      </c>
      <c r="C29" s="123"/>
      <c r="D29" s="123"/>
      <c r="E29" s="129"/>
      <c r="F29" s="123" t="s">
        <v>2864</v>
      </c>
      <c r="G29" s="123"/>
      <c r="H29" s="123"/>
      <c r="I29" s="123"/>
    </row>
    <row r="30" spans="1:10" x14ac:dyDescent="0.25">
      <c r="A30" s="129"/>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45706</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3793222E-1DD2-4F62-9F5D-6969B5E422AC}"/>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34745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34745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34745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34746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34746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34746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34746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34746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34746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34746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34746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34746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34746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34747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34747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34747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34747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34747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34747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347476"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34747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34747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34747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34748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34748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34748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34748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34748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34748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34748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34748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34748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34748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34749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34749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34749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34749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A5BB-1D74-4EC3-B90A-8DB761C58210}">
  <sheetPr codeName="Sheet135"/>
  <dimension ref="A1:J50"/>
  <sheetViews>
    <sheetView workbookViewId="0">
      <selection activeCell="M23" sqref="M23"/>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BPA0262</v>
      </c>
    </row>
    <row r="2" spans="1:9" ht="15.75" customHeight="1" thickTop="1" x14ac:dyDescent="0.35">
      <c r="A2" s="248" t="str">
        <f ca="1">C4&amp;" - "&amp;C5&amp;" - "&amp;C7</f>
        <v>BPA0262 - Donne &amp; Bernard Tyquin - 22 Stockfeld St, Sunbury VIC 3429</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BPA0262</v>
      </c>
      <c r="D4" s="134"/>
      <c r="E4" s="134"/>
      <c r="F4" s="134"/>
      <c r="G4" s="134"/>
      <c r="H4" s="123"/>
      <c r="I4" s="123"/>
    </row>
    <row r="5" spans="1:9" x14ac:dyDescent="0.25">
      <c r="A5" s="254" t="s">
        <v>2835</v>
      </c>
      <c r="B5" s="255"/>
      <c r="C5" s="123" t="s">
        <v>3114</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3115</v>
      </c>
      <c r="D7" s="123"/>
      <c r="E7" s="123"/>
      <c r="F7" s="123"/>
      <c r="G7" s="123"/>
      <c r="H7" s="123"/>
      <c r="I7" s="124"/>
    </row>
    <row r="8" spans="1:9" x14ac:dyDescent="0.25">
      <c r="A8" s="254" t="s">
        <v>2842</v>
      </c>
      <c r="B8" s="255"/>
      <c r="C8" s="123" t="s">
        <v>305</v>
      </c>
      <c r="D8" s="123"/>
      <c r="E8" s="123"/>
      <c r="F8" s="123"/>
      <c r="G8" s="123"/>
      <c r="H8" s="123"/>
      <c r="I8" s="124"/>
    </row>
    <row r="9" spans="1:9" x14ac:dyDescent="0.25">
      <c r="A9" s="254" t="s">
        <v>2844</v>
      </c>
      <c r="B9" s="255"/>
      <c r="C9" s="140" t="s">
        <v>3116</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t="s">
        <v>3117</v>
      </c>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v>1447</v>
      </c>
      <c r="E23" s="138"/>
      <c r="F23" s="138"/>
      <c r="G23" s="138"/>
      <c r="H23" s="262" t="s">
        <v>2986</v>
      </c>
      <c r="I23" s="263"/>
    </row>
    <row r="24" spans="1:10" x14ac:dyDescent="0.25">
      <c r="A24" s="136" t="s">
        <v>2857</v>
      </c>
      <c r="B24" s="123"/>
      <c r="C24" s="123"/>
      <c r="D24" s="137">
        <f>7*20</f>
        <v>140</v>
      </c>
      <c r="E24" s="138"/>
      <c r="F24" s="138"/>
      <c r="G24" s="138"/>
      <c r="H24" s="170" t="s">
        <v>1125</v>
      </c>
      <c r="I24" s="171">
        <f>IF(D24&gt;0,D24,"")</f>
        <v>140</v>
      </c>
    </row>
    <row r="25" spans="1:10" x14ac:dyDescent="0.25">
      <c r="A25" s="136" t="s">
        <v>2858</v>
      </c>
      <c r="B25" s="123"/>
      <c r="C25" s="123"/>
      <c r="D25" s="137" t="s">
        <v>2930</v>
      </c>
      <c r="E25" s="138"/>
      <c r="F25" s="138"/>
      <c r="G25" s="138"/>
      <c r="H25" s="170" t="s">
        <v>3086</v>
      </c>
      <c r="I25" s="171"/>
    </row>
    <row r="26" spans="1:10" x14ac:dyDescent="0.25">
      <c r="A26" s="136" t="s">
        <v>2859</v>
      </c>
      <c r="B26" s="123"/>
      <c r="C26" s="123"/>
      <c r="D26" s="137"/>
      <c r="E26" s="138"/>
      <c r="F26" s="138"/>
      <c r="G26" s="138"/>
      <c r="H26" s="170" t="s">
        <v>2848</v>
      </c>
      <c r="I26" s="171">
        <f>IF(D23&gt;0,D23,"")</f>
        <v>1447</v>
      </c>
      <c r="J26" s="109">
        <f>(I24+I25)/I26*100</f>
        <v>9.675190048375951</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0</v>
      </c>
      <c r="B28" s="123" t="s">
        <v>2861</v>
      </c>
      <c r="C28" s="123"/>
      <c r="D28" s="123"/>
      <c r="E28" s="129" t="b">
        <v>0</v>
      </c>
      <c r="F28" s="123" t="s">
        <v>2862</v>
      </c>
      <c r="G28" s="123"/>
      <c r="H28" s="123"/>
      <c r="I28" s="123"/>
      <c r="J28" s="168"/>
    </row>
    <row r="29" spans="1:10" x14ac:dyDescent="0.25">
      <c r="A29" s="129" t="b">
        <v>0</v>
      </c>
      <c r="B29" s="123" t="s">
        <v>2863</v>
      </c>
      <c r="C29" s="123"/>
      <c r="D29" s="123"/>
      <c r="E29" s="129"/>
      <c r="F29" s="123" t="s">
        <v>2864</v>
      </c>
      <c r="G29" s="123"/>
      <c r="H29" s="123"/>
      <c r="I29" s="123"/>
    </row>
    <row r="30" spans="1:10" x14ac:dyDescent="0.25">
      <c r="A30" s="129"/>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v>45702</v>
      </c>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39" t="s">
        <v>2872</v>
      </c>
      <c r="C34" s="123" t="s">
        <v>3118</v>
      </c>
      <c r="D34" s="123"/>
      <c r="E34" s="123" t="s">
        <v>2873</v>
      </c>
      <c r="G34" s="123"/>
      <c r="H34" s="123" t="s">
        <v>2874</v>
      </c>
    </row>
    <row r="35" spans="1:9" x14ac:dyDescent="0.25">
      <c r="A35" s="129" t="b">
        <v>1</v>
      </c>
      <c r="B35" s="123" t="s">
        <v>2875</v>
      </c>
      <c r="C35" s="123"/>
      <c r="D35" s="123"/>
      <c r="E35" s="185" t="s">
        <v>2876</v>
      </c>
      <c r="G35" s="123"/>
      <c r="H35" s="123" t="s">
        <v>2877</v>
      </c>
      <c r="I35" s="123"/>
    </row>
    <row r="36" spans="1:9" x14ac:dyDescent="0.25">
      <c r="A36" s="129" t="b">
        <v>1</v>
      </c>
      <c r="B36" s="123" t="s">
        <v>2878</v>
      </c>
      <c r="C36" s="123"/>
      <c r="D36" s="123"/>
      <c r="E36" s="123" t="s">
        <v>2879</v>
      </c>
      <c r="G36" s="123"/>
      <c r="H36" s="185"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C2C6EBAD-758C-434C-87E4-45F19AF8A0C6}"/>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907712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07712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07712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07712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07712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07712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07712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07712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907712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07713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07713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07713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07713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07713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07713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907713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07713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07713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07713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077140"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907714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07714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07714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07714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07714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07714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07714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07714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07714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07715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907715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907715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907715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907715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907715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907715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907715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5D37B-4AD1-458B-B4EA-433DA1586A49}">
  <sheetPr codeName="Sheet133"/>
  <dimension ref="A1:J50"/>
  <sheetViews>
    <sheetView workbookViewId="0">
      <selection activeCell="Q27" sqref="Q27"/>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BPA0260</v>
      </c>
    </row>
    <row r="2" spans="1:9" ht="15.75" customHeight="1" thickTop="1" x14ac:dyDescent="0.35">
      <c r="A2" s="248" t="str">
        <f ca="1">C4&amp;" - "&amp;C5&amp;" - "&amp;C7</f>
        <v>BPA0260 - Kevin Hooper - 7 Saunders Rd, Cobaw VIC 3442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BPA0260</v>
      </c>
      <c r="D4" s="134"/>
      <c r="E4" s="134"/>
      <c r="F4" s="134"/>
      <c r="G4" s="134"/>
      <c r="H4" s="123"/>
      <c r="I4" s="123"/>
    </row>
    <row r="5" spans="1:9" x14ac:dyDescent="0.25">
      <c r="A5" s="254" t="s">
        <v>2835</v>
      </c>
      <c r="B5" s="255"/>
      <c r="C5" s="123" t="s">
        <v>297</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3119</v>
      </c>
      <c r="D7" s="123"/>
      <c r="E7" s="123"/>
      <c r="F7" s="123"/>
      <c r="G7" s="123"/>
      <c r="H7" s="123"/>
      <c r="I7" s="124"/>
    </row>
    <row r="8" spans="1:9" x14ac:dyDescent="0.25">
      <c r="A8" s="254" t="s">
        <v>2842</v>
      </c>
      <c r="B8" s="255"/>
      <c r="C8" s="123" t="s">
        <v>298</v>
      </c>
      <c r="D8" s="123"/>
      <c r="E8" s="123"/>
      <c r="F8" s="123"/>
      <c r="G8" s="123"/>
      <c r="H8" s="123"/>
      <c r="I8" s="124"/>
    </row>
    <row r="9" spans="1:9" x14ac:dyDescent="0.25">
      <c r="A9" s="254" t="s">
        <v>2844</v>
      </c>
      <c r="B9" s="255"/>
      <c r="C9" s="140" t="s">
        <v>3120</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1</v>
      </c>
      <c r="B28" s="123" t="s">
        <v>2861</v>
      </c>
      <c r="C28" s="123"/>
      <c r="D28" s="123"/>
      <c r="E28" s="129" t="b">
        <v>0</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c r="F30" s="123" t="s">
        <v>2866</v>
      </c>
      <c r="G30" s="123"/>
      <c r="H30" s="123"/>
      <c r="I30" s="123"/>
    </row>
    <row r="31" spans="1:10" x14ac:dyDescent="0.25">
      <c r="A31" s="129" t="b">
        <v>1</v>
      </c>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39" t="s">
        <v>2871</v>
      </c>
    </row>
    <row r="34" spans="1:9" x14ac:dyDescent="0.25">
      <c r="A34" s="129"/>
      <c r="B34" s="139" t="s">
        <v>2872</v>
      </c>
      <c r="C34" s="123">
        <v>4</v>
      </c>
      <c r="D34" s="123"/>
      <c r="E34" s="123" t="s">
        <v>2873</v>
      </c>
      <c r="G34" s="123"/>
      <c r="H34" s="123" t="s">
        <v>2874</v>
      </c>
    </row>
    <row r="35" spans="1:9" x14ac:dyDescent="0.25">
      <c r="A35" s="129" t="b">
        <v>1</v>
      </c>
      <c r="B35" s="123" t="s">
        <v>2875</v>
      </c>
      <c r="C35" s="123"/>
      <c r="D35" s="123"/>
      <c r="E35" s="123" t="s">
        <v>2876</v>
      </c>
      <c r="G35" s="123"/>
      <c r="H35" s="139"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54035140-C6B8-4FD6-BB24-E96EA38F380A}"/>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894400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94400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94400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94400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94400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94400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94400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944008"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94400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94401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94401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94401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94401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94401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94401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94401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94401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94401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94401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944020"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94402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94402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94402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94402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94402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94402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94402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944028"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944029"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944030"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944031"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944032"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944033"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944034"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944035"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944036"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944037"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F8FC5-EC94-42F7-9E25-3A0BCD81EA12}">
  <sheetPr codeName="Sheet97"/>
  <dimension ref="A1:J50"/>
  <sheetViews>
    <sheetView workbookViewId="0">
      <selection activeCell="K25" sqref="K25"/>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BPA0256</v>
      </c>
    </row>
    <row r="2" spans="1:9" ht="15.75" customHeight="1" thickTop="1" x14ac:dyDescent="0.35">
      <c r="A2" s="248" t="str">
        <f ca="1">C4&amp;" - "&amp;C5&amp;" - "&amp;C7</f>
        <v>BPA0256 - Neville &amp; Heather Field - 6 Holden Street, Hamilton VIC 3300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BPA0256</v>
      </c>
      <c r="D4" s="134"/>
      <c r="E4" s="134"/>
      <c r="F4" s="134"/>
      <c r="G4" s="134"/>
      <c r="H4" s="123"/>
      <c r="I4" s="123"/>
    </row>
    <row r="5" spans="1:9" x14ac:dyDescent="0.25">
      <c r="A5" s="254" t="s">
        <v>2835</v>
      </c>
      <c r="B5" s="255"/>
      <c r="C5" s="123" t="s">
        <v>3121</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3122</v>
      </c>
      <c r="D7" s="123"/>
      <c r="E7" s="123"/>
      <c r="F7" s="123"/>
      <c r="G7" s="123"/>
      <c r="H7" s="123"/>
      <c r="I7" s="124"/>
    </row>
    <row r="8" spans="1:9" x14ac:dyDescent="0.25">
      <c r="A8" s="254" t="s">
        <v>2842</v>
      </c>
      <c r="B8" s="255"/>
      <c r="C8" s="123" t="s">
        <v>291</v>
      </c>
      <c r="D8" s="123"/>
      <c r="E8" s="123"/>
      <c r="F8" s="123"/>
      <c r="G8" s="123"/>
      <c r="H8" s="123"/>
      <c r="I8" s="124"/>
    </row>
    <row r="9" spans="1:9" x14ac:dyDescent="0.25">
      <c r="A9" s="254" t="s">
        <v>2844</v>
      </c>
      <c r="B9" s="255"/>
      <c r="C9" s="123" t="s">
        <v>3123</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t="s">
        <v>3064</v>
      </c>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0</v>
      </c>
      <c r="B29" s="123" t="s">
        <v>2863</v>
      </c>
      <c r="C29" s="123"/>
      <c r="D29" s="123"/>
      <c r="E29" s="129" t="b">
        <v>1</v>
      </c>
      <c r="F29" s="123" t="s">
        <v>2864</v>
      </c>
      <c r="G29" s="123"/>
      <c r="H29" s="123"/>
      <c r="I29" s="123"/>
    </row>
    <row r="30" spans="1:10" x14ac:dyDescent="0.25">
      <c r="A30" s="129"/>
      <c r="B30" s="123" t="s">
        <v>2865</v>
      </c>
      <c r="C30" s="123"/>
      <c r="D30" s="123"/>
      <c r="E30" s="129" t="b">
        <v>1</v>
      </c>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c r="B34" s="139"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528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5528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5528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5528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5528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5528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5528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55284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5528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5528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5528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5528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5528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5528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5528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5528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5528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5528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5528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552852"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5528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5528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5528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5528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5528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5528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5528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55286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55286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55286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55286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55286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55286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55286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55286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55286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55286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8D5B8-A08C-449F-886F-D458DB4AB4EA}">
  <sheetPr codeName="Sheet131"/>
  <dimension ref="A1:J50"/>
  <sheetViews>
    <sheetView workbookViewId="0">
      <selection activeCell="L25" sqref="L25"/>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E0007</v>
      </c>
    </row>
    <row r="2" spans="1:9" ht="15.75" customHeight="1" thickTop="1" x14ac:dyDescent="0.35">
      <c r="A2" s="248" t="str">
        <f ca="1">C4&amp;" - "&amp;C5&amp;" - "&amp;C7</f>
        <v>E0007 - John Barta - 66 Simpsons Rd, Eaglehawk VIC 3556</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E0007</v>
      </c>
      <c r="D4" s="134"/>
      <c r="E4" s="134"/>
      <c r="F4" s="134"/>
      <c r="G4" s="134"/>
      <c r="H4" s="123"/>
      <c r="I4" s="123"/>
    </row>
    <row r="5" spans="1:9" x14ac:dyDescent="0.25">
      <c r="A5" s="254" t="s">
        <v>2835</v>
      </c>
      <c r="B5" s="255"/>
      <c r="C5" s="123" t="s">
        <v>54</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3124</v>
      </c>
      <c r="D7" s="123"/>
      <c r="E7" s="123"/>
      <c r="F7" s="123"/>
      <c r="G7" s="123"/>
      <c r="H7" s="123"/>
      <c r="I7" s="124"/>
    </row>
    <row r="8" spans="1:9" x14ac:dyDescent="0.25">
      <c r="A8" s="254" t="s">
        <v>2842</v>
      </c>
      <c r="B8" s="255"/>
      <c r="C8" s="123" t="s">
        <v>55</v>
      </c>
      <c r="D8" s="123"/>
      <c r="E8" s="123"/>
      <c r="F8" s="123"/>
      <c r="G8" s="123"/>
      <c r="H8" s="123"/>
      <c r="I8" s="124"/>
    </row>
    <row r="9" spans="1:9" x14ac:dyDescent="0.25">
      <c r="A9" s="254" t="s">
        <v>2844</v>
      </c>
      <c r="B9" s="255"/>
      <c r="C9" s="123" t="s">
        <v>3125</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v>52709</v>
      </c>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t="s">
        <v>3126</v>
      </c>
      <c r="E24" s="138"/>
      <c r="F24" s="138"/>
      <c r="G24" s="138"/>
      <c r="H24" s="170" t="s">
        <v>1125</v>
      </c>
      <c r="I24" s="171" t="str">
        <f>IF(D24&gt;0,D24,"")</f>
        <v>120m²</v>
      </c>
    </row>
    <row r="25" spans="1:10" x14ac:dyDescent="0.25">
      <c r="A25" s="136" t="s">
        <v>2858</v>
      </c>
      <c r="B25" s="123"/>
      <c r="C25" s="123"/>
      <c r="D25" s="137" t="s">
        <v>3065</v>
      </c>
      <c r="E25" s="138"/>
      <c r="F25" s="138"/>
      <c r="G25" s="138"/>
      <c r="H25" s="170" t="s">
        <v>3086</v>
      </c>
      <c r="I25" s="171"/>
    </row>
    <row r="26" spans="1:10" x14ac:dyDescent="0.25">
      <c r="A26" s="136" t="s">
        <v>2859</v>
      </c>
      <c r="B26" s="123"/>
      <c r="C26" s="123"/>
      <c r="D26" s="137">
        <v>1</v>
      </c>
      <c r="E26" s="138"/>
      <c r="F26" s="138"/>
      <c r="G26" s="138"/>
      <c r="H26" s="170" t="s">
        <v>2848</v>
      </c>
      <c r="I26" s="171" t="str">
        <f>IF(D23&gt;0,D23,"")</f>
        <v/>
      </c>
      <c r="J26" s="109" t="e">
        <f>(I24+I25)/I26*100</f>
        <v>#VALUE!</v>
      </c>
    </row>
    <row r="27" spans="1:10" ht="15.75" thickBot="1" x14ac:dyDescent="0.3">
      <c r="A27" s="136" t="s">
        <v>2860</v>
      </c>
      <c r="B27" s="123"/>
      <c r="C27" s="123"/>
      <c r="D27" s="137" t="s">
        <v>2965</v>
      </c>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t="b">
        <v>1</v>
      </c>
      <c r="F30" s="123" t="s">
        <v>2866</v>
      </c>
      <c r="G30" s="123"/>
      <c r="H30" s="123"/>
      <c r="I30" s="123"/>
    </row>
    <row r="31" spans="1:10" x14ac:dyDescent="0.25">
      <c r="A31" s="129"/>
      <c r="B31" s="123" t="s">
        <v>2867</v>
      </c>
      <c r="C31" s="123"/>
      <c r="D31" s="123"/>
      <c r="E31" s="123"/>
      <c r="F31" s="123"/>
      <c r="G31" s="123"/>
      <c r="H31" s="123"/>
      <c r="I31" s="143">
        <v>45677</v>
      </c>
    </row>
    <row r="32" spans="1:10"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626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1626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1626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1626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1626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1626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1626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1626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1626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1626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1626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1627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1627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1627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1627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1627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1627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1627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1627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1627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1627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1627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1627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1627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1627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1627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1627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1627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1627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1627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1627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1627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1627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1627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1627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1627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1627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518F7-A0CA-4255-ACFB-EA7F28CA9601}">
  <sheetPr codeName="Sheet113"/>
  <dimension ref="A1:J50"/>
  <sheetViews>
    <sheetView workbookViewId="0">
      <selection activeCell="B28" sqref="B28"/>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BPA0253</v>
      </c>
    </row>
    <row r="2" spans="1:9" ht="15.75" customHeight="1" thickTop="1" x14ac:dyDescent="0.35">
      <c r="A2" s="248" t="str">
        <f ca="1">C4&amp;" - "&amp;C5&amp;" - "&amp;C7</f>
        <v>BPA0253 - Michael Parsons - 11 Eden St, Footscray VIC 3011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BPA0253</v>
      </c>
      <c r="D4" s="134"/>
      <c r="E4" s="134"/>
      <c r="F4" s="134"/>
      <c r="G4" s="134"/>
      <c r="H4" s="123"/>
      <c r="I4" s="123"/>
    </row>
    <row r="5" spans="1:9" x14ac:dyDescent="0.25">
      <c r="A5" s="254" t="s">
        <v>2835</v>
      </c>
      <c r="B5" s="255"/>
      <c r="C5" s="123" t="s">
        <v>284</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3127</v>
      </c>
      <c r="D7" s="123"/>
      <c r="E7" s="123"/>
      <c r="F7" s="123"/>
      <c r="G7" s="123"/>
      <c r="H7" s="123"/>
      <c r="I7" s="124"/>
    </row>
    <row r="8" spans="1:9" x14ac:dyDescent="0.25">
      <c r="A8" s="254" t="s">
        <v>2842</v>
      </c>
      <c r="B8" s="255"/>
      <c r="C8" s="123" t="s">
        <v>285</v>
      </c>
      <c r="D8" s="123"/>
      <c r="E8" s="123"/>
      <c r="F8" s="123"/>
      <c r="G8" s="123"/>
      <c r="H8" s="123"/>
      <c r="I8" s="124"/>
    </row>
    <row r="9" spans="1:9" x14ac:dyDescent="0.25">
      <c r="A9" s="254" t="s">
        <v>2844</v>
      </c>
      <c r="B9" s="255"/>
      <c r="C9" s="123" t="s">
        <v>3128</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v>13278</v>
      </c>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t="s">
        <v>3129</v>
      </c>
      <c r="E24" s="138">
        <v>0</v>
      </c>
      <c r="F24" s="138"/>
      <c r="G24" s="138"/>
      <c r="H24" s="170" t="s">
        <v>1125</v>
      </c>
      <c r="I24" s="171" t="str">
        <f>IF(D24&gt;0,D24,"")</f>
        <v>42m²</v>
      </c>
    </row>
    <row r="25" spans="1:10" x14ac:dyDescent="0.25">
      <c r="A25" s="136" t="s">
        <v>2858</v>
      </c>
      <c r="B25" s="123"/>
      <c r="C25" s="123"/>
      <c r="D25" s="137" t="s">
        <v>3065</v>
      </c>
      <c r="E25" s="138"/>
      <c r="F25" s="138"/>
      <c r="G25" s="138"/>
      <c r="H25" s="170" t="s">
        <v>3086</v>
      </c>
      <c r="I25" s="171"/>
    </row>
    <row r="26" spans="1:10" x14ac:dyDescent="0.25">
      <c r="A26" s="136" t="s">
        <v>2859</v>
      </c>
      <c r="B26" s="123"/>
      <c r="C26" s="123"/>
      <c r="D26" s="137">
        <v>1</v>
      </c>
      <c r="E26" s="138"/>
      <c r="F26" s="138"/>
      <c r="G26" s="138"/>
      <c r="H26" s="170" t="s">
        <v>2848</v>
      </c>
      <c r="I26" s="171" t="str">
        <f>IF(D23&gt;0,D23,"")</f>
        <v/>
      </c>
      <c r="J26" s="109" t="e">
        <f>(I24+I25)/I26*100</f>
        <v>#VALUE!</v>
      </c>
    </row>
    <row r="27" spans="1:10" ht="15.75" thickBot="1" x14ac:dyDescent="0.3">
      <c r="A27" s="136" t="s">
        <v>2860</v>
      </c>
      <c r="B27" s="123"/>
      <c r="C27" s="123"/>
      <c r="D27" s="137" t="s">
        <v>2898</v>
      </c>
      <c r="E27" s="138"/>
      <c r="F27" s="138"/>
      <c r="G27" s="138"/>
      <c r="H27" s="172" t="s">
        <v>3087</v>
      </c>
      <c r="I27" s="173" t="str">
        <f>IF(I25&gt;0,LEFT(J26,5)&amp;"%","")</f>
        <v/>
      </c>
      <c r="J27" s="169"/>
    </row>
    <row r="28" spans="1:10" x14ac:dyDescent="0.25">
      <c r="A28" s="129" t="b">
        <v>1</v>
      </c>
      <c r="B28" s="123" t="s">
        <v>2861</v>
      </c>
      <c r="C28" s="123"/>
      <c r="D28" s="123"/>
      <c r="E28" s="129" t="b">
        <v>0</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346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80346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80346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80346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80346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80346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80346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80346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80346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80346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80346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80347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80347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80347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80347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80347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80347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80347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80347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80347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80347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80347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80347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80347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80347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80347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80347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80347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80347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80347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80347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80347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80347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80347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80347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80347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80347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807E2-0ECF-494E-960A-F7E34765E5C4}">
  <sheetPr codeName="Sheet94"/>
  <dimension ref="A1:J50"/>
  <sheetViews>
    <sheetView workbookViewId="0">
      <selection activeCell="C9" sqref="C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BPA0250</v>
      </c>
    </row>
    <row r="2" spans="1:9" ht="15.75" customHeight="1" thickTop="1" x14ac:dyDescent="0.35">
      <c r="A2" s="248" t="str">
        <f ca="1">C4&amp;" - "&amp;C5&amp;" - "&amp;C7</f>
        <v>BPA0250 - Kersten Vogel - 12 Mayfair Drive, Benalla VIC 3672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BPA0250</v>
      </c>
      <c r="D4" s="134"/>
      <c r="E4" s="134"/>
      <c r="F4" s="134"/>
      <c r="G4" s="134"/>
      <c r="H4" s="123"/>
      <c r="I4" s="123"/>
    </row>
    <row r="5" spans="1:9" x14ac:dyDescent="0.25">
      <c r="A5" s="254" t="s">
        <v>2835</v>
      </c>
      <c r="B5" s="255"/>
      <c r="C5" s="123" t="s">
        <v>278</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3130</v>
      </c>
      <c r="D7" s="123"/>
      <c r="E7" s="123"/>
      <c r="F7" s="123"/>
      <c r="G7" s="123"/>
      <c r="H7" s="123"/>
      <c r="I7" s="124"/>
    </row>
    <row r="8" spans="1:9" x14ac:dyDescent="0.25">
      <c r="A8" s="254" t="s">
        <v>2842</v>
      </c>
      <c r="B8" s="255"/>
      <c r="C8" s="123" t="s">
        <v>279</v>
      </c>
      <c r="D8" s="123"/>
      <c r="E8" s="123"/>
      <c r="F8" s="123"/>
      <c r="G8" s="123"/>
      <c r="H8" s="123"/>
      <c r="I8" s="124"/>
    </row>
    <row r="9" spans="1:9" x14ac:dyDescent="0.25">
      <c r="A9" s="254" t="s">
        <v>2844</v>
      </c>
      <c r="B9" s="255"/>
      <c r="C9" s="140" t="s">
        <v>3131</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t="b">
        <v>1</v>
      </c>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45673</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60CECB61-6AC3-4D81-8B20-9571F45E110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90566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790566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790566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790566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790566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790567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790567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790567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790567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790567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790567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790567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790567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790567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790567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790568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790568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790568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790568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7905684"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790568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790568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790568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790568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790568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790569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790569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90569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790569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790569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790569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790569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790569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790569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790569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790570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790570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06457-2313-4B54-9334-73AB8F8696D6}">
  <sheetPr codeName="Sheet130"/>
  <dimension ref="A1:J50"/>
  <sheetViews>
    <sheetView workbookViewId="0">
      <selection activeCell="I31" sqref="I31"/>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BPA0249</v>
      </c>
    </row>
    <row r="2" spans="1:9" ht="15.75" customHeight="1" thickTop="1" x14ac:dyDescent="0.35">
      <c r="A2" s="248" t="str">
        <f ca="1">C4&amp;" - "&amp;C5&amp;" - "&amp;C7</f>
        <v>BPA0249 - Sue Tabone - 17 Royal Pines Drive, Drouin VIC 3810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BPA0249</v>
      </c>
      <c r="D4" s="134"/>
      <c r="E4" s="134"/>
      <c r="F4" s="134"/>
      <c r="G4" s="134"/>
      <c r="H4" s="123"/>
      <c r="I4" s="123"/>
    </row>
    <row r="5" spans="1:9" x14ac:dyDescent="0.25">
      <c r="A5" s="254" t="s">
        <v>2835</v>
      </c>
      <c r="B5" s="255"/>
      <c r="C5" s="123" t="s">
        <v>2651</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3132</v>
      </c>
      <c r="D7" s="123"/>
      <c r="E7" s="123"/>
      <c r="F7" s="123"/>
      <c r="G7" s="123"/>
      <c r="H7" s="123"/>
      <c r="I7" s="124"/>
    </row>
    <row r="8" spans="1:9" x14ac:dyDescent="0.25">
      <c r="A8" s="254" t="s">
        <v>2842</v>
      </c>
      <c r="B8" s="255"/>
      <c r="C8" s="123" t="s">
        <v>2652</v>
      </c>
      <c r="D8" s="123"/>
      <c r="E8" s="123"/>
      <c r="F8" s="123"/>
      <c r="G8" s="123"/>
      <c r="H8" s="123"/>
      <c r="I8" s="124"/>
    </row>
    <row r="9" spans="1:9" x14ac:dyDescent="0.25">
      <c r="A9" s="254" t="s">
        <v>2844</v>
      </c>
      <c r="B9" s="255"/>
      <c r="C9" s="123" t="s">
        <v>3133</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t="s">
        <v>3064</v>
      </c>
      <c r="G21" s="138"/>
      <c r="H21" s="138"/>
      <c r="I21" s="138"/>
    </row>
    <row r="22" spans="1:10" ht="15.75" thickBot="1" x14ac:dyDescent="0.3">
      <c r="A22" s="136" t="s">
        <v>2855</v>
      </c>
      <c r="B22" s="123"/>
      <c r="C22" s="123"/>
      <c r="D22" s="256">
        <v>53682</v>
      </c>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v>144</v>
      </c>
      <c r="E24" s="138"/>
      <c r="F24" s="138"/>
      <c r="G24" s="138"/>
      <c r="H24" s="170" t="s">
        <v>1125</v>
      </c>
      <c r="I24" s="171">
        <f>IF(D24&gt;0,D24,"")</f>
        <v>144</v>
      </c>
    </row>
    <row r="25" spans="1:10" x14ac:dyDescent="0.25">
      <c r="A25" s="136" t="s">
        <v>2858</v>
      </c>
      <c r="B25" s="123"/>
      <c r="C25" s="123"/>
      <c r="D25" s="137" t="s">
        <v>2930</v>
      </c>
      <c r="E25" s="138"/>
      <c r="F25" s="138"/>
      <c r="G25" s="138"/>
      <c r="H25" s="170" t="s">
        <v>3086</v>
      </c>
      <c r="I25" s="171"/>
    </row>
    <row r="26" spans="1:10" x14ac:dyDescent="0.25">
      <c r="A26" s="136" t="s">
        <v>2859</v>
      </c>
      <c r="B26" s="123"/>
      <c r="C26" s="123"/>
      <c r="D26" s="137">
        <v>1</v>
      </c>
      <c r="E26" s="138"/>
      <c r="F26" s="138"/>
      <c r="G26" s="138"/>
      <c r="H26" s="170" t="s">
        <v>2848</v>
      </c>
      <c r="I26" s="171" t="str">
        <f>IF(D23&gt;0,D23,"")</f>
        <v/>
      </c>
      <c r="J26" s="109" t="e">
        <f>(I24+I25)/I26*100</f>
        <v>#VALUE!</v>
      </c>
    </row>
    <row r="27" spans="1:10" ht="15.75" thickBot="1" x14ac:dyDescent="0.3">
      <c r="A27" s="136" t="s">
        <v>2860</v>
      </c>
      <c r="B27" s="123"/>
      <c r="C27" s="123"/>
      <c r="D27" s="137" t="s">
        <v>3134</v>
      </c>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c r="F30" s="123" t="s">
        <v>2866</v>
      </c>
      <c r="G30" s="123"/>
      <c r="H30" s="123"/>
      <c r="I30" s="123" t="s">
        <v>3135</v>
      </c>
    </row>
    <row r="31" spans="1:10" x14ac:dyDescent="0.25">
      <c r="A31" s="129" t="b">
        <v>1</v>
      </c>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654785"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7654786"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7654787"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7654788"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7654789"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7654790"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7654791"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7654792"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7654793"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7654794"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7654795"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7654796"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7654797"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7654798"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7654799"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7654800"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7654801"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7654802"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7654803"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7654804"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7654805"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7654806"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7654807"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7654808"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7654809"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7654810"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7654811"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654812"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7654813"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7654814"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7654815"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7654816"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7654817"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7654818"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7654819"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7654820"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7654821"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840560-399B-4392-9071-37E1957D88D1}">
  <sheetPr codeName="Sheet87"/>
  <dimension ref="A1:J50"/>
  <sheetViews>
    <sheetView workbookViewId="0">
      <selection activeCell="M27" sqref="M27"/>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BPA0245</v>
      </c>
    </row>
    <row r="2" spans="1:9" ht="15.75" customHeight="1" thickTop="1" x14ac:dyDescent="0.35">
      <c r="A2" s="248" t="str">
        <f ca="1">C4&amp;" - "&amp;C5&amp;" - "&amp;C7</f>
        <v>BPA0245 - Chris Taig - 15 Victoria St, Tarnagulla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BPA0245</v>
      </c>
      <c r="D4" s="134"/>
      <c r="E4" s="134"/>
      <c r="F4" s="134"/>
      <c r="G4" s="134"/>
      <c r="H4" s="123"/>
      <c r="I4" s="123"/>
    </row>
    <row r="5" spans="1:9" x14ac:dyDescent="0.25">
      <c r="A5" s="254" t="s">
        <v>2835</v>
      </c>
      <c r="B5" s="255"/>
      <c r="C5" s="123" t="s">
        <v>272</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3136</v>
      </c>
      <c r="D7" s="123"/>
      <c r="E7" s="123"/>
      <c r="F7" s="123"/>
      <c r="G7" s="123"/>
      <c r="H7" s="123"/>
      <c r="I7" s="124"/>
    </row>
    <row r="8" spans="1:9" x14ac:dyDescent="0.25">
      <c r="A8" s="254" t="s">
        <v>2842</v>
      </c>
      <c r="B8" s="255"/>
      <c r="C8" s="123" t="s">
        <v>273</v>
      </c>
      <c r="D8" s="123"/>
      <c r="E8" s="123"/>
      <c r="F8" s="123"/>
      <c r="G8" s="123"/>
      <c r="H8" s="123"/>
      <c r="I8" s="124"/>
    </row>
    <row r="9" spans="1:9" x14ac:dyDescent="0.25">
      <c r="A9" s="254" t="s">
        <v>2844</v>
      </c>
      <c r="B9" s="255"/>
      <c r="C9" s="123" t="s">
        <v>3137</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t="s">
        <v>3064</v>
      </c>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t="s">
        <v>3138</v>
      </c>
      <c r="E27" s="138"/>
      <c r="F27" s="138"/>
      <c r="G27" s="138"/>
      <c r="H27" s="172" t="s">
        <v>3087</v>
      </c>
      <c r="I27" s="173" t="str">
        <f>IF(I25&gt;0,LEFT(J26,5)&amp;"%","")</f>
        <v/>
      </c>
      <c r="J27" s="169"/>
    </row>
    <row r="28" spans="1:10" x14ac:dyDescent="0.25">
      <c r="A28" s="129" t="b">
        <v>1</v>
      </c>
      <c r="B28" s="123" t="s">
        <v>2861</v>
      </c>
      <c r="C28" s="123"/>
      <c r="D28" s="123"/>
      <c r="E28" s="129" t="b">
        <v>0</v>
      </c>
      <c r="F28" s="123" t="s">
        <v>2862</v>
      </c>
      <c r="G28" s="123"/>
      <c r="H28" s="123"/>
      <c r="I28" s="123"/>
      <c r="J28" s="168"/>
    </row>
    <row r="29" spans="1:10" x14ac:dyDescent="0.25">
      <c r="A29" s="129" t="b">
        <v>0</v>
      </c>
      <c r="B29" s="123" t="s">
        <v>2863</v>
      </c>
      <c r="C29" s="123"/>
      <c r="D29" s="123"/>
      <c r="E29" s="129"/>
      <c r="F29" s="123" t="s">
        <v>2864</v>
      </c>
      <c r="G29" s="123"/>
      <c r="H29" s="123"/>
      <c r="I29" s="123"/>
    </row>
    <row r="30" spans="1:10" x14ac:dyDescent="0.25">
      <c r="A30" s="129"/>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45642</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02297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702297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702297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702298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702298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702298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702298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702298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702298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702298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702298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702298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702298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702299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702299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702299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702299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702299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702299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702299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702299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702299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702299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702300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702300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702300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702300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02300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702300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702300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702300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702300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702300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702301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702301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702301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702301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4E14C-85AD-462F-91E3-668E4700AE19}">
  <sheetPr codeName="Sheet125"/>
  <dimension ref="A1:J50"/>
  <sheetViews>
    <sheetView workbookViewId="0">
      <selection activeCell="H29" sqref="H2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BPA0243</v>
      </c>
    </row>
    <row r="2" spans="1:9" ht="15.75" customHeight="1" thickTop="1" x14ac:dyDescent="0.35">
      <c r="A2" s="248" t="str">
        <f ca="1">C4&amp;" - "&amp;C5&amp;" - "&amp;C7</f>
        <v>BPA0243 - Scott Houlahan - 152 Axe Creek Rd, Axe Creek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BPA0243</v>
      </c>
      <c r="D4" s="134"/>
      <c r="E4" s="134"/>
      <c r="F4" s="134"/>
      <c r="G4" s="134"/>
      <c r="H4" s="123"/>
      <c r="I4" s="123"/>
    </row>
    <row r="5" spans="1:9" x14ac:dyDescent="0.25">
      <c r="A5" s="254" t="s">
        <v>2835</v>
      </c>
      <c r="B5" s="255"/>
      <c r="C5" s="123" t="s">
        <v>266</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3139</v>
      </c>
      <c r="D7" s="123"/>
      <c r="E7" s="123"/>
      <c r="F7" s="123"/>
      <c r="G7" s="123"/>
      <c r="H7" s="123"/>
      <c r="I7" s="124"/>
    </row>
    <row r="8" spans="1:9" x14ac:dyDescent="0.25">
      <c r="A8" s="254" t="s">
        <v>2842</v>
      </c>
      <c r="B8" s="255"/>
      <c r="C8" s="123" t="s">
        <v>267</v>
      </c>
      <c r="D8" s="123"/>
      <c r="E8" s="123"/>
      <c r="F8" s="123"/>
      <c r="G8" s="123"/>
      <c r="H8" s="123"/>
      <c r="I8" s="124"/>
    </row>
    <row r="9" spans="1:9" x14ac:dyDescent="0.25">
      <c r="A9" s="254" t="s">
        <v>2844</v>
      </c>
      <c r="B9" s="255"/>
      <c r="C9" s="123" t="s">
        <v>3140</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t="s">
        <v>3141</v>
      </c>
      <c r="E24" s="138"/>
      <c r="F24" s="138"/>
      <c r="G24" s="138"/>
      <c r="H24" s="170" t="s">
        <v>1125</v>
      </c>
      <c r="I24" s="171" t="str">
        <f>IF(D24&gt;0,D24,"")</f>
        <v>136.8m²</v>
      </c>
    </row>
    <row r="25" spans="1:10" x14ac:dyDescent="0.25">
      <c r="A25" s="136" t="s">
        <v>2858</v>
      </c>
      <c r="B25" s="123"/>
      <c r="C25" s="123"/>
      <c r="D25" s="137">
        <v>0</v>
      </c>
      <c r="E25" s="138"/>
      <c r="F25" s="138"/>
      <c r="G25" s="138"/>
      <c r="H25" s="170" t="s">
        <v>3086</v>
      </c>
      <c r="I25" s="171"/>
    </row>
    <row r="26" spans="1:10" x14ac:dyDescent="0.25">
      <c r="A26" s="136" t="s">
        <v>2859</v>
      </c>
      <c r="B26" s="123"/>
      <c r="C26" s="123"/>
      <c r="D26" s="137">
        <v>1</v>
      </c>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t="b">
        <v>1</v>
      </c>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45637</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7619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677619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677619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677619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677619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677619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677619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677620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677620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677620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677620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677620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677620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677620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677620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677620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677620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677621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677621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6776212"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677621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677621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677621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677621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677621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677621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677621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677622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677622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677622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677622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677622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677622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677622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677622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677622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677622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478F8-E9BD-405C-B7AF-3C1C46ADB22F}">
  <sheetPr codeName="Sheet105"/>
  <dimension ref="A1:J50"/>
  <sheetViews>
    <sheetView workbookViewId="0">
      <selection activeCell="L19" sqref="L19"/>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E0009</v>
      </c>
    </row>
    <row r="2" spans="1:9" ht="15.75" customHeight="1" thickTop="1" x14ac:dyDescent="0.35">
      <c r="A2" s="248" t="str">
        <f ca="1">C4&amp;" - "&amp;C5&amp;" - "&amp;C7</f>
        <v>E0009 - Jo &amp; Stephen Millard - 25 Reef St, Maldon VIC 3463</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E0009</v>
      </c>
      <c r="D4" s="134"/>
      <c r="E4" s="134"/>
      <c r="F4" s="134"/>
      <c r="G4" s="134"/>
      <c r="H4" s="123"/>
      <c r="I4" s="123"/>
    </row>
    <row r="5" spans="1:9" x14ac:dyDescent="0.25">
      <c r="A5" s="254" t="s">
        <v>2835</v>
      </c>
      <c r="B5" s="255"/>
      <c r="C5" s="123" t="s">
        <v>61</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3142</v>
      </c>
      <c r="D7" s="123"/>
      <c r="E7" s="123"/>
      <c r="F7" s="123"/>
      <c r="G7" s="123"/>
      <c r="H7" s="123"/>
      <c r="I7" s="124"/>
    </row>
    <row r="8" spans="1:9" x14ac:dyDescent="0.25">
      <c r="A8" s="254" t="s">
        <v>2842</v>
      </c>
      <c r="B8" s="255"/>
      <c r="C8" s="123" t="s">
        <v>62</v>
      </c>
      <c r="D8" s="123"/>
      <c r="E8" s="123"/>
      <c r="F8" s="123"/>
      <c r="G8" s="123"/>
      <c r="H8" s="123"/>
      <c r="I8" s="124"/>
    </row>
    <row r="9" spans="1:9" x14ac:dyDescent="0.25">
      <c r="A9" s="254" t="s">
        <v>2844</v>
      </c>
      <c r="B9" s="255"/>
      <c r="C9" s="123" t="s">
        <v>3143</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3144</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t="s">
        <v>3145</v>
      </c>
      <c r="E24" s="138"/>
      <c r="F24" s="138"/>
      <c r="G24" s="138"/>
      <c r="H24" s="170" t="s">
        <v>1125</v>
      </c>
      <c r="I24" s="171" t="str">
        <f>IF(D24&gt;0,D24,"")</f>
        <v>48m²</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t="b">
        <v>1</v>
      </c>
      <c r="F30" s="123" t="s">
        <v>2866</v>
      </c>
      <c r="G30" s="123"/>
      <c r="H30" s="123"/>
      <c r="I30" s="123"/>
    </row>
    <row r="31" spans="1:10" x14ac:dyDescent="0.25">
      <c r="A31" s="129" t="b">
        <v>1</v>
      </c>
      <c r="B31" s="123" t="s">
        <v>2867</v>
      </c>
      <c r="C31" s="123"/>
      <c r="D31" s="123"/>
      <c r="E31" s="123"/>
      <c r="F31" s="123"/>
      <c r="G31" s="123"/>
      <c r="H31" s="123"/>
      <c r="I31" s="143">
        <v>45637</v>
      </c>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522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66522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66522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66522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66522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66522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66522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6652296"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66522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66522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66522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66523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66523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66523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66523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66523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66523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66523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66523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6652308"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66523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66523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66523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66523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66523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66523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66523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6652316"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6652317"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6652318"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6652319"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6652320"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6652321"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6652322"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6652323"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6652324"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6652325"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C4338-58A2-4534-8018-CA9EE7AF8C3B}">
  <sheetPr codeName="Sheet7"/>
  <dimension ref="A1:J50"/>
  <sheetViews>
    <sheetView workbookViewId="0">
      <selection activeCell="M17" sqref="M17"/>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BPA0236</v>
      </c>
    </row>
    <row r="2" spans="1:9" ht="15.75" customHeight="1" thickTop="1" x14ac:dyDescent="0.35">
      <c r="A2" s="248" t="str">
        <f ca="1">C4&amp;" - "&amp;C5&amp;" - "&amp;C7</f>
        <v>BPA0236 - Deon Baker - 23-45 Fenton Street, Long Gully VIC 3550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BPA0236</v>
      </c>
      <c r="D4" s="134"/>
      <c r="E4" s="134"/>
      <c r="F4" s="134"/>
      <c r="G4" s="134"/>
      <c r="H4" s="123"/>
      <c r="I4" s="123"/>
    </row>
    <row r="5" spans="1:9" x14ac:dyDescent="0.25">
      <c r="A5" s="254" t="s">
        <v>2835</v>
      </c>
      <c r="B5" s="255"/>
      <c r="C5" s="123" t="s">
        <v>262</v>
      </c>
      <c r="D5" s="123"/>
      <c r="E5" s="123"/>
      <c r="F5" s="123"/>
      <c r="G5" s="123"/>
      <c r="H5" s="123"/>
      <c r="I5" s="124"/>
    </row>
    <row r="6" spans="1:9" x14ac:dyDescent="0.25">
      <c r="A6" s="254" t="s">
        <v>2837</v>
      </c>
      <c r="B6" s="255"/>
      <c r="C6" s="123" t="s">
        <v>3146</v>
      </c>
      <c r="D6" s="123"/>
      <c r="E6" s="123"/>
      <c r="F6" s="123"/>
      <c r="G6" s="123"/>
      <c r="H6" s="123"/>
      <c r="I6" s="124"/>
    </row>
    <row r="7" spans="1:9" x14ac:dyDescent="0.25">
      <c r="A7" s="254" t="s">
        <v>2840</v>
      </c>
      <c r="B7" s="255"/>
      <c r="C7" s="123" t="s">
        <v>3147</v>
      </c>
      <c r="D7" s="123"/>
      <c r="E7" s="123"/>
      <c r="F7" s="123"/>
      <c r="G7" s="123"/>
      <c r="H7" s="123"/>
      <c r="I7" s="124"/>
    </row>
    <row r="8" spans="1:9" x14ac:dyDescent="0.25">
      <c r="A8" s="254" t="s">
        <v>2842</v>
      </c>
      <c r="B8" s="255"/>
      <c r="C8" s="123" t="s">
        <v>263</v>
      </c>
      <c r="D8" s="123"/>
      <c r="E8" s="123"/>
      <c r="F8" s="123"/>
      <c r="G8" s="123"/>
      <c r="H8" s="123"/>
      <c r="I8" s="124"/>
    </row>
    <row r="9" spans="1:9" x14ac:dyDescent="0.25">
      <c r="A9" s="254" t="s">
        <v>2844</v>
      </c>
      <c r="B9" s="255"/>
      <c r="C9" s="140" t="s">
        <v>3148</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t="s">
        <v>3149</v>
      </c>
      <c r="G21" s="138"/>
      <c r="H21" s="138"/>
      <c r="I21" s="138"/>
    </row>
    <row r="22" spans="1:10" ht="15.75" thickBot="1" x14ac:dyDescent="0.3">
      <c r="A22" s="136" t="s">
        <v>2855</v>
      </c>
      <c r="B22" s="123"/>
      <c r="C22" s="123"/>
      <c r="D22" s="256">
        <v>13556</v>
      </c>
      <c r="E22" s="257"/>
      <c r="F22" s="257"/>
      <c r="G22" s="257"/>
      <c r="H22" s="257"/>
      <c r="I22" s="138"/>
    </row>
    <row r="23" spans="1:10" ht="15.75" thickBot="1" x14ac:dyDescent="0.3">
      <c r="A23" s="136" t="s">
        <v>2856</v>
      </c>
      <c r="B23" s="123"/>
      <c r="C23" s="123"/>
      <c r="D23" s="137">
        <v>28910</v>
      </c>
      <c r="E23" s="138"/>
      <c r="F23" s="138"/>
      <c r="G23" s="138"/>
      <c r="H23" s="262" t="s">
        <v>2986</v>
      </c>
      <c r="I23" s="263"/>
    </row>
    <row r="24" spans="1:10" x14ac:dyDescent="0.25">
      <c r="A24" s="136" t="s">
        <v>2857</v>
      </c>
      <c r="B24" s="123"/>
      <c r="C24" s="123"/>
      <c r="D24" s="137">
        <f>6*6</f>
        <v>36</v>
      </c>
      <c r="E24" s="138"/>
      <c r="F24" s="138"/>
      <c r="G24" s="138"/>
      <c r="H24" s="170" t="s">
        <v>1125</v>
      </c>
      <c r="I24" s="171">
        <f>IF(D24&gt;0,D24,"")</f>
        <v>36</v>
      </c>
    </row>
    <row r="25" spans="1:10" x14ac:dyDescent="0.25">
      <c r="A25" s="136" t="s">
        <v>2858</v>
      </c>
      <c r="B25" s="123"/>
      <c r="C25" s="123"/>
      <c r="D25" s="137" t="s">
        <v>2930</v>
      </c>
      <c r="E25" s="138"/>
      <c r="F25" s="138"/>
      <c r="G25" s="138"/>
      <c r="H25" s="170" t="s">
        <v>3086</v>
      </c>
      <c r="I25" s="171"/>
    </row>
    <row r="26" spans="1:10" x14ac:dyDescent="0.25">
      <c r="A26" s="136" t="s">
        <v>2859</v>
      </c>
      <c r="B26" s="123"/>
      <c r="C26" s="123"/>
      <c r="D26" s="137">
        <v>1</v>
      </c>
      <c r="E26" s="138"/>
      <c r="F26" s="138"/>
      <c r="G26" s="138"/>
      <c r="H26" s="170" t="s">
        <v>2848</v>
      </c>
      <c r="I26" s="171">
        <f>IF(D23&gt;0,D23,"")</f>
        <v>28910</v>
      </c>
      <c r="J26" s="109">
        <f>(I24+I25)/I26*100</f>
        <v>0.12452438602559668</v>
      </c>
    </row>
    <row r="27" spans="1:10" ht="15.75" thickBot="1" x14ac:dyDescent="0.3">
      <c r="A27" s="136" t="s">
        <v>2860</v>
      </c>
      <c r="B27" s="123"/>
      <c r="C27" s="123"/>
      <c r="D27" s="137" t="s">
        <v>3150</v>
      </c>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c r="F30" s="123" t="s">
        <v>2866</v>
      </c>
      <c r="G30" s="123"/>
      <c r="H30" s="123"/>
      <c r="I30" s="123" t="s">
        <v>3135</v>
      </c>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62CC1D4D-7E67-4528-8CFD-F307B387EC89}"/>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605734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605734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605734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605734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605734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605735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605735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6057352"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605735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605735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605735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605735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605735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605735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605735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605736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605736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605736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605736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6057364"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605736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605736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605736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605736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605736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605737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605737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6057372"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6057373"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6057374"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6057375"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6057376"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6057377"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6057378"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6057379"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6057380"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6057381"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F948F-F0E9-46B2-9A7C-643DD56BD1A3}">
  <sheetPr codeName="Sheet41"/>
  <dimension ref="A1:J50"/>
  <sheetViews>
    <sheetView workbookViewId="0">
      <selection activeCell="L11" sqref="L11"/>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BPA0233</v>
      </c>
    </row>
    <row r="2" spans="1:9" ht="15.75" customHeight="1" thickTop="1" x14ac:dyDescent="0.35">
      <c r="A2" s="248" t="str">
        <f ca="1">C4&amp;" - "&amp;C5&amp;" - "&amp;C7</f>
        <v>BPA0233 - John Ibrahim - 140 Binks Rd, Strathfieldsaye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BPA0233</v>
      </c>
      <c r="D4" s="134"/>
      <c r="E4" s="134"/>
      <c r="F4" s="134"/>
      <c r="G4" s="134"/>
      <c r="H4" s="123"/>
      <c r="I4" s="123"/>
    </row>
    <row r="5" spans="1:9" x14ac:dyDescent="0.25">
      <c r="A5" s="254" t="s">
        <v>2835</v>
      </c>
      <c r="B5" s="255"/>
      <c r="C5" s="123" t="s">
        <v>256</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3151</v>
      </c>
      <c r="D7" s="123"/>
      <c r="E7" s="123"/>
      <c r="F7" s="123"/>
      <c r="G7" s="123"/>
      <c r="H7" s="123"/>
      <c r="I7" s="124"/>
    </row>
    <row r="8" spans="1:9" x14ac:dyDescent="0.25">
      <c r="A8" s="254" t="s">
        <v>2842</v>
      </c>
      <c r="B8" s="255"/>
      <c r="C8" s="123" t="s">
        <v>257</v>
      </c>
      <c r="D8" s="123"/>
      <c r="E8" s="123"/>
      <c r="F8" s="123"/>
      <c r="G8" s="123"/>
      <c r="H8" s="123"/>
      <c r="I8" s="124"/>
    </row>
    <row r="9" spans="1:9" x14ac:dyDescent="0.25">
      <c r="A9" s="254" t="s">
        <v>2844</v>
      </c>
      <c r="B9" s="255"/>
      <c r="C9" s="123" t="s">
        <v>3152</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v>38729</v>
      </c>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t="s">
        <v>3153</v>
      </c>
      <c r="E24" s="138"/>
      <c r="F24" s="138"/>
      <c r="G24" s="138"/>
      <c r="H24" s="170" t="s">
        <v>1125</v>
      </c>
      <c r="I24" s="171" t="str">
        <f>IF(D24&gt;0,D24,"")</f>
        <v>126m²</v>
      </c>
    </row>
    <row r="25" spans="1:10" x14ac:dyDescent="0.25">
      <c r="A25" s="136" t="s">
        <v>2858</v>
      </c>
      <c r="B25" s="123"/>
      <c r="C25" s="123"/>
      <c r="D25" s="137">
        <v>1</v>
      </c>
      <c r="E25" s="138"/>
      <c r="F25" s="138"/>
      <c r="G25" s="138"/>
      <c r="H25" s="170" t="s">
        <v>3086</v>
      </c>
      <c r="I25" s="171"/>
    </row>
    <row r="26" spans="1:10" x14ac:dyDescent="0.25">
      <c r="A26" s="136" t="s">
        <v>2859</v>
      </c>
      <c r="B26" s="123"/>
      <c r="C26" s="123"/>
      <c r="D26" s="137">
        <v>1</v>
      </c>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t="b">
        <v>1</v>
      </c>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c r="B34" s="123" t="s">
        <v>2872</v>
      </c>
      <c r="C34" s="123">
        <v>4</v>
      </c>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3753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93753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93753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93754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93754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93754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93754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93754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93754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93754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93754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93754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93754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93755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93755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93755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93755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93755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93755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93755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93755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93755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93755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93756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93756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93756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93756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93756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93756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93756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93756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93756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93756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93757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93757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93757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93757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61934-96D0-4AEB-ACEB-5010A2E277F0}">
  <sheetPr codeName="Sheet123"/>
  <dimension ref="A1:J50"/>
  <sheetViews>
    <sheetView workbookViewId="0">
      <selection activeCell="L46" sqref="L46"/>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BPA0232</v>
      </c>
    </row>
    <row r="2" spans="1:9" ht="15.75" customHeight="1" thickTop="1" x14ac:dyDescent="0.35">
      <c r="A2" s="248" t="str">
        <f ca="1">C4&amp;" - "&amp;C5&amp;" - "&amp;C7</f>
        <v>BPA0232 - Michael McDonald - Lot 5 Bridgewater-Maldon Rd, Newbridge VIC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BPA0232</v>
      </c>
      <c r="D4" s="134"/>
      <c r="E4" s="134"/>
      <c r="F4" s="134"/>
      <c r="G4" s="134"/>
      <c r="H4" s="123"/>
      <c r="I4" s="123"/>
    </row>
    <row r="5" spans="1:9" x14ac:dyDescent="0.25">
      <c r="A5" s="254" t="s">
        <v>2835</v>
      </c>
      <c r="B5" s="255"/>
      <c r="C5" s="123" t="s">
        <v>250</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3154</v>
      </c>
      <c r="D7" s="123"/>
      <c r="E7" s="123"/>
      <c r="F7" s="123"/>
      <c r="G7" s="123"/>
      <c r="H7" s="123"/>
      <c r="I7" s="124"/>
    </row>
    <row r="8" spans="1:9" x14ac:dyDescent="0.25">
      <c r="A8" s="254" t="s">
        <v>2842</v>
      </c>
      <c r="B8" s="255"/>
      <c r="C8" s="123" t="s">
        <v>251</v>
      </c>
      <c r="D8" s="123"/>
      <c r="E8" s="123"/>
      <c r="F8" s="123"/>
      <c r="G8" s="123"/>
      <c r="H8" s="123"/>
      <c r="I8" s="124"/>
    </row>
    <row r="9" spans="1:9" x14ac:dyDescent="0.25">
      <c r="A9" s="254" t="s">
        <v>2844</v>
      </c>
      <c r="B9" s="255"/>
      <c r="C9" s="140" t="s">
        <v>3155</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3156</v>
      </c>
      <c r="E21" s="138"/>
      <c r="F21" s="138"/>
      <c r="G21" s="138"/>
      <c r="H21" s="138"/>
      <c r="I21" s="138"/>
    </row>
    <row r="22" spans="1:10" ht="15.75" thickBot="1" x14ac:dyDescent="0.3">
      <c r="A22" s="136" t="s">
        <v>2855</v>
      </c>
      <c r="B22" s="123"/>
      <c r="C22" s="123"/>
      <c r="D22" s="256" t="s">
        <v>3157</v>
      </c>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t="s">
        <v>3158</v>
      </c>
      <c r="E27" s="138"/>
      <c r="F27" s="138"/>
      <c r="G27" s="138"/>
      <c r="H27" s="172" t="s">
        <v>3087</v>
      </c>
      <c r="I27" s="173" t="str">
        <f>IF(I25&gt;0,LEFT(J26,5)&amp;"%","")</f>
        <v/>
      </c>
      <c r="J27" s="169"/>
    </row>
    <row r="28" spans="1:10" x14ac:dyDescent="0.25">
      <c r="A28" s="129" t="b">
        <v>0</v>
      </c>
      <c r="B28" s="123" t="s">
        <v>2861</v>
      </c>
      <c r="C28" s="123"/>
      <c r="D28" s="123"/>
      <c r="E28" s="129" t="b">
        <v>0</v>
      </c>
      <c r="F28" s="123" t="s">
        <v>2862</v>
      </c>
      <c r="G28" s="123"/>
      <c r="H28" s="123"/>
      <c r="I28" s="123"/>
      <c r="J28" s="168"/>
    </row>
    <row r="29" spans="1:10" x14ac:dyDescent="0.25">
      <c r="A29" s="129" t="b">
        <v>0</v>
      </c>
      <c r="B29" s="123" t="s">
        <v>2863</v>
      </c>
      <c r="C29" s="123"/>
      <c r="D29" s="123"/>
      <c r="E29" s="129"/>
      <c r="F29" s="123" t="s">
        <v>2864</v>
      </c>
      <c r="G29" s="123"/>
      <c r="H29" s="123"/>
      <c r="I29" s="123"/>
    </row>
    <row r="30" spans="1:10" x14ac:dyDescent="0.25">
      <c r="A30" s="129"/>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45628</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E947906E-FA5C-474E-A601-C17BD241D16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69996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69997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69997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69997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69997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69997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69997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69997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69997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69997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69997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69998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69998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69998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69998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69998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69998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69998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69998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69998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69998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69999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69999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69999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69999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69999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69999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69999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69999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69999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69999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70000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70000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70000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70000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70000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70000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6E56C-C101-41EB-B1DA-2F8CB009934B}">
  <sheetPr codeName="Sheet10"/>
  <dimension ref="A1:J50"/>
  <sheetViews>
    <sheetView workbookViewId="0">
      <selection activeCell="N17" sqref="N17"/>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BPA0227</v>
      </c>
    </row>
    <row r="2" spans="1:9" ht="15.75" customHeight="1" thickTop="1" x14ac:dyDescent="0.35">
      <c r="A2" s="248" t="str">
        <f ca="1">C4&amp;" - "&amp;C5&amp;" - "&amp;C7</f>
        <v>BPA0227 - Daniel Orr - 293 O'Neil Rd, Beaconsfield</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BPA0227</v>
      </c>
      <c r="D4" s="134"/>
      <c r="E4" s="134"/>
      <c r="F4" s="134"/>
      <c r="G4" s="134"/>
      <c r="H4" s="123"/>
      <c r="I4" s="123"/>
    </row>
    <row r="5" spans="1:9" x14ac:dyDescent="0.25">
      <c r="A5" s="254" t="s">
        <v>2835</v>
      </c>
      <c r="B5" s="255"/>
      <c r="C5" s="123" t="s">
        <v>243</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3159</v>
      </c>
      <c r="D7" s="123"/>
      <c r="E7" s="123"/>
      <c r="F7" s="123"/>
      <c r="G7" s="123"/>
      <c r="H7" s="123"/>
      <c r="I7" s="124"/>
    </row>
    <row r="8" spans="1:9" x14ac:dyDescent="0.25">
      <c r="A8" s="254" t="s">
        <v>2842</v>
      </c>
      <c r="B8" s="255"/>
      <c r="C8" s="123" t="s">
        <v>244</v>
      </c>
      <c r="D8" s="123"/>
      <c r="E8" s="123"/>
      <c r="F8" s="123"/>
      <c r="G8" s="123"/>
      <c r="H8" s="123"/>
      <c r="I8" s="124"/>
    </row>
    <row r="9" spans="1:9" x14ac:dyDescent="0.25">
      <c r="A9" s="254" t="s">
        <v>2844</v>
      </c>
      <c r="B9" s="255"/>
      <c r="C9" s="140" t="s">
        <v>3160</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0</v>
      </c>
      <c r="B28" s="123" t="s">
        <v>2861</v>
      </c>
      <c r="C28" s="123"/>
      <c r="D28" s="123"/>
      <c r="E28" s="129" t="b">
        <v>0</v>
      </c>
      <c r="F28" s="123" t="s">
        <v>2862</v>
      </c>
      <c r="G28" s="123"/>
      <c r="H28" s="123"/>
      <c r="I28" s="123"/>
      <c r="J28" s="168"/>
    </row>
    <row r="29" spans="1:10" x14ac:dyDescent="0.25">
      <c r="A29" s="129" t="b">
        <v>0</v>
      </c>
      <c r="B29" s="123" t="s">
        <v>2863</v>
      </c>
      <c r="C29" s="123"/>
      <c r="D29" s="123"/>
      <c r="E29" s="129"/>
      <c r="F29" s="123" t="s">
        <v>2864</v>
      </c>
      <c r="G29" s="123"/>
      <c r="H29" s="123"/>
      <c r="I29" s="123"/>
    </row>
    <row r="30" spans="1:10" x14ac:dyDescent="0.25">
      <c r="A30" s="129"/>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1D44A519-FCFA-447E-9913-E82D9C9F9C7E}"/>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45932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45933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45933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45933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45933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45933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45933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459336"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45933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45933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45933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45934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45934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45934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45934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45934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45934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45934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45934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459348"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45934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45935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45935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45935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45935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45935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45935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459356"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459357"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459358"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459359"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459360"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459361"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459362"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459363"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459364"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459365"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41D63-5D6E-4F07-95C7-6BFD450D06D8}">
  <sheetPr codeName="Sheet68"/>
  <dimension ref="A1:J50"/>
  <sheetViews>
    <sheetView workbookViewId="0">
      <selection activeCell="M22" sqref="M22"/>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BPA0226</v>
      </c>
    </row>
    <row r="2" spans="1:9" ht="15.75" customHeight="1" thickTop="1" x14ac:dyDescent="0.35">
      <c r="A2" s="248" t="str">
        <f ca="1">C4&amp;" - "&amp;C5&amp;" - "&amp;C7</f>
        <v>BPA0226 - Hugh Alexander - 34 Houston Street, Quarry Hill VIC 3550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BPA0226</v>
      </c>
      <c r="D4" s="134"/>
      <c r="E4" s="134"/>
      <c r="F4" s="134"/>
      <c r="G4" s="134"/>
      <c r="H4" s="123"/>
      <c r="I4" s="123"/>
    </row>
    <row r="5" spans="1:9" x14ac:dyDescent="0.25">
      <c r="A5" s="254" t="s">
        <v>2835</v>
      </c>
      <c r="B5" s="255"/>
      <c r="C5" s="123" t="s">
        <v>237</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3161</v>
      </c>
      <c r="D7" s="123"/>
      <c r="E7" s="123"/>
      <c r="F7" s="123"/>
      <c r="G7" s="123"/>
      <c r="H7" s="123"/>
      <c r="I7" s="124"/>
    </row>
    <row r="8" spans="1:9" x14ac:dyDescent="0.25">
      <c r="A8" s="254" t="s">
        <v>2842</v>
      </c>
      <c r="B8" s="255"/>
      <c r="C8" s="123" t="s">
        <v>238</v>
      </c>
      <c r="D8" s="123"/>
      <c r="E8" s="123"/>
      <c r="F8" s="123"/>
      <c r="G8" s="123"/>
      <c r="H8" s="123"/>
      <c r="I8" s="124"/>
    </row>
    <row r="9" spans="1:9" x14ac:dyDescent="0.25">
      <c r="A9" s="254" t="s">
        <v>2844</v>
      </c>
      <c r="B9" s="255"/>
      <c r="C9" s="140" t="s">
        <v>3162</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t="s">
        <v>3064</v>
      </c>
      <c r="G21" s="138"/>
      <c r="H21" s="138"/>
      <c r="I21" s="138"/>
    </row>
    <row r="22" spans="1:10" ht="15.75" thickBot="1" x14ac:dyDescent="0.3">
      <c r="A22" s="136" t="s">
        <v>2855</v>
      </c>
      <c r="B22" s="123"/>
      <c r="C22" s="123"/>
      <c r="D22" s="256">
        <v>41887</v>
      </c>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f>9*12</f>
        <v>108</v>
      </c>
      <c r="E24" s="138"/>
      <c r="F24" s="138"/>
      <c r="G24" s="138"/>
      <c r="H24" s="170" t="s">
        <v>1125</v>
      </c>
      <c r="I24" s="171">
        <f>IF(D24&gt;0,D24,"")</f>
        <v>108</v>
      </c>
    </row>
    <row r="25" spans="1:10" x14ac:dyDescent="0.25">
      <c r="A25" s="136" t="s">
        <v>2858</v>
      </c>
      <c r="B25" s="123"/>
      <c r="C25" s="123"/>
      <c r="D25" s="137" t="s">
        <v>2930</v>
      </c>
      <c r="E25" s="138"/>
      <c r="F25" s="138"/>
      <c r="G25" s="138"/>
      <c r="H25" s="170" t="s">
        <v>3086</v>
      </c>
      <c r="I25" s="171"/>
    </row>
    <row r="26" spans="1:10" x14ac:dyDescent="0.25">
      <c r="A26" s="136" t="s">
        <v>2859</v>
      </c>
      <c r="B26" s="123"/>
      <c r="C26" s="123"/>
      <c r="D26" s="137">
        <v>1</v>
      </c>
      <c r="E26" s="138"/>
      <c r="F26" s="138"/>
      <c r="G26" s="138"/>
      <c r="H26" s="170" t="s">
        <v>2848</v>
      </c>
      <c r="I26" s="171" t="str">
        <f>IF(D23&gt;0,D23,"")</f>
        <v/>
      </c>
      <c r="J26" s="109" t="e">
        <f>(I24+I25)/I26*100</f>
        <v>#VALUE!</v>
      </c>
    </row>
    <row r="27" spans="1:10" ht="15.75" thickBot="1" x14ac:dyDescent="0.3">
      <c r="A27" s="136" t="s">
        <v>2860</v>
      </c>
      <c r="B27" s="123"/>
      <c r="C27" s="123"/>
      <c r="D27" s="137" t="s">
        <v>3163</v>
      </c>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1</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67FD38A9-77D7-490B-ABA2-FD25F23D204D}"/>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557811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557811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557811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557811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557811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557811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557811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557812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557812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557812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557812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557812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557812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557812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557812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557812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557812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557813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557813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5578132"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557813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557813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557813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557813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557813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557813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557813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557814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557814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5578142"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5578143"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5578144"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5578145"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5578146"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5578147"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5578148"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5578149"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DA23A-6C7E-4E04-82D0-5FB9B87134AF}">
  <sheetPr codeName="Sheet111"/>
  <dimension ref="A1:J50"/>
  <sheetViews>
    <sheetView workbookViewId="0">
      <selection activeCell="R57" sqref="R57"/>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BPA0219</v>
      </c>
    </row>
    <row r="2" spans="1:9" ht="15.75" customHeight="1" thickTop="1" x14ac:dyDescent="0.35">
      <c r="A2" s="248" t="str">
        <f ca="1">C4&amp;" - "&amp;C5&amp;" - "&amp;C7</f>
        <v>BPA0219 - Thomas Mits - 715 Robinsons  Road, Langwarrin 3910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BPA0219</v>
      </c>
      <c r="D4" s="134"/>
      <c r="E4" s="134"/>
      <c r="F4" s="134"/>
      <c r="G4" s="134"/>
      <c r="H4" s="123"/>
      <c r="I4" s="123"/>
    </row>
    <row r="5" spans="1:9" x14ac:dyDescent="0.25">
      <c r="A5" s="254" t="s">
        <v>2835</v>
      </c>
      <c r="B5" s="255"/>
      <c r="C5" s="123" t="s">
        <v>230</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3164</v>
      </c>
      <c r="D7" s="123"/>
      <c r="E7" s="123"/>
      <c r="F7" s="123"/>
      <c r="G7" s="123"/>
      <c r="H7" s="123"/>
      <c r="I7" s="124"/>
    </row>
    <row r="8" spans="1:9" x14ac:dyDescent="0.25">
      <c r="A8" s="254" t="s">
        <v>2842</v>
      </c>
      <c r="B8" s="255"/>
      <c r="C8" s="123"/>
      <c r="D8" s="123"/>
      <c r="E8" s="123"/>
      <c r="F8" s="123"/>
      <c r="G8" s="123"/>
      <c r="H8" s="123"/>
      <c r="I8" s="124"/>
    </row>
    <row r="9" spans="1:9" x14ac:dyDescent="0.25">
      <c r="A9" s="254" t="s">
        <v>2844</v>
      </c>
      <c r="B9" s="255"/>
      <c r="C9" s="123"/>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c r="F29" s="123" t="s">
        <v>2864</v>
      </c>
      <c r="G29" s="123"/>
      <c r="H29" s="123"/>
      <c r="I29" s="123"/>
    </row>
    <row r="30" spans="1:10" x14ac:dyDescent="0.25">
      <c r="A30" s="129" t="b">
        <v>1</v>
      </c>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5891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475891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475891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475891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475891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475891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475891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4758920"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75892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75892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475892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75892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75892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75892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75892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475892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475892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475893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475893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4758932"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75893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475893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475893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475893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475893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475893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475893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4758940"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758941"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758942"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4758943"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4758944"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4758945"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4758946"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4758947"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4758948"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4758949"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FEC53-1DDD-4FAF-A87E-FB297B82A27E}">
  <sheetPr codeName="Sheet102"/>
  <dimension ref="A1:J50"/>
  <sheetViews>
    <sheetView workbookViewId="0">
      <selection activeCell="K10" sqref="K10:L18"/>
    </sheetView>
  </sheetViews>
  <sheetFormatPr defaultRowHeight="15" x14ac:dyDescent="0.25"/>
  <cols>
    <col min="3" max="3" width="12.85546875" bestFit="1" customWidth="1"/>
    <col min="9" max="9" width="14.140625" customWidth="1"/>
    <col min="10" max="10" width="12" bestFit="1" customWidth="1"/>
    <col min="11" max="12" width="9.140625" customWidth="1"/>
  </cols>
  <sheetData>
    <row r="1" spans="1:9" ht="15.75" thickBot="1" x14ac:dyDescent="0.3">
      <c r="A1" s="106" t="str" cm="1">
        <f t="array" aca="1" ref="A1" ca="1">MID(CELL("filename",A1),FIND("]",CELL("filename",A1))+1,256)</f>
        <v>BPA0216</v>
      </c>
    </row>
    <row r="2" spans="1:9" ht="15.75" customHeight="1" thickTop="1" x14ac:dyDescent="0.35">
      <c r="A2" s="248" t="str">
        <f ca="1">C4&amp;" - "&amp;C5&amp;" - "&amp;C7</f>
        <v>BPA0216 - Sam Marks - 16 Boston Boulevard, Traralgon VIC 3844</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BPA0216</v>
      </c>
      <c r="D4" s="134"/>
      <c r="E4" s="134"/>
      <c r="F4" s="134"/>
      <c r="G4" s="134"/>
      <c r="H4" s="123"/>
      <c r="I4" s="123"/>
    </row>
    <row r="5" spans="1:9" x14ac:dyDescent="0.25">
      <c r="A5" s="254" t="s">
        <v>2835</v>
      </c>
      <c r="B5" s="255"/>
      <c r="C5" s="123" t="s">
        <v>223</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3165</v>
      </c>
      <c r="D7" s="123"/>
      <c r="E7" s="123"/>
      <c r="F7" s="123"/>
      <c r="G7" s="123"/>
      <c r="H7" s="123"/>
      <c r="I7" s="124"/>
    </row>
    <row r="8" spans="1:9" x14ac:dyDescent="0.25">
      <c r="A8" s="254" t="s">
        <v>2842</v>
      </c>
      <c r="B8" s="255"/>
      <c r="C8" s="123">
        <v>403671414</v>
      </c>
      <c r="D8" s="123"/>
      <c r="E8" s="123"/>
      <c r="F8" s="123"/>
      <c r="G8" s="123"/>
      <c r="H8" s="123"/>
      <c r="I8" s="124"/>
    </row>
    <row r="9" spans="1:9" x14ac:dyDescent="0.25">
      <c r="A9" s="254" t="s">
        <v>2844</v>
      </c>
      <c r="B9" s="255"/>
      <c r="C9" s="140" t="s">
        <v>3166</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2929</v>
      </c>
      <c r="E21" s="138"/>
      <c r="F21" s="138"/>
      <c r="G21" s="138"/>
      <c r="H21" s="138"/>
      <c r="I21" s="138"/>
    </row>
    <row r="22" spans="1:10" ht="15.75" thickBot="1" x14ac:dyDescent="0.3">
      <c r="A22" s="136" t="s">
        <v>2855</v>
      </c>
      <c r="B22" s="123"/>
      <c r="C22" s="123"/>
      <c r="D22" s="256"/>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c r="E24" s="138"/>
      <c r="F24" s="138"/>
      <c r="G24" s="138"/>
      <c r="H24" s="170" t="s">
        <v>1125</v>
      </c>
      <c r="I24" s="171" t="str">
        <f>IF(D24&gt;0,D24,"")</f>
        <v/>
      </c>
    </row>
    <row r="25" spans="1:10" x14ac:dyDescent="0.25">
      <c r="A25" s="136" t="s">
        <v>2858</v>
      </c>
      <c r="B25" s="123"/>
      <c r="C25" s="123"/>
      <c r="D25" s="137"/>
      <c r="E25" s="138"/>
      <c r="F25" s="138"/>
      <c r="G25" s="138"/>
      <c r="H25" s="170" t="s">
        <v>3086</v>
      </c>
      <c r="I25" s="171"/>
    </row>
    <row r="26" spans="1:10" x14ac:dyDescent="0.25">
      <c r="A26" s="136" t="s">
        <v>2859</v>
      </c>
      <c r="B26" s="123"/>
      <c r="C26" s="123"/>
      <c r="D26" s="137"/>
      <c r="E26" s="138"/>
      <c r="F26" s="138"/>
      <c r="G26" s="138"/>
      <c r="H26" s="170" t="s">
        <v>2848</v>
      </c>
      <c r="I26" s="171" t="str">
        <f>IF(D23&gt;0,D23,"")</f>
        <v/>
      </c>
      <c r="J26" s="109" t="e">
        <f>(I24+I25)/I26*100</f>
        <v>#VALUE!</v>
      </c>
    </row>
    <row r="27" spans="1:10" ht="15.75" thickBot="1" x14ac:dyDescent="0.3">
      <c r="A27" s="136" t="s">
        <v>2860</v>
      </c>
      <c r="B27" s="123"/>
      <c r="C27" s="123"/>
      <c r="D27" s="137"/>
      <c r="E27" s="138"/>
      <c r="F27" s="138"/>
      <c r="G27" s="138"/>
      <c r="H27" s="172" t="s">
        <v>3087</v>
      </c>
      <c r="I27" s="173" t="str">
        <f>IF(I25&gt;0,LEFT(J26,5)&amp;"%","")</f>
        <v/>
      </c>
      <c r="J27" s="169"/>
    </row>
    <row r="28" spans="1:10" x14ac:dyDescent="0.25">
      <c r="A28" s="129" t="b">
        <v>1</v>
      </c>
      <c r="B28" s="123" t="s">
        <v>2861</v>
      </c>
      <c r="C28" s="123"/>
      <c r="D28" s="123"/>
      <c r="E28" s="129" t="b">
        <v>0</v>
      </c>
      <c r="F28" s="123" t="s">
        <v>2862</v>
      </c>
      <c r="G28" s="123"/>
      <c r="H28" s="123"/>
      <c r="I28" s="123"/>
      <c r="J28" s="168"/>
    </row>
    <row r="29" spans="1:10" x14ac:dyDescent="0.25">
      <c r="A29" s="129" t="b">
        <v>1</v>
      </c>
      <c r="B29" s="123" t="s">
        <v>2863</v>
      </c>
      <c r="C29" s="123"/>
      <c r="D29" s="123"/>
      <c r="E29" s="129" t="b">
        <v>1</v>
      </c>
      <c r="F29" s="123" t="s">
        <v>2864</v>
      </c>
      <c r="G29" s="123"/>
      <c r="H29" s="123"/>
      <c r="I29" s="123"/>
    </row>
    <row r="30" spans="1:10" x14ac:dyDescent="0.25">
      <c r="A30" s="129" t="b">
        <v>1</v>
      </c>
      <c r="B30" s="123" t="s">
        <v>2865</v>
      </c>
      <c r="C30" s="123"/>
      <c r="D30" s="123"/>
      <c r="E30" s="129"/>
      <c r="F30" s="123" t="s">
        <v>2866</v>
      </c>
      <c r="G30" s="123"/>
      <c r="H30" s="123"/>
      <c r="I30" s="123"/>
    </row>
    <row r="31" spans="1:10" x14ac:dyDescent="0.25">
      <c r="A31" s="129"/>
      <c r="B31" s="123" t="s">
        <v>2867</v>
      </c>
      <c r="C31" s="123"/>
      <c r="D31" s="123"/>
      <c r="E31" s="123"/>
      <c r="F31" s="123"/>
      <c r="G31" s="123"/>
      <c r="H31" s="123"/>
      <c r="I31" s="143"/>
    </row>
    <row r="32" spans="1:10"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8:B8"/>
    <mergeCell ref="A2:G3"/>
    <mergeCell ref="A4:B4"/>
    <mergeCell ref="A5:B5"/>
    <mergeCell ref="A6:B6"/>
    <mergeCell ref="A7:B7"/>
    <mergeCell ref="A9:B9"/>
    <mergeCell ref="A10:B10"/>
    <mergeCell ref="D22:H22"/>
    <mergeCell ref="H23:I23"/>
    <mergeCell ref="A32:I32"/>
  </mergeCells>
  <hyperlinks>
    <hyperlink ref="C9" r:id="rId1" xr:uid="{1F5E7418-C31C-41CC-898A-B89BCF97A35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64217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464217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464217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464218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464218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464218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464218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4642184"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64218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64218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464218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64218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64218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64219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64219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464219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464219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464219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464219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4642196"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64219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464219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464219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464220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464220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464220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464220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4642204"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642205"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642206" r:id="rId34"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4642207" r:id="rId35"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4642208" r:id="rId36"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4642209" r:id="rId37"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4642210" r:id="rId38"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4642211" r:id="rId39"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4642212" r:id="rId40"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4642213" r:id="rId41"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8EF-0076-4B47-9EC0-7899364CFC8D}">
  <sheetPr codeName="Sheet82"/>
  <dimension ref="A1:J50"/>
  <sheetViews>
    <sheetView workbookViewId="0">
      <selection activeCell="D24" sqref="D24"/>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BPA0212</v>
      </c>
    </row>
    <row r="2" spans="1:9" ht="15.75" customHeight="1" thickTop="1" x14ac:dyDescent="0.35">
      <c r="A2" s="248" t="str">
        <f ca="1">C4&amp;" - "&amp;C5&amp;" - "&amp;C7</f>
        <v>BPA0212 - Chris Currie - 26 Clarke Street, Crowlands VIC 3377</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BPA0212</v>
      </c>
      <c r="D4" s="134"/>
      <c r="E4" s="134"/>
      <c r="F4" s="134"/>
      <c r="G4" s="134"/>
      <c r="H4" s="123"/>
      <c r="I4" s="123"/>
    </row>
    <row r="5" spans="1:9" x14ac:dyDescent="0.25">
      <c r="A5" s="254" t="s">
        <v>2835</v>
      </c>
      <c r="B5" s="255"/>
      <c r="C5" s="123" t="s">
        <v>217</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3167</v>
      </c>
      <c r="D7" s="123"/>
      <c r="E7" s="123"/>
      <c r="F7" s="123"/>
      <c r="G7" s="123"/>
      <c r="H7" s="123"/>
      <c r="I7" s="124"/>
    </row>
    <row r="8" spans="1:9" x14ac:dyDescent="0.25">
      <c r="A8" s="254" t="s">
        <v>2842</v>
      </c>
      <c r="B8" s="255"/>
      <c r="C8" s="123" t="s">
        <v>218</v>
      </c>
      <c r="D8" s="123"/>
      <c r="E8" s="123"/>
      <c r="F8" s="123"/>
      <c r="G8" s="123"/>
      <c r="H8" s="123"/>
      <c r="I8" s="124"/>
    </row>
    <row r="9" spans="1:9" x14ac:dyDescent="0.25">
      <c r="A9" s="254" t="s">
        <v>2844</v>
      </c>
      <c r="B9" s="255"/>
      <c r="C9" s="123" t="s">
        <v>3168</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t="s">
        <v>3064</v>
      </c>
      <c r="G21" s="138"/>
      <c r="H21" s="138"/>
      <c r="I21" s="138"/>
    </row>
    <row r="22" spans="1:10" ht="15.75" thickBot="1" x14ac:dyDescent="0.3">
      <c r="A22" s="136" t="s">
        <v>2855</v>
      </c>
      <c r="B22" s="123"/>
      <c r="C22" s="123"/>
      <c r="D22" s="256">
        <v>24308</v>
      </c>
      <c r="E22" s="257"/>
      <c r="F22" s="257"/>
      <c r="G22" s="257"/>
      <c r="H22" s="257"/>
      <c r="I22" s="138"/>
    </row>
    <row r="23" spans="1:10" ht="15.75" thickBot="1" x14ac:dyDescent="0.3">
      <c r="A23" s="136" t="s">
        <v>2856</v>
      </c>
      <c r="B23" s="123"/>
      <c r="C23" s="123"/>
      <c r="D23" s="137">
        <v>1011.8</v>
      </c>
      <c r="E23" s="138"/>
      <c r="F23" s="138"/>
      <c r="G23" s="138"/>
      <c r="H23" s="262" t="s">
        <v>2986</v>
      </c>
      <c r="I23" s="263"/>
    </row>
    <row r="24" spans="1:10" x14ac:dyDescent="0.25">
      <c r="A24" s="136" t="s">
        <v>2857</v>
      </c>
      <c r="B24" s="123"/>
      <c r="C24" s="123"/>
      <c r="D24" s="137">
        <f>9*9.5</f>
        <v>85.5</v>
      </c>
      <c r="E24" s="138"/>
      <c r="F24" s="138"/>
      <c r="G24" s="138"/>
      <c r="H24" s="170" t="s">
        <v>1125</v>
      </c>
      <c r="I24" s="171">
        <f>IF(D24&gt;0,D24,"")</f>
        <v>85.5</v>
      </c>
    </row>
    <row r="25" spans="1:10" x14ac:dyDescent="0.25">
      <c r="A25" s="136" t="s">
        <v>2858</v>
      </c>
      <c r="B25" s="123"/>
      <c r="C25" s="123"/>
      <c r="D25" s="137" t="s">
        <v>2930</v>
      </c>
      <c r="E25" s="138"/>
      <c r="F25" s="138"/>
      <c r="G25" s="138"/>
      <c r="H25" s="170" t="s">
        <v>3086</v>
      </c>
      <c r="I25" s="171"/>
    </row>
    <row r="26" spans="1:10" x14ac:dyDescent="0.25">
      <c r="A26" s="136" t="s">
        <v>2859</v>
      </c>
      <c r="B26" s="123"/>
      <c r="C26" s="123"/>
      <c r="D26" s="137">
        <v>1</v>
      </c>
      <c r="E26" s="138"/>
      <c r="F26" s="138"/>
      <c r="G26" s="138"/>
      <c r="H26" s="170" t="s">
        <v>2848</v>
      </c>
      <c r="I26" s="171">
        <f>IF(D23&gt;0,D23,"")</f>
        <v>1011.8</v>
      </c>
      <c r="J26" s="109">
        <f>(I24+I25)/I26*100</f>
        <v>8.4502866179086791</v>
      </c>
    </row>
    <row r="27" spans="1:10" ht="15.75" thickBot="1" x14ac:dyDescent="0.3">
      <c r="A27" s="136" t="s">
        <v>2860</v>
      </c>
      <c r="B27" s="123"/>
      <c r="C27" s="123"/>
      <c r="D27" s="137" t="s">
        <v>3134</v>
      </c>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t="s">
        <v>3169</v>
      </c>
    </row>
    <row r="30" spans="1:10" x14ac:dyDescent="0.25">
      <c r="A30" s="129" t="b">
        <v>1</v>
      </c>
      <c r="B30" s="123" t="s">
        <v>2865</v>
      </c>
      <c r="C30" s="123"/>
      <c r="D30" s="123"/>
      <c r="E30" s="129" t="b">
        <v>1</v>
      </c>
      <c r="F30" s="123" t="s">
        <v>2866</v>
      </c>
      <c r="G30" s="123"/>
      <c r="H30" s="123"/>
      <c r="I30" s="123"/>
    </row>
    <row r="31" spans="1:10" x14ac:dyDescent="0.25">
      <c r="A31" s="129"/>
      <c r="B31" s="123" t="s">
        <v>2867</v>
      </c>
      <c r="C31" s="123"/>
      <c r="D31" s="123" t="s">
        <v>43</v>
      </c>
      <c r="E31" s="123"/>
      <c r="F31" s="123"/>
      <c r="G31" s="123"/>
      <c r="H31" s="123"/>
      <c r="I31" s="143">
        <v>45588</v>
      </c>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45588</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0937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430937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430937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430938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430938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430938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430938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4309384" r:id="rId11"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30938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30938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430938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30938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30938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30939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30939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430939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430939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430939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430939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4309396" r:id="rId23"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30939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430939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430939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430940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430940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430940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430940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430940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30940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30940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430940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430940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430940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430941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430941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430941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430941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9B15A-80C9-4BD1-8786-78C2C371B380}">
  <sheetPr codeName="Sheet24"/>
  <dimension ref="A1:J50"/>
  <sheetViews>
    <sheetView workbookViewId="0">
      <selection activeCell="L21" sqref="L21"/>
    </sheetView>
  </sheetViews>
  <sheetFormatPr defaultRowHeight="15" x14ac:dyDescent="0.25"/>
  <cols>
    <col min="9" max="9" width="14.140625" customWidth="1"/>
    <col min="10" max="10" width="12" bestFit="1" customWidth="1"/>
  </cols>
  <sheetData>
    <row r="1" spans="1:9" ht="15.75" thickBot="1" x14ac:dyDescent="0.3">
      <c r="A1" s="106" t="str" cm="1">
        <f t="array" aca="1" ref="A1" ca="1">MID(CELL("filename",A1),FIND("]",CELL("filename",A1))+1,256)</f>
        <v>BPA0209</v>
      </c>
    </row>
    <row r="2" spans="1:9" ht="15.75" customHeight="1" thickTop="1" x14ac:dyDescent="0.35">
      <c r="A2" s="248" t="str">
        <f ca="1">C4&amp;" - "&amp;C5&amp;" - "&amp;C7</f>
        <v>BPA0209 - Stephen Lumsden - 2 Timbertop Rise, Broadford VIC 3658</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BPA0209</v>
      </c>
      <c r="D4" s="134"/>
      <c r="E4" s="134"/>
      <c r="F4" s="134"/>
      <c r="G4" s="134"/>
      <c r="H4" s="123"/>
      <c r="I4" s="123"/>
    </row>
    <row r="5" spans="1:9" x14ac:dyDescent="0.25">
      <c r="A5" s="254" t="s">
        <v>2835</v>
      </c>
      <c r="B5" s="255"/>
      <c r="C5" s="123" t="s">
        <v>211</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3170</v>
      </c>
      <c r="D7" s="123"/>
      <c r="E7" s="123"/>
      <c r="F7" s="123"/>
      <c r="G7" s="123"/>
      <c r="H7" s="123"/>
      <c r="I7" s="124"/>
    </row>
    <row r="8" spans="1:9" x14ac:dyDescent="0.25">
      <c r="A8" s="254" t="s">
        <v>2842</v>
      </c>
      <c r="B8" s="255"/>
      <c r="C8" s="123" t="s">
        <v>212</v>
      </c>
      <c r="D8" s="123"/>
      <c r="E8" s="123"/>
      <c r="F8" s="123"/>
      <c r="G8" s="123"/>
      <c r="H8" s="123"/>
      <c r="I8" s="124"/>
    </row>
    <row r="9" spans="1:9" x14ac:dyDescent="0.25">
      <c r="A9" s="254" t="s">
        <v>2844</v>
      </c>
      <c r="B9" s="255"/>
      <c r="C9" s="140" t="s">
        <v>3171</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10" x14ac:dyDescent="0.25">
      <c r="A17" s="128"/>
      <c r="B17" s="128"/>
      <c r="C17" s="128"/>
      <c r="D17" s="128"/>
      <c r="E17" s="128"/>
      <c r="F17" s="128"/>
      <c r="G17" s="128"/>
      <c r="H17" s="128"/>
      <c r="I17" s="128"/>
    </row>
    <row r="18" spans="1:10" x14ac:dyDescent="0.25">
      <c r="A18" s="128"/>
      <c r="B18" s="128"/>
      <c r="C18" s="128"/>
      <c r="D18" s="128"/>
      <c r="E18" s="128"/>
      <c r="F18" s="128"/>
      <c r="G18" s="128"/>
      <c r="H18" s="128"/>
      <c r="I18" s="128"/>
    </row>
    <row r="19" spans="1:10" x14ac:dyDescent="0.25">
      <c r="A19" s="128"/>
      <c r="B19" s="128"/>
      <c r="C19" s="128"/>
      <c r="D19" s="128"/>
      <c r="E19" s="128"/>
      <c r="F19" s="128"/>
      <c r="G19" s="128"/>
      <c r="H19" s="128"/>
      <c r="I19" s="128"/>
    </row>
    <row r="20" spans="1:10" x14ac:dyDescent="0.25">
      <c r="A20" s="136" t="s">
        <v>2852</v>
      </c>
      <c r="B20" s="123"/>
      <c r="C20" s="123"/>
      <c r="D20" s="123"/>
      <c r="E20" s="123"/>
      <c r="F20" s="123"/>
      <c r="G20" s="123"/>
      <c r="H20" s="123"/>
      <c r="I20" s="123"/>
    </row>
    <row r="21" spans="1:10" x14ac:dyDescent="0.25">
      <c r="A21" s="136" t="s">
        <v>2853</v>
      </c>
      <c r="B21" s="123"/>
      <c r="C21" s="123"/>
      <c r="D21" s="137" t="s">
        <v>2854</v>
      </c>
      <c r="E21" s="138"/>
      <c r="F21" s="138" t="s">
        <v>3064</v>
      </c>
      <c r="G21" s="138"/>
      <c r="H21" s="138"/>
      <c r="I21" s="138"/>
    </row>
    <row r="22" spans="1:10" ht="15.75" thickBot="1" x14ac:dyDescent="0.3">
      <c r="A22" s="136" t="s">
        <v>2855</v>
      </c>
      <c r="B22" s="123"/>
      <c r="C22" s="123"/>
      <c r="D22" s="256">
        <v>51462</v>
      </c>
      <c r="E22" s="257"/>
      <c r="F22" s="257"/>
      <c r="G22" s="257"/>
      <c r="H22" s="257"/>
      <c r="I22" s="138"/>
    </row>
    <row r="23" spans="1:10" ht="15.75" thickBot="1" x14ac:dyDescent="0.3">
      <c r="A23" s="136" t="s">
        <v>2856</v>
      </c>
      <c r="B23" s="123"/>
      <c r="C23" s="123"/>
      <c r="D23" s="137"/>
      <c r="E23" s="138"/>
      <c r="F23" s="138"/>
      <c r="G23" s="138"/>
      <c r="H23" s="262" t="s">
        <v>2986</v>
      </c>
      <c r="I23" s="263"/>
    </row>
    <row r="24" spans="1:10" x14ac:dyDescent="0.25">
      <c r="A24" s="136" t="s">
        <v>2857</v>
      </c>
      <c r="B24" s="123"/>
      <c r="C24" s="123"/>
      <c r="D24" s="137">
        <f>9*16</f>
        <v>144</v>
      </c>
      <c r="E24" s="138"/>
      <c r="F24" s="138"/>
      <c r="G24" s="138"/>
      <c r="H24" s="170" t="s">
        <v>1125</v>
      </c>
      <c r="I24" s="171">
        <f>IF(D24&gt;0,D24,"")</f>
        <v>144</v>
      </c>
    </row>
    <row r="25" spans="1:10" x14ac:dyDescent="0.25">
      <c r="A25" s="136" t="s">
        <v>2858</v>
      </c>
      <c r="B25" s="123"/>
      <c r="C25" s="123"/>
      <c r="D25" s="137" t="s">
        <v>2930</v>
      </c>
      <c r="E25" s="138"/>
      <c r="F25" s="138"/>
      <c r="G25" s="138"/>
      <c r="H25" s="170" t="s">
        <v>3086</v>
      </c>
      <c r="I25" s="171"/>
    </row>
    <row r="26" spans="1:10" x14ac:dyDescent="0.25">
      <c r="A26" s="136" t="s">
        <v>2859</v>
      </c>
      <c r="B26" s="123"/>
      <c r="C26" s="123"/>
      <c r="D26" s="137">
        <v>1</v>
      </c>
      <c r="E26" s="138"/>
      <c r="F26" s="138"/>
      <c r="G26" s="138"/>
      <c r="H26" s="170" t="s">
        <v>2848</v>
      </c>
      <c r="I26" s="171" t="str">
        <f>IF(D23&gt;0,D23,"")</f>
        <v/>
      </c>
      <c r="J26" s="109" t="e">
        <f>(I24+I25)/I26*100</f>
        <v>#VALUE!</v>
      </c>
    </row>
    <row r="27" spans="1:10" ht="15.75" thickBot="1" x14ac:dyDescent="0.3">
      <c r="A27" s="136" t="s">
        <v>2860</v>
      </c>
      <c r="B27" s="123"/>
      <c r="C27" s="123"/>
      <c r="D27" s="137" t="s">
        <v>3172</v>
      </c>
      <c r="E27" s="138"/>
      <c r="F27" s="138"/>
      <c r="G27" s="138"/>
      <c r="H27" s="172" t="s">
        <v>3087</v>
      </c>
      <c r="I27" s="173" t="str">
        <f>IF(I25&gt;0,LEFT(J26,5)&amp;"%","")</f>
        <v/>
      </c>
      <c r="J27" s="169"/>
    </row>
    <row r="28" spans="1:10" x14ac:dyDescent="0.25">
      <c r="A28" s="129" t="b">
        <v>1</v>
      </c>
      <c r="B28" s="123" t="s">
        <v>2861</v>
      </c>
      <c r="C28" s="123"/>
      <c r="D28" s="123"/>
      <c r="E28" s="129" t="b">
        <v>1</v>
      </c>
      <c r="F28" s="123" t="s">
        <v>2862</v>
      </c>
      <c r="G28" s="123"/>
      <c r="H28" s="123"/>
      <c r="I28" s="123"/>
      <c r="J28" s="168"/>
    </row>
    <row r="29" spans="1:10" x14ac:dyDescent="0.25">
      <c r="A29" s="129" t="b">
        <v>1</v>
      </c>
      <c r="B29" s="123" t="s">
        <v>2863</v>
      </c>
      <c r="C29" s="123"/>
      <c r="D29" s="123"/>
      <c r="E29" s="129" t="b">
        <v>1</v>
      </c>
      <c r="F29" s="123" t="s">
        <v>2864</v>
      </c>
      <c r="G29" s="123"/>
      <c r="H29" s="123"/>
      <c r="I29" s="123" t="s">
        <v>3173</v>
      </c>
    </row>
    <row r="30" spans="1:10" x14ac:dyDescent="0.25">
      <c r="A30" s="129" t="b">
        <v>1</v>
      </c>
      <c r="B30" s="123" t="s">
        <v>2865</v>
      </c>
      <c r="C30" s="123"/>
      <c r="D30" s="123"/>
      <c r="E30" s="129" t="b">
        <v>1</v>
      </c>
      <c r="F30" s="123" t="s">
        <v>2866</v>
      </c>
      <c r="G30" s="123"/>
      <c r="H30" s="123"/>
      <c r="I30" s="123"/>
    </row>
    <row r="31" spans="1:10" x14ac:dyDescent="0.25">
      <c r="A31" s="129" t="b">
        <v>1</v>
      </c>
      <c r="B31" s="123" t="s">
        <v>2867</v>
      </c>
      <c r="C31" s="123"/>
      <c r="D31" s="123"/>
      <c r="E31" s="123"/>
      <c r="F31" s="123"/>
      <c r="G31" s="123"/>
      <c r="H31" s="123"/>
      <c r="I31" s="143">
        <v>45586</v>
      </c>
    </row>
    <row r="32" spans="1:10" x14ac:dyDescent="0.25">
      <c r="A32" s="247" t="s">
        <v>2868</v>
      </c>
      <c r="B32" s="247"/>
      <c r="C32" s="247"/>
      <c r="D32" s="247"/>
      <c r="E32" s="247"/>
      <c r="F32" s="247"/>
      <c r="G32" s="247"/>
      <c r="H32" s="247"/>
      <c r="I32" s="247"/>
    </row>
    <row r="33" spans="1:9" x14ac:dyDescent="0.25">
      <c r="A33" s="129" t="b">
        <v>1</v>
      </c>
      <c r="B33" s="123" t="s">
        <v>2869</v>
      </c>
      <c r="C33" s="123"/>
      <c r="D33" s="123" t="b">
        <v>1</v>
      </c>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t="b">
        <v>1</v>
      </c>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v>45587</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1">
    <mergeCell ref="A9:B9"/>
    <mergeCell ref="A10:B10"/>
    <mergeCell ref="D22:H22"/>
    <mergeCell ref="H23:I23"/>
    <mergeCell ref="A32:I32"/>
    <mergeCell ref="A8:B8"/>
    <mergeCell ref="A2:G3"/>
    <mergeCell ref="A4:B4"/>
    <mergeCell ref="A5:B5"/>
    <mergeCell ref="A6:B6"/>
    <mergeCell ref="A7:B7"/>
  </mergeCells>
  <hyperlinks>
    <hyperlink ref="C9" r:id="rId1" xr:uid="{702AA046-CE9D-4686-A925-BD03AB2BE71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093313" r:id="rId5" name="Check Box 1">
              <controlPr defaultSize="0" autoFill="0" autoLine="0" autoPict="0">
                <anchor moveWithCells="1">
                  <from>
                    <xdr:col>0</xdr:col>
                    <xdr:colOff>0</xdr:colOff>
                    <xdr:row>42</xdr:row>
                    <xdr:rowOff>0</xdr:rowOff>
                  </from>
                  <to>
                    <xdr:col>0</xdr:col>
                    <xdr:colOff>304800</xdr:colOff>
                    <xdr:row>43</xdr:row>
                    <xdr:rowOff>38100</xdr:rowOff>
                  </to>
                </anchor>
              </controlPr>
            </control>
          </mc:Choice>
        </mc:AlternateContent>
        <mc:AlternateContent xmlns:mc="http://schemas.openxmlformats.org/markup-compatibility/2006">
          <mc:Choice Requires="x14">
            <control shapeId="14093314" r:id="rId6" name="Check Box 2">
              <controlPr defaultSize="0" autoFill="0" autoLine="0" autoPict="0">
                <anchor moveWithCells="1">
                  <from>
                    <xdr:col>0</xdr:col>
                    <xdr:colOff>0</xdr:colOff>
                    <xdr:row>43</xdr:row>
                    <xdr:rowOff>0</xdr:rowOff>
                  </from>
                  <to>
                    <xdr:col>0</xdr:col>
                    <xdr:colOff>304800</xdr:colOff>
                    <xdr:row>44</xdr:row>
                    <xdr:rowOff>38100</xdr:rowOff>
                  </to>
                </anchor>
              </controlPr>
            </control>
          </mc:Choice>
        </mc:AlternateContent>
        <mc:AlternateContent xmlns:mc="http://schemas.openxmlformats.org/markup-compatibility/2006">
          <mc:Choice Requires="x14">
            <control shapeId="14093315" r:id="rId7" name="Check Box 3">
              <controlPr defaultSize="0" autoFill="0" autoLine="0" autoPict="0">
                <anchor moveWithCells="1">
                  <from>
                    <xdr:col>0</xdr:col>
                    <xdr:colOff>0</xdr:colOff>
                    <xdr:row>44</xdr:row>
                    <xdr:rowOff>0</xdr:rowOff>
                  </from>
                  <to>
                    <xdr:col>0</xdr:col>
                    <xdr:colOff>304800</xdr:colOff>
                    <xdr:row>45</xdr:row>
                    <xdr:rowOff>38100</xdr:rowOff>
                  </to>
                </anchor>
              </controlPr>
            </control>
          </mc:Choice>
        </mc:AlternateContent>
        <mc:AlternateContent xmlns:mc="http://schemas.openxmlformats.org/markup-compatibility/2006">
          <mc:Choice Requires="x14">
            <control shapeId="14093316" r:id="rId8" name="Check Box 4">
              <controlPr defaultSize="0" autoFill="0" autoLine="0" autoPict="0">
                <anchor moveWithCells="1">
                  <from>
                    <xdr:col>0</xdr:col>
                    <xdr:colOff>0</xdr:colOff>
                    <xdr:row>45</xdr:row>
                    <xdr:rowOff>0</xdr:rowOff>
                  </from>
                  <to>
                    <xdr:col>0</xdr:col>
                    <xdr:colOff>304800</xdr:colOff>
                    <xdr:row>46</xdr:row>
                    <xdr:rowOff>38100</xdr:rowOff>
                  </to>
                </anchor>
              </controlPr>
            </control>
          </mc:Choice>
        </mc:AlternateContent>
        <mc:AlternateContent xmlns:mc="http://schemas.openxmlformats.org/markup-compatibility/2006">
          <mc:Choice Requires="x14">
            <control shapeId="14093317" r:id="rId9" name="Check Box 5">
              <controlPr defaultSize="0" autoFill="0" autoLine="0" autoPict="0">
                <anchor moveWithCells="1">
                  <from>
                    <xdr:col>0</xdr:col>
                    <xdr:colOff>0</xdr:colOff>
                    <xdr:row>46</xdr:row>
                    <xdr:rowOff>0</xdr:rowOff>
                  </from>
                  <to>
                    <xdr:col>0</xdr:col>
                    <xdr:colOff>304800</xdr:colOff>
                    <xdr:row>47</xdr:row>
                    <xdr:rowOff>38100</xdr:rowOff>
                  </to>
                </anchor>
              </controlPr>
            </control>
          </mc:Choice>
        </mc:AlternateContent>
        <mc:AlternateContent xmlns:mc="http://schemas.openxmlformats.org/markup-compatibility/2006">
          <mc:Choice Requires="x14">
            <control shapeId="14093318" r:id="rId10" name="Check Box 6">
              <controlPr defaultSize="0" autoFill="0" autoLine="0" autoPict="0">
                <anchor moveWithCells="1">
                  <from>
                    <xdr:col>0</xdr:col>
                    <xdr:colOff>0</xdr:colOff>
                    <xdr:row>47</xdr:row>
                    <xdr:rowOff>0</xdr:rowOff>
                  </from>
                  <to>
                    <xdr:col>0</xdr:col>
                    <xdr:colOff>304800</xdr:colOff>
                    <xdr:row>48</xdr:row>
                    <xdr:rowOff>38100</xdr:rowOff>
                  </to>
                </anchor>
              </controlPr>
            </control>
          </mc:Choice>
        </mc:AlternateContent>
        <mc:AlternateContent xmlns:mc="http://schemas.openxmlformats.org/markup-compatibility/2006">
          <mc:Choice Requires="x14">
            <control shapeId="14093319" r:id="rId11" name="Check Box 7">
              <controlPr defaultSize="0" autoFill="0" autoLine="0" autoPict="0">
                <anchor moveWithCells="1">
                  <from>
                    <xdr:col>0</xdr:col>
                    <xdr:colOff>0</xdr:colOff>
                    <xdr:row>48</xdr:row>
                    <xdr:rowOff>0</xdr:rowOff>
                  </from>
                  <to>
                    <xdr:col>0</xdr:col>
                    <xdr:colOff>304800</xdr:colOff>
                    <xdr:row>49</xdr:row>
                    <xdr:rowOff>38100</xdr:rowOff>
                  </to>
                </anchor>
              </controlPr>
            </control>
          </mc:Choice>
        </mc:AlternateContent>
        <mc:AlternateContent xmlns:mc="http://schemas.openxmlformats.org/markup-compatibility/2006">
          <mc:Choice Requires="x14">
            <control shapeId="14093320" r:id="rId12" name="Button 8">
              <controlPr defaultSize="0" print="0" autoFill="0" autoPict="0" macro="[0]!FillHistory">
                <anchor moveWithCells="1" sizeWithCells="1">
                  <from>
                    <xdr:col>7</xdr:col>
                    <xdr:colOff>219075</xdr:colOff>
                    <xdr:row>19</xdr:row>
                    <xdr:rowOff>142875</xdr:rowOff>
                  </from>
                  <to>
                    <xdr:col>8</xdr:col>
                    <xdr:colOff>676275</xdr:colOff>
                    <xdr:row>21</xdr:row>
                    <xdr:rowOff>66675</xdr:rowOff>
                  </to>
                </anchor>
              </controlPr>
            </control>
          </mc:Choice>
        </mc:AlternateContent>
        <mc:AlternateContent xmlns:mc="http://schemas.openxmlformats.org/markup-compatibility/2006">
          <mc:Choice Requires="x14">
            <control shapeId="1409332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4093322" r:id="rId14" name="Check Box 10">
              <controlPr defaultSize="0" autoFill="0" autoLine="0" autoPict="0">
                <anchor moveWithCells="1">
                  <from>
                    <xdr:col>0</xdr:col>
                    <xdr:colOff>0</xdr:colOff>
                    <xdr:row>38</xdr:row>
                    <xdr:rowOff>180975</xdr:rowOff>
                  </from>
                  <to>
                    <xdr:col>0</xdr:col>
                    <xdr:colOff>304800</xdr:colOff>
                    <xdr:row>40</xdr:row>
                    <xdr:rowOff>19050</xdr:rowOff>
                  </to>
                </anchor>
              </controlPr>
            </control>
          </mc:Choice>
        </mc:AlternateContent>
        <mc:AlternateContent xmlns:mc="http://schemas.openxmlformats.org/markup-compatibility/2006">
          <mc:Choice Requires="x14">
            <control shapeId="1409332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409332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409332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409332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4093327" r:id="rId19" name="Check Box 15">
              <controlPr defaultSize="0" autoFill="0" autoLine="0" autoPict="0">
                <anchor moveWithCells="1">
                  <from>
                    <xdr:col>0</xdr:col>
                    <xdr:colOff>0</xdr:colOff>
                    <xdr:row>48</xdr:row>
                    <xdr:rowOff>161925</xdr:rowOff>
                  </from>
                  <to>
                    <xdr:col>0</xdr:col>
                    <xdr:colOff>304800</xdr:colOff>
                    <xdr:row>50</xdr:row>
                    <xdr:rowOff>0</xdr:rowOff>
                  </to>
                </anchor>
              </controlPr>
            </control>
          </mc:Choice>
        </mc:AlternateContent>
        <mc:AlternateContent xmlns:mc="http://schemas.openxmlformats.org/markup-compatibility/2006">
          <mc:Choice Requires="x14">
            <control shapeId="14093328" r:id="rId20" name="Check Box 16">
              <controlPr defaultSize="0" autoFill="0" autoLine="0" autoPict="0">
                <anchor moveWithCells="1">
                  <from>
                    <xdr:col>0</xdr:col>
                    <xdr:colOff>0</xdr:colOff>
                    <xdr:row>27</xdr:row>
                    <xdr:rowOff>0</xdr:rowOff>
                  </from>
                  <to>
                    <xdr:col>0</xdr:col>
                    <xdr:colOff>304800</xdr:colOff>
                    <xdr:row>28</xdr:row>
                    <xdr:rowOff>38100</xdr:rowOff>
                  </to>
                </anchor>
              </controlPr>
            </control>
          </mc:Choice>
        </mc:AlternateContent>
        <mc:AlternateContent xmlns:mc="http://schemas.openxmlformats.org/markup-compatibility/2006">
          <mc:Choice Requires="x14">
            <control shapeId="14093329" r:id="rId21" name="Check Box 17">
              <controlPr defaultSize="0" autoFill="0" autoLine="0" autoPict="0">
                <anchor moveWithCells="1">
                  <from>
                    <xdr:col>0</xdr:col>
                    <xdr:colOff>0</xdr:colOff>
                    <xdr:row>28</xdr:row>
                    <xdr:rowOff>0</xdr:rowOff>
                  </from>
                  <to>
                    <xdr:col>0</xdr:col>
                    <xdr:colOff>304800</xdr:colOff>
                    <xdr:row>29</xdr:row>
                    <xdr:rowOff>38100</xdr:rowOff>
                  </to>
                </anchor>
              </controlPr>
            </control>
          </mc:Choice>
        </mc:AlternateContent>
        <mc:AlternateContent xmlns:mc="http://schemas.openxmlformats.org/markup-compatibility/2006">
          <mc:Choice Requires="x14">
            <control shapeId="14093330" r:id="rId22" name="Check Box 18">
              <controlPr defaultSize="0" autoFill="0" autoLine="0" autoPict="0">
                <anchor moveWithCells="1">
                  <from>
                    <xdr:col>0</xdr:col>
                    <xdr:colOff>0</xdr:colOff>
                    <xdr:row>29</xdr:row>
                    <xdr:rowOff>0</xdr:rowOff>
                  </from>
                  <to>
                    <xdr:col>0</xdr:col>
                    <xdr:colOff>304800</xdr:colOff>
                    <xdr:row>30</xdr:row>
                    <xdr:rowOff>38100</xdr:rowOff>
                  </to>
                </anchor>
              </controlPr>
            </control>
          </mc:Choice>
        </mc:AlternateContent>
        <mc:AlternateContent xmlns:mc="http://schemas.openxmlformats.org/markup-compatibility/2006">
          <mc:Choice Requires="x14">
            <control shapeId="14093331" r:id="rId23" name="Check Box 19">
              <controlPr defaultSize="0" autoFill="0" autoLine="0" autoPict="0">
                <anchor moveWithCells="1">
                  <from>
                    <xdr:col>0</xdr:col>
                    <xdr:colOff>0</xdr:colOff>
                    <xdr:row>30</xdr:row>
                    <xdr:rowOff>0</xdr:rowOff>
                  </from>
                  <to>
                    <xdr:col>0</xdr:col>
                    <xdr:colOff>304800</xdr:colOff>
                    <xdr:row>31</xdr:row>
                    <xdr:rowOff>38100</xdr:rowOff>
                  </to>
                </anchor>
              </controlPr>
            </control>
          </mc:Choice>
        </mc:AlternateContent>
        <mc:AlternateContent xmlns:mc="http://schemas.openxmlformats.org/markup-compatibility/2006">
          <mc:Choice Requires="x14">
            <control shapeId="14093332" r:id="rId24" name="Check Box 20">
              <controlPr defaultSize="0" autoFill="0" autoLine="0" autoPict="0">
                <anchor moveWithCells="1">
                  <from>
                    <xdr:col>3</xdr:col>
                    <xdr:colOff>600075</xdr:colOff>
                    <xdr:row>26</xdr:row>
                    <xdr:rowOff>171450</xdr:rowOff>
                  </from>
                  <to>
                    <xdr:col>4</xdr:col>
                    <xdr:colOff>285750</xdr:colOff>
                    <xdr:row>28</xdr:row>
                    <xdr:rowOff>0</xdr:rowOff>
                  </to>
                </anchor>
              </controlPr>
            </control>
          </mc:Choice>
        </mc:AlternateContent>
        <mc:AlternateContent xmlns:mc="http://schemas.openxmlformats.org/markup-compatibility/2006">
          <mc:Choice Requires="x14">
            <control shapeId="14093333" r:id="rId25" name="Check Box 21">
              <controlPr defaultSize="0" autoFill="0" autoLine="0" autoPict="0">
                <anchor moveWithCells="1">
                  <from>
                    <xdr:col>3</xdr:col>
                    <xdr:colOff>600075</xdr:colOff>
                    <xdr:row>27</xdr:row>
                    <xdr:rowOff>171450</xdr:rowOff>
                  </from>
                  <to>
                    <xdr:col>4</xdr:col>
                    <xdr:colOff>285750</xdr:colOff>
                    <xdr:row>29</xdr:row>
                    <xdr:rowOff>19050</xdr:rowOff>
                  </to>
                </anchor>
              </controlPr>
            </control>
          </mc:Choice>
        </mc:AlternateContent>
        <mc:AlternateContent xmlns:mc="http://schemas.openxmlformats.org/markup-compatibility/2006">
          <mc:Choice Requires="x14">
            <control shapeId="14093334" r:id="rId26" name="Check Box 22">
              <controlPr defaultSize="0" autoFill="0" autoLine="0" autoPict="0">
                <anchor moveWithCells="1">
                  <from>
                    <xdr:col>3</xdr:col>
                    <xdr:colOff>600075</xdr:colOff>
                    <xdr:row>28</xdr:row>
                    <xdr:rowOff>171450</xdr:rowOff>
                  </from>
                  <to>
                    <xdr:col>4</xdr:col>
                    <xdr:colOff>285750</xdr:colOff>
                    <xdr:row>30</xdr:row>
                    <xdr:rowOff>19050</xdr:rowOff>
                  </to>
                </anchor>
              </controlPr>
            </control>
          </mc:Choice>
        </mc:AlternateContent>
        <mc:AlternateContent xmlns:mc="http://schemas.openxmlformats.org/markup-compatibility/2006">
          <mc:Choice Requires="x14">
            <control shapeId="14093335" r:id="rId27" name="Check Box 23">
              <controlPr defaultSize="0" autoFill="0" autoLine="0" autoPict="0">
                <anchor moveWithCells="1">
                  <from>
                    <xdr:col>0</xdr:col>
                    <xdr:colOff>0</xdr:colOff>
                    <xdr:row>32</xdr:row>
                    <xdr:rowOff>0</xdr:rowOff>
                  </from>
                  <to>
                    <xdr:col>0</xdr:col>
                    <xdr:colOff>304800</xdr:colOff>
                    <xdr:row>33</xdr:row>
                    <xdr:rowOff>38100</xdr:rowOff>
                  </to>
                </anchor>
              </controlPr>
            </control>
          </mc:Choice>
        </mc:AlternateContent>
        <mc:AlternateContent xmlns:mc="http://schemas.openxmlformats.org/markup-compatibility/2006">
          <mc:Choice Requires="x14">
            <control shapeId="14093336" r:id="rId28" name="Check Box 24">
              <controlPr defaultSize="0" autoFill="0" autoLine="0" autoPict="0">
                <anchor moveWithCells="1">
                  <from>
                    <xdr:col>0</xdr:col>
                    <xdr:colOff>0</xdr:colOff>
                    <xdr:row>33</xdr:row>
                    <xdr:rowOff>0</xdr:rowOff>
                  </from>
                  <to>
                    <xdr:col>0</xdr:col>
                    <xdr:colOff>304800</xdr:colOff>
                    <xdr:row>34</xdr:row>
                    <xdr:rowOff>38100</xdr:rowOff>
                  </to>
                </anchor>
              </controlPr>
            </control>
          </mc:Choice>
        </mc:AlternateContent>
        <mc:AlternateContent xmlns:mc="http://schemas.openxmlformats.org/markup-compatibility/2006">
          <mc:Choice Requires="x14">
            <control shapeId="14093337" r:id="rId29" name="Check Box 25">
              <controlPr defaultSize="0" autoFill="0" autoLine="0" autoPict="0">
                <anchor moveWithCells="1">
                  <from>
                    <xdr:col>0</xdr:col>
                    <xdr:colOff>0</xdr:colOff>
                    <xdr:row>34</xdr:row>
                    <xdr:rowOff>0</xdr:rowOff>
                  </from>
                  <to>
                    <xdr:col>0</xdr:col>
                    <xdr:colOff>304800</xdr:colOff>
                    <xdr:row>35</xdr:row>
                    <xdr:rowOff>38100</xdr:rowOff>
                  </to>
                </anchor>
              </controlPr>
            </control>
          </mc:Choice>
        </mc:AlternateContent>
        <mc:AlternateContent xmlns:mc="http://schemas.openxmlformats.org/markup-compatibility/2006">
          <mc:Choice Requires="x14">
            <control shapeId="14093338" r:id="rId30" name="Check Box 26">
              <controlPr defaultSize="0" autoFill="0" autoLine="0" autoPict="0">
                <anchor moveWithCells="1">
                  <from>
                    <xdr:col>0</xdr:col>
                    <xdr:colOff>0</xdr:colOff>
                    <xdr:row>35</xdr:row>
                    <xdr:rowOff>0</xdr:rowOff>
                  </from>
                  <to>
                    <xdr:col>0</xdr:col>
                    <xdr:colOff>304800</xdr:colOff>
                    <xdr:row>36</xdr:row>
                    <xdr:rowOff>38100</xdr:rowOff>
                  </to>
                </anchor>
              </controlPr>
            </control>
          </mc:Choice>
        </mc:AlternateContent>
        <mc:AlternateContent xmlns:mc="http://schemas.openxmlformats.org/markup-compatibility/2006">
          <mc:Choice Requires="x14">
            <control shapeId="14093339" r:id="rId31" name="Check Box 27">
              <controlPr defaultSize="0" autoFill="0" autoLine="0" autoPict="0">
                <anchor moveWithCells="1">
                  <from>
                    <xdr:col>0</xdr:col>
                    <xdr:colOff>0</xdr:colOff>
                    <xdr:row>36</xdr:row>
                    <xdr:rowOff>0</xdr:rowOff>
                  </from>
                  <to>
                    <xdr:col>0</xdr:col>
                    <xdr:colOff>304800</xdr:colOff>
                    <xdr:row>37</xdr:row>
                    <xdr:rowOff>19050</xdr:rowOff>
                  </to>
                </anchor>
              </controlPr>
            </control>
          </mc:Choice>
        </mc:AlternateContent>
        <mc:AlternateContent xmlns:mc="http://schemas.openxmlformats.org/markup-compatibility/2006">
          <mc:Choice Requires="x14">
            <control shapeId="14093340" r:id="rId32"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4093341" r:id="rId33"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4093342" r:id="rId34" name="Check Box 30">
              <controlPr defaultSize="0" autoFill="0" autoLine="0" autoPict="0">
                <anchor moveWithCells="1">
                  <from>
                    <xdr:col>3</xdr:col>
                    <xdr:colOff>333375</xdr:colOff>
                    <xdr:row>31</xdr:row>
                    <xdr:rowOff>171450</xdr:rowOff>
                  </from>
                  <to>
                    <xdr:col>4</xdr:col>
                    <xdr:colOff>19050</xdr:colOff>
                    <xdr:row>33</xdr:row>
                    <xdr:rowOff>19050</xdr:rowOff>
                  </to>
                </anchor>
              </controlPr>
            </control>
          </mc:Choice>
        </mc:AlternateContent>
        <mc:AlternateContent xmlns:mc="http://schemas.openxmlformats.org/markup-compatibility/2006">
          <mc:Choice Requires="x14">
            <control shapeId="14093343" r:id="rId35" name="Check Box 31">
              <controlPr defaultSize="0" autoFill="0" autoLine="0" autoPict="0">
                <anchor moveWithCells="1">
                  <from>
                    <xdr:col>3</xdr:col>
                    <xdr:colOff>333375</xdr:colOff>
                    <xdr:row>32</xdr:row>
                    <xdr:rowOff>171450</xdr:rowOff>
                  </from>
                  <to>
                    <xdr:col>4</xdr:col>
                    <xdr:colOff>19050</xdr:colOff>
                    <xdr:row>34</xdr:row>
                    <xdr:rowOff>19050</xdr:rowOff>
                  </to>
                </anchor>
              </controlPr>
            </control>
          </mc:Choice>
        </mc:AlternateContent>
        <mc:AlternateContent xmlns:mc="http://schemas.openxmlformats.org/markup-compatibility/2006">
          <mc:Choice Requires="x14">
            <control shapeId="14093344" r:id="rId36" name="Check Box 32">
              <controlPr defaultSize="0" autoFill="0" autoLine="0" autoPict="0">
                <anchor moveWithCells="1">
                  <from>
                    <xdr:col>3</xdr:col>
                    <xdr:colOff>333375</xdr:colOff>
                    <xdr:row>33</xdr:row>
                    <xdr:rowOff>171450</xdr:rowOff>
                  </from>
                  <to>
                    <xdr:col>4</xdr:col>
                    <xdr:colOff>19050</xdr:colOff>
                    <xdr:row>35</xdr:row>
                    <xdr:rowOff>19050</xdr:rowOff>
                  </to>
                </anchor>
              </controlPr>
            </control>
          </mc:Choice>
        </mc:AlternateContent>
        <mc:AlternateContent xmlns:mc="http://schemas.openxmlformats.org/markup-compatibility/2006">
          <mc:Choice Requires="x14">
            <control shapeId="14093345" r:id="rId37" name="Check Box 33">
              <controlPr defaultSize="0" autoFill="0" autoLine="0" autoPict="0">
                <anchor moveWithCells="1">
                  <from>
                    <xdr:col>3</xdr:col>
                    <xdr:colOff>333375</xdr:colOff>
                    <xdr:row>34</xdr:row>
                    <xdr:rowOff>171450</xdr:rowOff>
                  </from>
                  <to>
                    <xdr:col>4</xdr:col>
                    <xdr:colOff>19050</xdr:colOff>
                    <xdr:row>36</xdr:row>
                    <xdr:rowOff>19050</xdr:rowOff>
                  </to>
                </anchor>
              </controlPr>
            </control>
          </mc:Choice>
        </mc:AlternateContent>
        <mc:AlternateContent xmlns:mc="http://schemas.openxmlformats.org/markup-compatibility/2006">
          <mc:Choice Requires="x14">
            <control shapeId="14093346" r:id="rId38" name="Check Box 34">
              <controlPr defaultSize="0" autoFill="0" autoLine="0" autoPict="0">
                <anchor moveWithCells="1">
                  <from>
                    <xdr:col>6</xdr:col>
                    <xdr:colOff>361950</xdr:colOff>
                    <xdr:row>31</xdr:row>
                    <xdr:rowOff>180975</xdr:rowOff>
                  </from>
                  <to>
                    <xdr:col>7</xdr:col>
                    <xdr:colOff>57150</xdr:colOff>
                    <xdr:row>33</xdr:row>
                    <xdr:rowOff>19050</xdr:rowOff>
                  </to>
                </anchor>
              </controlPr>
            </control>
          </mc:Choice>
        </mc:AlternateContent>
        <mc:AlternateContent xmlns:mc="http://schemas.openxmlformats.org/markup-compatibility/2006">
          <mc:Choice Requires="x14">
            <control shapeId="14093347" r:id="rId39" name="Check Box 35">
              <controlPr defaultSize="0" autoFill="0" autoLine="0" autoPict="0">
                <anchor moveWithCells="1">
                  <from>
                    <xdr:col>6</xdr:col>
                    <xdr:colOff>361950</xdr:colOff>
                    <xdr:row>32</xdr:row>
                    <xdr:rowOff>180975</xdr:rowOff>
                  </from>
                  <to>
                    <xdr:col>7</xdr:col>
                    <xdr:colOff>57150</xdr:colOff>
                    <xdr:row>34</xdr:row>
                    <xdr:rowOff>19050</xdr:rowOff>
                  </to>
                </anchor>
              </controlPr>
            </control>
          </mc:Choice>
        </mc:AlternateContent>
        <mc:AlternateContent xmlns:mc="http://schemas.openxmlformats.org/markup-compatibility/2006">
          <mc:Choice Requires="x14">
            <control shapeId="14093348" r:id="rId40" name="Check Box 36">
              <controlPr defaultSize="0" autoFill="0" autoLine="0" autoPict="0">
                <anchor moveWithCells="1">
                  <from>
                    <xdr:col>6</xdr:col>
                    <xdr:colOff>361950</xdr:colOff>
                    <xdr:row>33</xdr:row>
                    <xdr:rowOff>180975</xdr:rowOff>
                  </from>
                  <to>
                    <xdr:col>7</xdr:col>
                    <xdr:colOff>57150</xdr:colOff>
                    <xdr:row>35</xdr:row>
                    <xdr:rowOff>19050</xdr:rowOff>
                  </to>
                </anchor>
              </controlPr>
            </control>
          </mc:Choice>
        </mc:AlternateContent>
        <mc:AlternateContent xmlns:mc="http://schemas.openxmlformats.org/markup-compatibility/2006">
          <mc:Choice Requires="x14">
            <control shapeId="14093349" r:id="rId41" name="Check Box 37">
              <controlPr defaultSize="0" autoFill="0" autoLine="0" autoPict="0">
                <anchor moveWithCells="1">
                  <from>
                    <xdr:col>6</xdr:col>
                    <xdr:colOff>361950</xdr:colOff>
                    <xdr:row>34</xdr:row>
                    <xdr:rowOff>180975</xdr:rowOff>
                  </from>
                  <to>
                    <xdr:col>7</xdr:col>
                    <xdr:colOff>57150</xdr:colOff>
                    <xdr:row>36</xdr:row>
                    <xdr:rowOff>19050</xdr:rowOff>
                  </to>
                </anchor>
              </controlPr>
            </control>
          </mc:Choice>
        </mc:AlternateContent>
      </controls>
    </mc:Choice>
  </mc:AlternateConten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B8900-C6FD-4CCD-861F-48A887E531AC}">
  <sheetPr codeName="Sheet85"/>
  <dimension ref="A1:I50"/>
  <sheetViews>
    <sheetView workbookViewId="0">
      <selection activeCell="M28" sqref="M28"/>
    </sheetView>
  </sheetViews>
  <sheetFormatPr defaultRowHeight="15" x14ac:dyDescent="0.25"/>
  <cols>
    <col min="9" max="9" width="14.140625" customWidth="1"/>
  </cols>
  <sheetData>
    <row r="1" spans="1:9" ht="15.75" thickBot="1" x14ac:dyDescent="0.3">
      <c r="A1" s="106" t="str" cm="1">
        <f t="array" aca="1" ref="A1" ca="1">MID(CELL("filename",A1),FIND("]",CELL("filename",A1))+1,256)</f>
        <v>E0004</v>
      </c>
    </row>
    <row r="2" spans="1:9" ht="15.75" customHeight="1" thickTop="1" x14ac:dyDescent="0.35">
      <c r="A2" s="248" t="str">
        <f ca="1">C4&amp;" - "&amp;C5&amp;" - "&amp;C7</f>
        <v>E0004 - Gaye Elliott - 109 Caldwell Street, Heathcote VIC 3523</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E0004</v>
      </c>
      <c r="D4" s="134"/>
      <c r="E4" s="134"/>
      <c r="F4" s="134"/>
      <c r="G4" s="134"/>
      <c r="H4" s="123"/>
      <c r="I4" s="123"/>
    </row>
    <row r="5" spans="1:9" x14ac:dyDescent="0.25">
      <c r="A5" s="254" t="s">
        <v>2835</v>
      </c>
      <c r="B5" s="255"/>
      <c r="C5" s="123" t="s">
        <v>46</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3174</v>
      </c>
      <c r="D7" s="123"/>
      <c r="E7" s="123"/>
      <c r="F7" s="123"/>
      <c r="G7" s="123"/>
      <c r="H7" s="123"/>
      <c r="I7" s="124"/>
    </row>
    <row r="8" spans="1:9" x14ac:dyDescent="0.25">
      <c r="A8" s="254" t="s">
        <v>2842</v>
      </c>
      <c r="B8" s="255"/>
      <c r="C8" s="123" t="s">
        <v>47</v>
      </c>
      <c r="D8" s="123"/>
      <c r="E8" s="123"/>
      <c r="F8" s="123"/>
      <c r="G8" s="123"/>
      <c r="H8" s="123"/>
      <c r="I8" s="124"/>
    </row>
    <row r="9" spans="1:9" x14ac:dyDescent="0.25">
      <c r="A9" s="254" t="s">
        <v>2844</v>
      </c>
      <c r="B9" s="255"/>
      <c r="C9" s="123"/>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c r="E24" s="138"/>
      <c r="F24" s="138"/>
      <c r="G24" s="138"/>
      <c r="H24" s="138"/>
      <c r="I24" s="138"/>
    </row>
    <row r="25" spans="1:9" x14ac:dyDescent="0.25">
      <c r="A25" s="136" t="s">
        <v>2858</v>
      </c>
      <c r="B25" s="123"/>
      <c r="C25" s="123"/>
      <c r="D25" s="137"/>
      <c r="E25" s="138"/>
      <c r="F25" s="138"/>
      <c r="G25" s="138"/>
      <c r="H25" s="138"/>
      <c r="I25" s="138"/>
    </row>
    <row r="26" spans="1:9" x14ac:dyDescent="0.25">
      <c r="A26" s="136" t="s">
        <v>2859</v>
      </c>
      <c r="B26" s="123"/>
      <c r="C26" s="123"/>
      <c r="D26" s="137"/>
      <c r="E26" s="138"/>
      <c r="F26" s="138"/>
      <c r="G26" s="138"/>
      <c r="H26" s="138"/>
      <c r="I26" s="138"/>
    </row>
    <row r="27" spans="1:9" x14ac:dyDescent="0.25">
      <c r="A27" s="136" t="s">
        <v>2860</v>
      </c>
      <c r="B27" s="123"/>
      <c r="C27" s="123"/>
      <c r="D27" s="137"/>
      <c r="E27" s="138"/>
      <c r="F27" s="138"/>
      <c r="G27" s="138"/>
      <c r="H27" s="138"/>
      <c r="I27" s="138"/>
    </row>
    <row r="28" spans="1:9" x14ac:dyDescent="0.25">
      <c r="A28" s="129" t="b">
        <v>0</v>
      </c>
      <c r="B28" s="123" t="s">
        <v>2861</v>
      </c>
      <c r="C28" s="123"/>
      <c r="D28" s="123"/>
      <c r="E28" s="129" t="b">
        <v>0</v>
      </c>
      <c r="F28" s="123" t="s">
        <v>2862</v>
      </c>
      <c r="G28" s="123"/>
      <c r="H28" s="123"/>
      <c r="I28" s="123"/>
    </row>
    <row r="29" spans="1:9" x14ac:dyDescent="0.25">
      <c r="A29" s="129" t="b">
        <v>0</v>
      </c>
      <c r="B29" s="123" t="s">
        <v>2863</v>
      </c>
      <c r="C29" s="123"/>
      <c r="D29" s="123"/>
      <c r="E29" s="129"/>
      <c r="F29" s="123" t="s">
        <v>2864</v>
      </c>
      <c r="G29" s="123"/>
      <c r="H29" s="123"/>
      <c r="I29" s="123"/>
    </row>
    <row r="30" spans="1:9" x14ac:dyDescent="0.25">
      <c r="A30" s="129"/>
      <c r="B30" s="123" t="s">
        <v>2865</v>
      </c>
      <c r="C30" s="123"/>
      <c r="D30" s="123"/>
      <c r="E30" s="129"/>
      <c r="F30" s="123" t="s">
        <v>2866</v>
      </c>
      <c r="G30" s="123"/>
      <c r="H30" s="123"/>
      <c r="I30" s="123"/>
    </row>
    <row r="31" spans="1:9" x14ac:dyDescent="0.25">
      <c r="A31" s="129"/>
      <c r="B31" s="123" t="s">
        <v>2867</v>
      </c>
      <c r="C31" s="123"/>
      <c r="D31" s="123"/>
      <c r="E31" s="123"/>
      <c r="F31" s="123"/>
      <c r="G31" s="123"/>
      <c r="H31" s="123"/>
      <c r="I31" s="143"/>
    </row>
    <row r="32" spans="1:9" x14ac:dyDescent="0.25">
      <c r="A32" s="247" t="s">
        <v>2868</v>
      </c>
      <c r="B32" s="247"/>
      <c r="C32" s="247"/>
      <c r="D32" s="247"/>
      <c r="E32" s="247"/>
      <c r="F32" s="247"/>
      <c r="G32" s="247"/>
      <c r="H32" s="247"/>
      <c r="I32" s="247"/>
    </row>
    <row r="33" spans="1:9" x14ac:dyDescent="0.25">
      <c r="A33" s="129" t="b">
        <v>0</v>
      </c>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39" t="s">
        <v>2880</v>
      </c>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879297"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3879298"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3879299"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3879300"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3879301"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3879302"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3879303"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3879304" r:id="rId11"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3879305"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3879306"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3879307"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3879308"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3879309"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3879310"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3879311"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3879312"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3879313"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3879314"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3879315"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3879316"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3879317"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3879318"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3879319"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3879320"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3879321"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3879322"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3879323"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3879324" r:id="rId31" name="Button 28">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3879325" r:id="rId32" name="Button 29">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3879326" r:id="rId33" name="Check Box 30">
              <controlPr defaultSize="0" autoFill="0" autoLine="0" autoPict="0">
                <anchor moveWithCells="1">
                  <from>
                    <xdr:col>3</xdr:col>
                    <xdr:colOff>333375</xdr:colOff>
                    <xdr:row>31</xdr:row>
                    <xdr:rowOff>171450</xdr:rowOff>
                  </from>
                  <to>
                    <xdr:col>4</xdr:col>
                    <xdr:colOff>19050</xdr:colOff>
                    <xdr:row>33</xdr:row>
                    <xdr:rowOff>9525</xdr:rowOff>
                  </to>
                </anchor>
              </controlPr>
            </control>
          </mc:Choice>
        </mc:AlternateContent>
        <mc:AlternateContent xmlns:mc="http://schemas.openxmlformats.org/markup-compatibility/2006">
          <mc:Choice Requires="x14">
            <control shapeId="13879327" r:id="rId34" name="Check Box 31">
              <controlPr defaultSize="0" autoFill="0" autoLine="0" autoPict="0">
                <anchor moveWithCells="1">
                  <from>
                    <xdr:col>3</xdr:col>
                    <xdr:colOff>333375</xdr:colOff>
                    <xdr:row>32</xdr:row>
                    <xdr:rowOff>171450</xdr:rowOff>
                  </from>
                  <to>
                    <xdr:col>4</xdr:col>
                    <xdr:colOff>19050</xdr:colOff>
                    <xdr:row>34</xdr:row>
                    <xdr:rowOff>9525</xdr:rowOff>
                  </to>
                </anchor>
              </controlPr>
            </control>
          </mc:Choice>
        </mc:AlternateContent>
        <mc:AlternateContent xmlns:mc="http://schemas.openxmlformats.org/markup-compatibility/2006">
          <mc:Choice Requires="x14">
            <control shapeId="13879328" r:id="rId35" name="Check Box 32">
              <controlPr defaultSize="0" autoFill="0" autoLine="0" autoPict="0">
                <anchor moveWithCells="1">
                  <from>
                    <xdr:col>3</xdr:col>
                    <xdr:colOff>333375</xdr:colOff>
                    <xdr:row>33</xdr:row>
                    <xdr:rowOff>171450</xdr:rowOff>
                  </from>
                  <to>
                    <xdr:col>4</xdr:col>
                    <xdr:colOff>19050</xdr:colOff>
                    <xdr:row>35</xdr:row>
                    <xdr:rowOff>9525</xdr:rowOff>
                  </to>
                </anchor>
              </controlPr>
            </control>
          </mc:Choice>
        </mc:AlternateContent>
        <mc:AlternateContent xmlns:mc="http://schemas.openxmlformats.org/markup-compatibility/2006">
          <mc:Choice Requires="x14">
            <control shapeId="13879329" r:id="rId36" name="Check Box 33">
              <controlPr defaultSize="0" autoFill="0" autoLine="0" autoPict="0">
                <anchor moveWithCells="1">
                  <from>
                    <xdr:col>3</xdr:col>
                    <xdr:colOff>333375</xdr:colOff>
                    <xdr:row>34</xdr:row>
                    <xdr:rowOff>171450</xdr:rowOff>
                  </from>
                  <to>
                    <xdr:col>4</xdr:col>
                    <xdr:colOff>19050</xdr:colOff>
                    <xdr:row>36</xdr:row>
                    <xdr:rowOff>9525</xdr:rowOff>
                  </to>
                </anchor>
              </controlPr>
            </control>
          </mc:Choice>
        </mc:AlternateContent>
        <mc:AlternateContent xmlns:mc="http://schemas.openxmlformats.org/markup-compatibility/2006">
          <mc:Choice Requires="x14">
            <control shapeId="13879330" r:id="rId37" name="Check Box 34">
              <controlPr defaultSize="0" autoFill="0" autoLine="0" autoPict="0">
                <anchor moveWithCells="1">
                  <from>
                    <xdr:col>6</xdr:col>
                    <xdr:colOff>361950</xdr:colOff>
                    <xdr:row>31</xdr:row>
                    <xdr:rowOff>180975</xdr:rowOff>
                  </from>
                  <to>
                    <xdr:col>7</xdr:col>
                    <xdr:colOff>47625</xdr:colOff>
                    <xdr:row>33</xdr:row>
                    <xdr:rowOff>19050</xdr:rowOff>
                  </to>
                </anchor>
              </controlPr>
            </control>
          </mc:Choice>
        </mc:AlternateContent>
        <mc:AlternateContent xmlns:mc="http://schemas.openxmlformats.org/markup-compatibility/2006">
          <mc:Choice Requires="x14">
            <control shapeId="13879331" r:id="rId38" name="Check Box 35">
              <controlPr defaultSize="0" autoFill="0" autoLine="0" autoPict="0">
                <anchor moveWithCells="1">
                  <from>
                    <xdr:col>6</xdr:col>
                    <xdr:colOff>361950</xdr:colOff>
                    <xdr:row>32</xdr:row>
                    <xdr:rowOff>180975</xdr:rowOff>
                  </from>
                  <to>
                    <xdr:col>7</xdr:col>
                    <xdr:colOff>47625</xdr:colOff>
                    <xdr:row>34</xdr:row>
                    <xdr:rowOff>19050</xdr:rowOff>
                  </to>
                </anchor>
              </controlPr>
            </control>
          </mc:Choice>
        </mc:AlternateContent>
        <mc:AlternateContent xmlns:mc="http://schemas.openxmlformats.org/markup-compatibility/2006">
          <mc:Choice Requires="x14">
            <control shapeId="13879332" r:id="rId39" name="Check Box 36">
              <controlPr defaultSize="0" autoFill="0" autoLine="0" autoPict="0">
                <anchor moveWithCells="1">
                  <from>
                    <xdr:col>6</xdr:col>
                    <xdr:colOff>361950</xdr:colOff>
                    <xdr:row>33</xdr:row>
                    <xdr:rowOff>180975</xdr:rowOff>
                  </from>
                  <to>
                    <xdr:col>7</xdr:col>
                    <xdr:colOff>47625</xdr:colOff>
                    <xdr:row>35</xdr:row>
                    <xdr:rowOff>19050</xdr:rowOff>
                  </to>
                </anchor>
              </controlPr>
            </control>
          </mc:Choice>
        </mc:AlternateContent>
        <mc:AlternateContent xmlns:mc="http://schemas.openxmlformats.org/markup-compatibility/2006">
          <mc:Choice Requires="x14">
            <control shapeId="13879333" r:id="rId40" name="Check Box 37">
              <controlPr defaultSize="0" autoFill="0" autoLine="0" autoPict="0">
                <anchor moveWithCells="1">
                  <from>
                    <xdr:col>6</xdr:col>
                    <xdr:colOff>361950</xdr:colOff>
                    <xdr:row>34</xdr:row>
                    <xdr:rowOff>180975</xdr:rowOff>
                  </from>
                  <to>
                    <xdr:col>7</xdr:col>
                    <xdr:colOff>47625</xdr:colOff>
                    <xdr:row>36</xdr:row>
                    <xdr:rowOff>19050</xdr:rowOff>
                  </to>
                </anchor>
              </controlPr>
            </control>
          </mc:Choice>
        </mc:AlternateContent>
      </controls>
    </mc:Choice>
  </mc:AlternateConten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9"/>
  <dimension ref="A1:I50"/>
  <sheetViews>
    <sheetView workbookViewId="0">
      <selection activeCell="K4" sqref="K4"/>
    </sheetView>
  </sheetViews>
  <sheetFormatPr defaultRowHeight="15" x14ac:dyDescent="0.25"/>
  <cols>
    <col min="9" max="9" width="14.140625" customWidth="1"/>
  </cols>
  <sheetData>
    <row r="1" spans="1:9" ht="15.75" thickBot="1" x14ac:dyDescent="0.3">
      <c r="A1" s="106" t="str" cm="1">
        <f t="array" aca="1" ref="A1" ca="1">MID(CELL("filename",A1),FIND("]",CELL("filename",A1))+1,256)</f>
        <v>BPA0193</v>
      </c>
    </row>
    <row r="2" spans="1:9" ht="15.75" customHeight="1" thickTop="1" x14ac:dyDescent="0.35">
      <c r="A2" s="248" t="str">
        <f ca="1">C4&amp;" - "&amp;C5&amp;" - "&amp;C7</f>
        <v>BPA0193 - Raymond Demack - 8 Drake Street, Melmsbury VIC 3446</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BPA0193</v>
      </c>
      <c r="D4" s="134"/>
      <c r="E4" s="134"/>
      <c r="F4" s="134"/>
      <c r="G4" s="134"/>
      <c r="H4" s="123"/>
      <c r="I4" s="123"/>
    </row>
    <row r="5" spans="1:9" x14ac:dyDescent="0.25">
      <c r="A5" s="254" t="s">
        <v>2835</v>
      </c>
      <c r="B5" s="255"/>
      <c r="C5" s="123" t="s">
        <v>205</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3175</v>
      </c>
      <c r="D7" s="123"/>
      <c r="E7" s="123"/>
      <c r="F7" s="123"/>
      <c r="G7" s="123"/>
      <c r="H7" s="123"/>
      <c r="I7" s="124"/>
    </row>
    <row r="8" spans="1:9" x14ac:dyDescent="0.25">
      <c r="A8" s="254" t="s">
        <v>2842</v>
      </c>
      <c r="B8" s="255"/>
      <c r="C8" s="123" t="s">
        <v>206</v>
      </c>
      <c r="D8" s="123"/>
      <c r="E8" s="123"/>
      <c r="F8" s="123"/>
      <c r="G8" s="123"/>
      <c r="H8" s="123"/>
      <c r="I8" s="124"/>
    </row>
    <row r="9" spans="1:9" x14ac:dyDescent="0.25">
      <c r="A9" s="254" t="s">
        <v>2844</v>
      </c>
      <c r="B9" s="255"/>
      <c r="C9" s="123" t="s">
        <v>3176</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3064</v>
      </c>
      <c r="G21" s="138"/>
      <c r="H21" s="138"/>
      <c r="I21" s="138"/>
    </row>
    <row r="22" spans="1:9" x14ac:dyDescent="0.25">
      <c r="A22" s="136" t="s">
        <v>2855</v>
      </c>
      <c r="B22" s="123"/>
      <c r="C22" s="123"/>
      <c r="D22" s="256">
        <v>14630</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f>6*15</f>
        <v>90</v>
      </c>
      <c r="E24" s="138"/>
      <c r="F24" s="138"/>
      <c r="G24" s="138"/>
      <c r="H24" s="138"/>
      <c r="I24" s="138"/>
    </row>
    <row r="25" spans="1:9" x14ac:dyDescent="0.25">
      <c r="A25" s="136" t="s">
        <v>2858</v>
      </c>
      <c r="B25" s="123"/>
      <c r="C25" s="123"/>
      <c r="D25" s="137" t="s">
        <v>2930</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3134</v>
      </c>
      <c r="E27" s="138"/>
      <c r="F27" s="138"/>
      <c r="G27" s="138"/>
      <c r="H27" s="138"/>
      <c r="I27" s="138"/>
    </row>
    <row r="28" spans="1:9" x14ac:dyDescent="0.25">
      <c r="A28" s="129" t="b">
        <v>1</v>
      </c>
      <c r="B28" s="123" t="s">
        <v>2861</v>
      </c>
      <c r="C28" s="123"/>
      <c r="D28" s="123"/>
      <c r="E28" s="129" t="b">
        <v>0</v>
      </c>
      <c r="F28" s="123" t="s">
        <v>2862</v>
      </c>
      <c r="G28" s="123"/>
      <c r="H28" s="123"/>
      <c r="I28" s="123"/>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t="b">
        <v>1</v>
      </c>
      <c r="F30" s="123" t="s">
        <v>2866</v>
      </c>
      <c r="G30" s="123"/>
      <c r="H30" s="123"/>
      <c r="I30" s="123"/>
    </row>
    <row r="31" spans="1:9" x14ac:dyDescent="0.25">
      <c r="A31" s="129"/>
      <c r="B31" s="123" t="s">
        <v>2867</v>
      </c>
      <c r="C31" s="123"/>
      <c r="D31" s="123" t="s">
        <v>43</v>
      </c>
      <c r="E31" s="123"/>
      <c r="F31" s="123"/>
      <c r="G31" s="123"/>
      <c r="H31" s="123"/>
      <c r="I31" s="143"/>
    </row>
    <row r="32" spans="1:9" x14ac:dyDescent="0.25">
      <c r="A32" s="247" t="s">
        <v>2868</v>
      </c>
      <c r="B32" s="247"/>
      <c r="C32" s="247"/>
      <c r="D32" s="247"/>
      <c r="E32" s="247"/>
      <c r="F32" s="247"/>
      <c r="G32" s="247"/>
      <c r="H32" s="247"/>
      <c r="I32" s="247"/>
    </row>
    <row r="33" spans="1:9" x14ac:dyDescent="0.25">
      <c r="A33" s="129" t="b">
        <v>1</v>
      </c>
      <c r="B33" s="123" t="s">
        <v>2869</v>
      </c>
      <c r="C33" s="123"/>
      <c r="D33" s="123" t="s">
        <v>3177</v>
      </c>
      <c r="E33" s="123" t="s">
        <v>2870</v>
      </c>
      <c r="G33" s="139" t="s">
        <v>3178</v>
      </c>
      <c r="H33" s="123" t="s">
        <v>2871</v>
      </c>
    </row>
    <row r="34" spans="1:9" x14ac:dyDescent="0.25">
      <c r="A34" s="129" t="b">
        <v>1</v>
      </c>
      <c r="B34" s="123" t="s">
        <v>2872</v>
      </c>
      <c r="C34" s="123"/>
      <c r="D34" s="123" t="s">
        <v>3177</v>
      </c>
      <c r="E34" s="123" t="s">
        <v>2873</v>
      </c>
      <c r="G34" s="139" t="s">
        <v>3178</v>
      </c>
      <c r="H34" s="123" t="s">
        <v>2874</v>
      </c>
    </row>
    <row r="35" spans="1:9" x14ac:dyDescent="0.25">
      <c r="A35" s="129" t="b">
        <v>1</v>
      </c>
      <c r="B35" s="123" t="s">
        <v>2875</v>
      </c>
      <c r="C35" s="123"/>
      <c r="D35" s="123" t="s">
        <v>3177</v>
      </c>
      <c r="E35" s="123" t="s">
        <v>2876</v>
      </c>
      <c r="G35" s="123"/>
      <c r="H35" s="123" t="s">
        <v>2877</v>
      </c>
      <c r="I35" s="123"/>
    </row>
    <row r="36" spans="1:9" x14ac:dyDescent="0.25">
      <c r="A36" s="129" t="b">
        <v>1</v>
      </c>
      <c r="B36" s="123" t="s">
        <v>2878</v>
      </c>
      <c r="C36" s="123"/>
      <c r="D36" s="139" t="s">
        <v>3178</v>
      </c>
      <c r="E36" s="123" t="s">
        <v>2879</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716033"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2716034"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2716035"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2716036"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2716037"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2716038"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2716039"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2716040" r:id="rId11"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2716041"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2716042"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2716043"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2716044"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2716045"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2716046"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2716047"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2716048"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2716049"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2716050"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2716051"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2716052"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2716053"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2716054"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2716055"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2716056"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2716057"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2716058"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2716059"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2716060" r:id="rId31"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2716061" r:id="rId32"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716062" r:id="rId33"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2716063" r:id="rId34"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2716064" r:id="rId35"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2716065" r:id="rId36"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2716066"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2716067"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2716068"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2716069"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12716070"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716071"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controls>
    </mc:Choice>
  </mc:AlternateConten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9"/>
  <dimension ref="A1:I50"/>
  <sheetViews>
    <sheetView workbookViewId="0">
      <selection activeCell="N17" sqref="N17"/>
    </sheetView>
  </sheetViews>
  <sheetFormatPr defaultRowHeight="15" x14ac:dyDescent="0.25"/>
  <cols>
    <col min="9" max="9" width="14.140625" customWidth="1"/>
  </cols>
  <sheetData>
    <row r="1" spans="1:9" ht="15.75" thickBot="1" x14ac:dyDescent="0.3">
      <c r="A1" s="106" t="str" cm="1">
        <f t="array" aca="1" ref="A1" ca="1">MID(CELL("filename",A1),FIND("]",CELL("filename",A1))+1,256)</f>
        <v>BPA0189</v>
      </c>
    </row>
    <row r="2" spans="1:9" ht="15.75" customHeight="1" thickTop="1" x14ac:dyDescent="0.35">
      <c r="A2" s="248" t="str">
        <f ca="1">C4&amp;" - "&amp;C5&amp;" - "&amp;C7</f>
        <v>BPA0189 - Chris Motta - 29 Mollison Street, Pyalong VIC 3521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BPA0189</v>
      </c>
      <c r="D4" s="134"/>
      <c r="E4" s="134"/>
      <c r="F4" s="134"/>
      <c r="G4" s="134"/>
      <c r="H4" s="123"/>
      <c r="I4" s="123"/>
    </row>
    <row r="5" spans="1:9" x14ac:dyDescent="0.25">
      <c r="A5" s="254" t="s">
        <v>2835</v>
      </c>
      <c r="B5" s="255"/>
      <c r="C5" s="123" t="s">
        <v>2594</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3179</v>
      </c>
      <c r="D7" s="123"/>
      <c r="E7" s="123"/>
      <c r="F7" s="123"/>
      <c r="G7" s="123"/>
      <c r="H7" s="123"/>
      <c r="I7" s="124"/>
    </row>
    <row r="8" spans="1:9" x14ac:dyDescent="0.25">
      <c r="A8" s="254" t="s">
        <v>2842</v>
      </c>
      <c r="B8" s="255"/>
      <c r="C8" s="123" t="s">
        <v>2595</v>
      </c>
      <c r="D8" s="123"/>
      <c r="E8" s="123"/>
      <c r="F8" s="123"/>
      <c r="G8" s="123"/>
      <c r="H8" s="123"/>
      <c r="I8" s="124"/>
    </row>
    <row r="9" spans="1:9" x14ac:dyDescent="0.25">
      <c r="A9" s="254" t="s">
        <v>2844</v>
      </c>
      <c r="B9" s="255"/>
      <c r="C9" s="140" t="s">
        <v>3180</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3064</v>
      </c>
      <c r="G21" s="138"/>
      <c r="H21" s="138"/>
      <c r="I21" s="138"/>
    </row>
    <row r="22" spans="1:9" x14ac:dyDescent="0.25">
      <c r="A22" s="136" t="s">
        <v>2855</v>
      </c>
      <c r="B22" s="123"/>
      <c r="C22" s="123"/>
      <c r="D22" s="256">
        <v>50367</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f>10*12.5</f>
        <v>125</v>
      </c>
      <c r="E24" s="138"/>
      <c r="F24" s="138"/>
      <c r="G24" s="138"/>
      <c r="H24" s="138"/>
      <c r="I24" s="138"/>
    </row>
    <row r="25" spans="1:9" x14ac:dyDescent="0.25">
      <c r="A25" s="136" t="s">
        <v>2858</v>
      </c>
      <c r="B25" s="123"/>
      <c r="C25" s="123"/>
      <c r="D25" s="137" t="s">
        <v>2930</v>
      </c>
      <c r="E25" s="138"/>
      <c r="F25" s="138"/>
      <c r="G25" s="138"/>
      <c r="H25" s="138"/>
      <c r="I25" s="138"/>
    </row>
    <row r="26" spans="1:9" x14ac:dyDescent="0.25">
      <c r="A26" s="136" t="s">
        <v>2859</v>
      </c>
      <c r="B26" s="123"/>
      <c r="C26" s="123"/>
      <c r="D26" s="137">
        <v>0</v>
      </c>
      <c r="E26" s="138"/>
      <c r="F26" s="138"/>
      <c r="G26" s="138"/>
      <c r="H26" s="138"/>
      <c r="I26" s="138"/>
    </row>
    <row r="27" spans="1:9" x14ac:dyDescent="0.25">
      <c r="A27" s="136" t="s">
        <v>2860</v>
      </c>
      <c r="B27" s="123"/>
      <c r="C27" s="123"/>
      <c r="D27" s="137" t="s">
        <v>3134</v>
      </c>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t="b">
        <v>1</v>
      </c>
      <c r="F30" s="123" t="s">
        <v>2866</v>
      </c>
      <c r="G30" s="123"/>
      <c r="H30" s="123"/>
      <c r="I30" s="123"/>
    </row>
    <row r="31" spans="1:9" x14ac:dyDescent="0.25">
      <c r="A31" s="129"/>
      <c r="B31" s="123" t="s">
        <v>2867</v>
      </c>
      <c r="C31" s="123"/>
      <c r="D31" s="123"/>
      <c r="E31" s="123"/>
      <c r="F31" s="123"/>
      <c r="G31" s="123"/>
      <c r="H31" s="123"/>
      <c r="I31" s="143">
        <v>45523</v>
      </c>
    </row>
    <row r="32" spans="1:9" x14ac:dyDescent="0.25">
      <c r="A32" s="247" t="s">
        <v>2868</v>
      </c>
      <c r="B32" s="247"/>
      <c r="C32" s="247"/>
      <c r="D32" s="247"/>
      <c r="E32" s="247"/>
      <c r="F32" s="247"/>
      <c r="G32" s="247"/>
      <c r="H32" s="247"/>
      <c r="I32" s="247"/>
    </row>
    <row r="33" spans="1:9" x14ac:dyDescent="0.25">
      <c r="A33" s="129" t="b">
        <v>1</v>
      </c>
      <c r="B33" s="123" t="s">
        <v>2869</v>
      </c>
      <c r="C33" s="123"/>
      <c r="D33" s="123"/>
      <c r="E33" s="123" t="s">
        <v>2870</v>
      </c>
      <c r="G33" s="123" t="s">
        <v>3177</v>
      </c>
      <c r="H33" s="123" t="s">
        <v>2871</v>
      </c>
    </row>
    <row r="34" spans="1:9" x14ac:dyDescent="0.25">
      <c r="A34" s="129" t="b">
        <v>1</v>
      </c>
      <c r="B34" s="123" t="s">
        <v>2872</v>
      </c>
      <c r="C34" s="123"/>
      <c r="D34" s="123" t="s">
        <v>3177</v>
      </c>
      <c r="E34" s="123" t="s">
        <v>2873</v>
      </c>
      <c r="G34" s="123" t="s">
        <v>3177</v>
      </c>
      <c r="H34" s="123" t="s">
        <v>2874</v>
      </c>
    </row>
    <row r="35" spans="1:9" x14ac:dyDescent="0.25">
      <c r="A35" s="129" t="b">
        <v>1</v>
      </c>
      <c r="B35" s="123" t="s">
        <v>2875</v>
      </c>
      <c r="C35" s="123"/>
      <c r="D35" s="123" t="s">
        <v>3177</v>
      </c>
      <c r="E35" s="123" t="s">
        <v>2876</v>
      </c>
      <c r="G35" s="123" t="s">
        <v>3177</v>
      </c>
      <c r="H35" s="123" t="s">
        <v>2877</v>
      </c>
      <c r="I35" s="123"/>
    </row>
    <row r="36" spans="1:9" x14ac:dyDescent="0.25">
      <c r="A36" s="129" t="b">
        <v>1</v>
      </c>
      <c r="B36" s="123" t="s">
        <v>2878</v>
      </c>
      <c r="C36" s="123"/>
      <c r="D36" s="123" t="s">
        <v>3177</v>
      </c>
      <c r="E36" s="123" t="s">
        <v>2879</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0F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8902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228902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228902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228902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228902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228903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228903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2289032"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228903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228903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228903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228903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228903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228903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228903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228904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228904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228904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228904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228904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228904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228904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228904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228904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228904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228905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228905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2289052"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2289053"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289054"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2289055"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2289056"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2289057"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2289058"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2289059"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2289060"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2289061"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12289062"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2289063"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2289064" r:id="rId44" name="Check Box 40">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dimension ref="A1:I50"/>
  <sheetViews>
    <sheetView workbookViewId="0">
      <selection activeCell="C8" sqref="C8"/>
    </sheetView>
  </sheetViews>
  <sheetFormatPr defaultRowHeight="15" x14ac:dyDescent="0.25"/>
  <cols>
    <col min="9" max="9" width="14.140625" customWidth="1"/>
  </cols>
  <sheetData>
    <row r="1" spans="1:9" ht="15.75" thickBot="1" x14ac:dyDescent="0.3">
      <c r="A1" s="106" t="str" cm="1">
        <f t="array" aca="1" ref="A1" ca="1">MID(CELL("filename",A1),FIND("]",CELL("filename",A1))+1,256)</f>
        <v>E0373</v>
      </c>
    </row>
    <row r="2" spans="1:9" ht="15.75" customHeight="1" thickTop="1" x14ac:dyDescent="0.35">
      <c r="A2" s="248" t="str">
        <f ca="1">C4&amp;" - "&amp;C5&amp;" - "&amp;C7</f>
        <v>E0373 - Malcolm Leech - 2670 Pyrenees Hwy, Newstead 3462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E0373</v>
      </c>
      <c r="D4" s="134"/>
      <c r="E4" s="134"/>
      <c r="F4" s="134"/>
      <c r="G4" s="134"/>
      <c r="H4" s="123"/>
      <c r="I4" s="123"/>
    </row>
    <row r="5" spans="1:9" x14ac:dyDescent="0.25">
      <c r="A5" s="254" t="s">
        <v>2835</v>
      </c>
      <c r="B5" s="255"/>
      <c r="C5" s="123" t="s">
        <v>2647</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3181</v>
      </c>
      <c r="D7" s="123"/>
      <c r="E7" s="123"/>
      <c r="F7" s="123"/>
      <c r="G7" s="123"/>
      <c r="H7" s="123"/>
      <c r="I7" s="124"/>
    </row>
    <row r="8" spans="1:9" x14ac:dyDescent="0.25">
      <c r="A8" s="254" t="s">
        <v>2842</v>
      </c>
      <c r="B8" s="255"/>
      <c r="C8" s="123" t="s">
        <v>2648</v>
      </c>
      <c r="D8" s="123"/>
      <c r="E8" s="123"/>
      <c r="F8" s="123"/>
      <c r="G8" s="123"/>
      <c r="H8" s="123"/>
      <c r="I8" s="124"/>
    </row>
    <row r="9" spans="1:9" x14ac:dyDescent="0.25">
      <c r="A9" s="254" t="s">
        <v>2844</v>
      </c>
      <c r="B9" s="255"/>
      <c r="C9" s="140" t="s">
        <v>3182</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3183</v>
      </c>
      <c r="G21" s="138"/>
      <c r="H21" s="138"/>
      <c r="I21" s="138"/>
    </row>
    <row r="22" spans="1:9" x14ac:dyDescent="0.25">
      <c r="A22" s="136" t="s">
        <v>2855</v>
      </c>
      <c r="B22" s="123"/>
      <c r="C22" s="123"/>
      <c r="D22" s="256">
        <f>90898*2.5</f>
        <v>227245</v>
      </c>
      <c r="E22" s="257"/>
      <c r="F22" s="257"/>
      <c r="G22" s="257"/>
      <c r="H22" s="257"/>
      <c r="I22" s="138"/>
    </row>
    <row r="23" spans="1:9" x14ac:dyDescent="0.25">
      <c r="A23" s="136" t="s">
        <v>2856</v>
      </c>
      <c r="B23" s="123"/>
      <c r="C23" s="123"/>
      <c r="D23" s="137" t="s">
        <v>3184</v>
      </c>
      <c r="E23" s="138"/>
      <c r="F23" s="138"/>
      <c r="G23" s="138"/>
      <c r="H23" s="138"/>
      <c r="I23" s="138"/>
    </row>
    <row r="24" spans="1:9" x14ac:dyDescent="0.25">
      <c r="A24" s="136" t="s">
        <v>2857</v>
      </c>
      <c r="B24" s="123"/>
      <c r="C24" s="123"/>
      <c r="D24" s="137">
        <v>600</v>
      </c>
      <c r="E24" s="138"/>
      <c r="F24" s="138"/>
      <c r="G24" s="138"/>
      <c r="H24" s="138"/>
      <c r="I24" s="138"/>
    </row>
    <row r="25" spans="1:9" x14ac:dyDescent="0.25">
      <c r="A25" s="136" t="s">
        <v>2858</v>
      </c>
      <c r="B25" s="123"/>
      <c r="C25" s="123"/>
      <c r="D25" s="137">
        <v>1</v>
      </c>
      <c r="E25" s="138"/>
      <c r="F25" s="138"/>
      <c r="G25" s="138"/>
      <c r="H25" s="138"/>
      <c r="I25" s="138"/>
    </row>
    <row r="26" spans="1:9" x14ac:dyDescent="0.25">
      <c r="A26" s="136" t="s">
        <v>2859</v>
      </c>
      <c r="B26" s="123"/>
      <c r="C26" s="123"/>
      <c r="D26" s="137">
        <v>0</v>
      </c>
      <c r="E26" s="138"/>
      <c r="F26" s="138"/>
      <c r="G26" s="138"/>
      <c r="H26" s="138"/>
      <c r="I26" s="138"/>
    </row>
    <row r="27" spans="1:9" x14ac:dyDescent="0.25">
      <c r="A27" s="136" t="s">
        <v>2860</v>
      </c>
      <c r="B27" s="123"/>
      <c r="C27" s="123"/>
      <c r="D27" s="137" t="s">
        <v>3185</v>
      </c>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c r="F29" s="123" t="s">
        <v>2864</v>
      </c>
      <c r="G29" s="123"/>
      <c r="H29" s="123"/>
      <c r="I29" s="123" t="s">
        <v>3135</v>
      </c>
    </row>
    <row r="30" spans="1:9" x14ac:dyDescent="0.25">
      <c r="A30" s="129" t="b">
        <v>1</v>
      </c>
      <c r="B30" s="123" t="s">
        <v>2865</v>
      </c>
      <c r="C30" s="123"/>
      <c r="D30" s="123"/>
      <c r="E30" s="129"/>
      <c r="F30" s="123" t="s">
        <v>2866</v>
      </c>
      <c r="G30" s="123"/>
      <c r="H30" s="123"/>
      <c r="I30" s="123"/>
    </row>
    <row r="31" spans="1:9" x14ac:dyDescent="0.25">
      <c r="A31" s="129"/>
      <c r="B31" s="123" t="s">
        <v>2867</v>
      </c>
      <c r="C31" s="123"/>
      <c r="D31" s="123" t="s">
        <v>43</v>
      </c>
      <c r="E31" s="123"/>
      <c r="F31" s="123"/>
      <c r="G31" s="123"/>
      <c r="H31" s="123"/>
      <c r="I31" s="143"/>
    </row>
    <row r="32" spans="1:9" x14ac:dyDescent="0.25">
      <c r="A32" s="247" t="s">
        <v>2868</v>
      </c>
      <c r="B32" s="247"/>
      <c r="C32" s="247"/>
      <c r="D32" s="247"/>
      <c r="E32" s="247"/>
      <c r="F32" s="247"/>
      <c r="G32" s="247"/>
      <c r="H32" s="247"/>
      <c r="I32" s="247"/>
    </row>
    <row r="33" spans="1:9" x14ac:dyDescent="0.25">
      <c r="A33" s="129" t="b">
        <v>1</v>
      </c>
      <c r="B33" s="123" t="s">
        <v>2869</v>
      </c>
      <c r="C33" s="123"/>
      <c r="D33" s="123"/>
      <c r="E33" s="123" t="s">
        <v>2870</v>
      </c>
      <c r="F33" s="163" t="s">
        <v>3135</v>
      </c>
      <c r="G33" s="123" t="s">
        <v>3177</v>
      </c>
      <c r="H33" s="123" t="s">
        <v>2871</v>
      </c>
    </row>
    <row r="34" spans="1:9" x14ac:dyDescent="0.25">
      <c r="A34" s="129" t="b">
        <v>1</v>
      </c>
      <c r="B34" s="123" t="s">
        <v>2872</v>
      </c>
      <c r="C34" s="123"/>
      <c r="D34" s="123" t="s">
        <v>3177</v>
      </c>
      <c r="E34" s="123" t="s">
        <v>2873</v>
      </c>
      <c r="G34" s="123" t="s">
        <v>3177</v>
      </c>
      <c r="H34" s="123" t="s">
        <v>2874</v>
      </c>
    </row>
    <row r="35" spans="1:9" x14ac:dyDescent="0.25">
      <c r="A35" s="129" t="b">
        <v>1</v>
      </c>
      <c r="B35" s="123" t="s">
        <v>2875</v>
      </c>
      <c r="C35" s="123"/>
      <c r="D35" s="123" t="s">
        <v>3177</v>
      </c>
      <c r="E35" s="123" t="s">
        <v>2876</v>
      </c>
      <c r="G35" s="123" t="s">
        <v>3177</v>
      </c>
      <c r="H35" s="123" t="s">
        <v>2877</v>
      </c>
      <c r="I35" s="123"/>
    </row>
    <row r="36" spans="1:9" x14ac:dyDescent="0.25">
      <c r="A36" s="129" t="b">
        <v>1</v>
      </c>
      <c r="B36" s="123" t="s">
        <v>2878</v>
      </c>
      <c r="C36" s="123"/>
      <c r="D36" s="123" t="s">
        <v>3177</v>
      </c>
      <c r="E36" s="123" t="s">
        <v>2879</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v>45671</v>
      </c>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1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658241"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1658242"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1658243"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1658244"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1658245"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1658246"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1658247"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1658248"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1658249"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1658250"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1658251"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1658252"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1658253"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1658254"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1658255"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1658256"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1658257"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1658258"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1658259"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1658260"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1658261"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1658262"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1658263"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1658264"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1658265"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1658266"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1658267"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1658268"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1658269"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1658270"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658271"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658272"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1658273"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1658274"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1658275"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1658276"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1658277"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11658278"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1658279"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658280" r:id="rId44" name="Check Box 4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658281" r:id="rId45" name="Check Box 4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658282" r:id="rId46" name="Check Box 42">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658283" r:id="rId47" name="Check Box 43">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4"/>
  <dimension ref="A1:I50"/>
  <sheetViews>
    <sheetView workbookViewId="0">
      <selection activeCell="D22" sqref="D22:H22"/>
    </sheetView>
  </sheetViews>
  <sheetFormatPr defaultRowHeight="15" x14ac:dyDescent="0.25"/>
  <cols>
    <col min="9" max="9" width="14.140625" customWidth="1"/>
  </cols>
  <sheetData>
    <row r="1" spans="1:9" ht="15.75" thickBot="1" x14ac:dyDescent="0.3">
      <c r="A1" s="106" t="str" cm="1">
        <f t="array" aca="1" ref="A1" ca="1">MID(CELL("filename",A1),FIND("]",CELL("filename",A1))+1,256)</f>
        <v>BPA0184</v>
      </c>
    </row>
    <row r="2" spans="1:9" ht="15.75" customHeight="1" thickTop="1" x14ac:dyDescent="0.35">
      <c r="A2" s="248" t="str">
        <f ca="1">C4&amp;" - "&amp;C5&amp;" - "&amp;C7</f>
        <v>BPA0184 - Bryce Donaghy - 5 Ponsford Place, Sunbury Vic 3429</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BPA0184</v>
      </c>
      <c r="D4" s="134"/>
      <c r="E4" s="134"/>
      <c r="F4" s="134"/>
      <c r="G4" s="134"/>
      <c r="H4" s="123"/>
      <c r="I4" s="123"/>
    </row>
    <row r="5" spans="1:9" x14ac:dyDescent="0.25">
      <c r="A5" s="254" t="s">
        <v>2835</v>
      </c>
      <c r="B5" s="255"/>
      <c r="C5" s="123" t="s">
        <v>200</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2794</v>
      </c>
      <c r="D7" s="123"/>
      <c r="E7" s="123"/>
      <c r="F7" s="123"/>
      <c r="G7" s="123"/>
      <c r="H7" s="123"/>
      <c r="I7" s="124"/>
    </row>
    <row r="8" spans="1:9" x14ac:dyDescent="0.25">
      <c r="A8" s="254" t="s">
        <v>2842</v>
      </c>
      <c r="B8" s="255"/>
      <c r="C8" s="123" t="s">
        <v>201</v>
      </c>
      <c r="D8" s="123"/>
      <c r="E8" s="123"/>
      <c r="F8" s="123"/>
      <c r="G8" s="123"/>
      <c r="H8" s="123"/>
      <c r="I8" s="124"/>
    </row>
    <row r="9" spans="1:9" x14ac:dyDescent="0.25">
      <c r="A9" s="254" t="s">
        <v>2844</v>
      </c>
      <c r="B9" s="255"/>
      <c r="C9" s="123" t="s">
        <v>3186</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2929</v>
      </c>
      <c r="E21" s="138"/>
      <c r="F21" s="138"/>
      <c r="G21" s="138"/>
      <c r="H21" s="138"/>
      <c r="I21" s="138"/>
    </row>
    <row r="22" spans="1:9" x14ac:dyDescent="0.25">
      <c r="A22" s="136" t="s">
        <v>2855</v>
      </c>
      <c r="B22" s="123"/>
      <c r="C22" s="123"/>
      <c r="D22" s="256">
        <v>13085</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v>24</v>
      </c>
      <c r="E24" s="138"/>
      <c r="F24" s="138"/>
      <c r="G24" s="138"/>
      <c r="H24" s="138"/>
      <c r="I24" s="138"/>
    </row>
    <row r="25" spans="1:9" x14ac:dyDescent="0.25">
      <c r="A25" s="136" t="s">
        <v>2858</v>
      </c>
      <c r="B25" s="123"/>
      <c r="C25" s="123"/>
      <c r="D25" s="137">
        <v>1</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3187</v>
      </c>
      <c r="E27" s="138"/>
      <c r="F27" s="138"/>
      <c r="G27" s="138"/>
      <c r="H27" s="138"/>
      <c r="I27" s="138"/>
    </row>
    <row r="28" spans="1:9" x14ac:dyDescent="0.25">
      <c r="A28" s="129" t="b">
        <v>0</v>
      </c>
      <c r="B28" s="123" t="s">
        <v>2861</v>
      </c>
      <c r="C28" s="123"/>
      <c r="D28" s="123"/>
      <c r="E28" s="129" t="b">
        <v>0</v>
      </c>
      <c r="F28" s="123" t="s">
        <v>2862</v>
      </c>
      <c r="G28" s="123"/>
      <c r="H28" s="123"/>
      <c r="I28" s="123"/>
    </row>
    <row r="29" spans="1:9" x14ac:dyDescent="0.25">
      <c r="A29" s="129" t="b">
        <v>0</v>
      </c>
      <c r="B29" s="123" t="s">
        <v>2863</v>
      </c>
      <c r="C29" s="123"/>
      <c r="D29" s="123"/>
      <c r="E29" s="129"/>
      <c r="F29" s="123" t="s">
        <v>2864</v>
      </c>
      <c r="G29" s="123"/>
      <c r="H29" s="123"/>
      <c r="I29" s="123"/>
    </row>
    <row r="30" spans="1:9" x14ac:dyDescent="0.25">
      <c r="A30" s="129"/>
      <c r="B30" s="123" t="s">
        <v>2865</v>
      </c>
      <c r="C30" s="123"/>
      <c r="D30" s="123"/>
      <c r="E30" s="129"/>
      <c r="F30" s="123" t="s">
        <v>2866</v>
      </c>
      <c r="G30" s="123"/>
      <c r="H30" s="123"/>
      <c r="I30" s="123"/>
    </row>
    <row r="31" spans="1:9" x14ac:dyDescent="0.25">
      <c r="A31" s="129"/>
      <c r="B31" s="123" t="s">
        <v>2867</v>
      </c>
      <c r="C31" s="123"/>
      <c r="D31" s="123"/>
      <c r="E31" s="123"/>
      <c r="F31" s="123"/>
      <c r="G31" s="123"/>
      <c r="H31" s="123"/>
      <c r="I31" s="143"/>
    </row>
    <row r="32" spans="1:9" x14ac:dyDescent="0.25">
      <c r="A32" s="247" t="s">
        <v>2868</v>
      </c>
      <c r="B32" s="247"/>
      <c r="C32" s="247"/>
      <c r="D32" s="247"/>
      <c r="E32" s="247"/>
      <c r="F32" s="247"/>
      <c r="G32" s="247"/>
      <c r="H32" s="247"/>
      <c r="I32" s="247"/>
    </row>
    <row r="33" spans="1:9" x14ac:dyDescent="0.25">
      <c r="A33" s="129" t="b">
        <v>1</v>
      </c>
      <c r="B33" s="123" t="s">
        <v>2869</v>
      </c>
      <c r="C33" s="123"/>
      <c r="D33" s="123"/>
      <c r="E33" s="123" t="s">
        <v>2870</v>
      </c>
      <c r="G33" s="123"/>
      <c r="H33" s="123" t="s">
        <v>2871</v>
      </c>
    </row>
    <row r="34" spans="1:9" x14ac:dyDescent="0.25">
      <c r="A34" s="129" t="b">
        <v>1</v>
      </c>
      <c r="B34" s="123" t="s">
        <v>2872</v>
      </c>
      <c r="C34" s="123"/>
      <c r="D34" s="123"/>
      <c r="E34" s="123" t="s">
        <v>2873</v>
      </c>
      <c r="G34" s="123"/>
      <c r="H34" s="123" t="s">
        <v>2874</v>
      </c>
    </row>
    <row r="35" spans="1:9" x14ac:dyDescent="0.25">
      <c r="A35" s="129" t="b">
        <v>1</v>
      </c>
      <c r="B35" s="123" t="s">
        <v>2875</v>
      </c>
      <c r="C35" s="123"/>
      <c r="D35" s="123"/>
      <c r="E35" s="123" t="s">
        <v>2876</v>
      </c>
      <c r="G35" s="123"/>
      <c r="H35" s="123" t="s">
        <v>2877</v>
      </c>
      <c r="I35" s="123"/>
    </row>
    <row r="36" spans="1:9" x14ac:dyDescent="0.25">
      <c r="A36" s="129"/>
      <c r="B36" s="123" t="s">
        <v>2878</v>
      </c>
      <c r="C36" s="123"/>
      <c r="D36" s="123"/>
      <c r="E36" s="123" t="s">
        <v>2879</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57889" r:id="rId4"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1557890" r:id="rId5"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1557891" r:id="rId6"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1557892" r:id="rId7"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1557893" r:id="rId8"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1557894" r:id="rId9"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1557895" r:id="rId10"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1557896" r:id="rId11"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1557897" r:id="rId12"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1557898" r:id="rId13"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1557899" r:id="rId14"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1557900" r:id="rId15"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1557901" r:id="rId16"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1557902" r:id="rId17"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1557903" r:id="rId18"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1557904" r:id="rId19"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1557905" r:id="rId20"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1557906" r:id="rId21"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1557907" r:id="rId22"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1557908" r:id="rId23"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1557909" r:id="rId24"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1557910" r:id="rId25"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1557911" r:id="rId26"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1557912" r:id="rId27"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1557913" r:id="rId28"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1557914" r:id="rId29"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1557915" r:id="rId30"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1557916" r:id="rId31"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1557917" r:id="rId32"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1557918" r:id="rId33"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1557919" r:id="rId34"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1557920" r:id="rId35"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1557921" r:id="rId36"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1557922"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1557923"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1557924"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1557925"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7"/>
  <dimension ref="A1:K50"/>
  <sheetViews>
    <sheetView workbookViewId="0">
      <selection activeCell="L25" sqref="L25"/>
    </sheetView>
  </sheetViews>
  <sheetFormatPr defaultRowHeight="15" x14ac:dyDescent="0.25"/>
  <cols>
    <col min="9" max="9" width="14.140625" customWidth="1"/>
  </cols>
  <sheetData>
    <row r="1" spans="1:11" ht="15.75" thickBot="1" x14ac:dyDescent="0.3">
      <c r="A1" s="106" t="str" cm="1">
        <f t="array" aca="1" ref="A1" ca="1">MID(CELL("filename",A1),FIND("]",CELL("filename",A1))+1,256)</f>
        <v>BPA0181</v>
      </c>
    </row>
    <row r="2" spans="1:11" ht="15.75" customHeight="1" thickTop="1" x14ac:dyDescent="0.35">
      <c r="A2" s="248" t="str">
        <f ca="1">C4&amp;" - "&amp;C5&amp;" - "&amp;C7</f>
        <v>BPA0181 - Melissa Turville - 250 Dromana Parade, Safety Beach VIC 3936</v>
      </c>
      <c r="B2" s="249"/>
      <c r="C2" s="249"/>
      <c r="D2" s="249"/>
      <c r="E2" s="249"/>
      <c r="F2" s="249"/>
      <c r="G2" s="250"/>
      <c r="H2" s="132"/>
    </row>
    <row r="3" spans="1:11" ht="15.75" customHeight="1" thickBot="1" x14ac:dyDescent="0.4">
      <c r="A3" s="251"/>
      <c r="B3" s="252"/>
      <c r="C3" s="252"/>
      <c r="D3" s="252"/>
      <c r="E3" s="252"/>
      <c r="F3" s="252"/>
      <c r="G3" s="253"/>
      <c r="H3" s="132"/>
    </row>
    <row r="4" spans="1:11" ht="15.75" thickTop="1" x14ac:dyDescent="0.25">
      <c r="A4" s="258" t="s">
        <v>2834</v>
      </c>
      <c r="B4" s="259"/>
      <c r="C4" s="134" t="str">
        <f ca="1">A1</f>
        <v>BPA0181</v>
      </c>
      <c r="D4" s="134"/>
      <c r="E4" s="134"/>
      <c r="F4" s="134"/>
      <c r="G4" s="134"/>
      <c r="H4" s="123"/>
      <c r="I4" s="123"/>
    </row>
    <row r="5" spans="1:11" x14ac:dyDescent="0.25">
      <c r="A5" s="254" t="s">
        <v>2835</v>
      </c>
      <c r="B5" s="255"/>
      <c r="C5" s="123" t="s">
        <v>2551</v>
      </c>
      <c r="D5" s="123"/>
      <c r="E5" s="123"/>
      <c r="F5" s="123"/>
      <c r="G5" s="123"/>
      <c r="H5" s="123"/>
      <c r="I5" s="124"/>
    </row>
    <row r="6" spans="1:11" x14ac:dyDescent="0.25">
      <c r="A6" s="254" t="s">
        <v>2837</v>
      </c>
      <c r="B6" s="255"/>
      <c r="C6" s="123"/>
      <c r="D6" s="123"/>
      <c r="E6" s="123"/>
      <c r="F6" s="123"/>
      <c r="G6" s="123"/>
      <c r="H6" s="123"/>
      <c r="I6" s="124"/>
    </row>
    <row r="7" spans="1:11" x14ac:dyDescent="0.25">
      <c r="A7" s="254" t="s">
        <v>2840</v>
      </c>
      <c r="B7" s="255"/>
      <c r="C7" s="123" t="s">
        <v>3188</v>
      </c>
      <c r="D7" s="123"/>
      <c r="E7" s="123"/>
      <c r="F7" s="123"/>
      <c r="G7" s="123"/>
      <c r="H7" s="123"/>
      <c r="I7" s="124"/>
    </row>
    <row r="8" spans="1:11" x14ac:dyDescent="0.25">
      <c r="A8" s="254" t="s">
        <v>2842</v>
      </c>
      <c r="B8" s="255"/>
      <c r="C8" s="123" t="s">
        <v>2552</v>
      </c>
      <c r="D8" s="123"/>
      <c r="E8" s="123"/>
      <c r="F8" s="123"/>
      <c r="G8" s="123"/>
      <c r="H8" s="123"/>
      <c r="I8" s="124"/>
    </row>
    <row r="9" spans="1:11" x14ac:dyDescent="0.25">
      <c r="A9" s="254" t="s">
        <v>2844</v>
      </c>
      <c r="B9" s="255"/>
      <c r="C9" s="140" t="s">
        <v>3189</v>
      </c>
      <c r="D9" s="123"/>
      <c r="E9" s="123"/>
      <c r="F9" s="123"/>
      <c r="G9" s="123"/>
      <c r="H9" s="123"/>
      <c r="I9" s="124"/>
    </row>
    <row r="10" spans="1:11" x14ac:dyDescent="0.25">
      <c r="A10" s="245" t="s">
        <v>2846</v>
      </c>
      <c r="B10" s="246"/>
      <c r="C10" s="125"/>
      <c r="D10" s="125"/>
      <c r="E10" s="125"/>
      <c r="F10" s="125"/>
      <c r="G10" s="125"/>
      <c r="H10" s="125"/>
      <c r="I10" s="126"/>
      <c r="K10" s="140" t="s">
        <v>3190</v>
      </c>
    </row>
    <row r="11" spans="1:11" x14ac:dyDescent="0.25">
      <c r="A11" s="127"/>
      <c r="B11" s="127"/>
      <c r="C11" s="127"/>
      <c r="D11" s="127"/>
      <c r="E11" s="127"/>
      <c r="F11" s="127"/>
      <c r="G11" s="127"/>
      <c r="H11" s="127"/>
      <c r="I11" s="127"/>
      <c r="K11" t="s">
        <v>3191</v>
      </c>
    </row>
    <row r="12" spans="1:11" x14ac:dyDescent="0.25">
      <c r="A12" s="128"/>
      <c r="B12" s="128"/>
      <c r="C12" s="128"/>
      <c r="D12" s="128"/>
      <c r="E12" s="128"/>
      <c r="F12" s="128"/>
      <c r="G12" s="128"/>
      <c r="H12" s="128"/>
      <c r="I12" s="128"/>
    </row>
    <row r="13" spans="1:11" x14ac:dyDescent="0.25">
      <c r="A13" s="128"/>
      <c r="B13" s="128"/>
      <c r="C13" s="128"/>
      <c r="D13" s="128"/>
      <c r="E13" s="128"/>
      <c r="F13" s="128"/>
      <c r="G13" s="128"/>
      <c r="H13" s="128"/>
      <c r="I13" s="128"/>
      <c r="K13" t="s">
        <v>3192</v>
      </c>
    </row>
    <row r="14" spans="1:11" x14ac:dyDescent="0.25">
      <c r="A14" s="128"/>
      <c r="B14" s="128"/>
      <c r="C14" s="128"/>
      <c r="D14" s="128"/>
      <c r="E14" s="128"/>
      <c r="F14" s="128"/>
      <c r="G14" s="128"/>
      <c r="H14" s="128"/>
      <c r="I14" s="128"/>
    </row>
    <row r="15" spans="1:11" x14ac:dyDescent="0.25">
      <c r="A15" s="128"/>
      <c r="B15" s="128"/>
      <c r="C15" s="128"/>
      <c r="D15" s="128"/>
      <c r="E15" s="128"/>
      <c r="F15" s="128"/>
      <c r="G15" s="128"/>
      <c r="H15" s="128"/>
      <c r="I15" s="128"/>
    </row>
    <row r="16" spans="1:11"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3064</v>
      </c>
      <c r="G21" s="138"/>
      <c r="H21" s="138"/>
      <c r="I21" s="138"/>
    </row>
    <row r="22" spans="1:9" x14ac:dyDescent="0.25">
      <c r="A22" s="136" t="s">
        <v>2855</v>
      </c>
      <c r="B22" s="123"/>
      <c r="C22" s="123"/>
      <c r="D22" s="256">
        <v>10873</v>
      </c>
      <c r="E22" s="257"/>
      <c r="F22" s="257"/>
      <c r="G22" s="257"/>
      <c r="H22" s="257"/>
      <c r="I22" s="138"/>
    </row>
    <row r="23" spans="1:9" x14ac:dyDescent="0.25">
      <c r="A23" s="136" t="s">
        <v>2856</v>
      </c>
      <c r="B23" s="123"/>
      <c r="C23" s="123"/>
      <c r="D23" s="137" t="s">
        <v>3193</v>
      </c>
      <c r="E23" s="138"/>
      <c r="F23" s="138"/>
      <c r="G23" s="138"/>
      <c r="H23" s="138"/>
      <c r="I23" s="138"/>
    </row>
    <row r="24" spans="1:9" x14ac:dyDescent="0.25">
      <c r="A24" s="136" t="s">
        <v>2857</v>
      </c>
      <c r="B24" s="123"/>
      <c r="C24" s="123"/>
      <c r="D24" s="137">
        <f>3*8</f>
        <v>24</v>
      </c>
      <c r="E24" s="138"/>
      <c r="F24" s="138"/>
      <c r="G24" s="138"/>
      <c r="H24" s="138"/>
      <c r="I24" s="138"/>
    </row>
    <row r="25" spans="1:9" x14ac:dyDescent="0.25">
      <c r="A25" s="136" t="s">
        <v>2858</v>
      </c>
      <c r="B25" s="123"/>
      <c r="C25" s="123"/>
      <c r="D25" s="137" t="s">
        <v>3065</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3194</v>
      </c>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t="b">
        <v>1</v>
      </c>
      <c r="F30" s="123" t="s">
        <v>2866</v>
      </c>
      <c r="G30" s="123"/>
      <c r="H30" s="123"/>
      <c r="I30" s="123"/>
    </row>
    <row r="31" spans="1:9" x14ac:dyDescent="0.25">
      <c r="A31" s="129" t="b">
        <v>1</v>
      </c>
      <c r="B31" s="123" t="s">
        <v>2867</v>
      </c>
      <c r="C31" s="123"/>
      <c r="D31" s="123"/>
      <c r="E31" s="123"/>
      <c r="F31" s="123"/>
      <c r="G31" s="123"/>
      <c r="H31" s="123"/>
      <c r="I31" s="143">
        <v>45491</v>
      </c>
    </row>
    <row r="32" spans="1:9" x14ac:dyDescent="0.25">
      <c r="A32" s="247" t="s">
        <v>2868</v>
      </c>
      <c r="B32" s="247"/>
      <c r="C32" s="247"/>
      <c r="D32" s="247"/>
      <c r="E32" s="247"/>
      <c r="F32" s="247"/>
      <c r="G32" s="247"/>
      <c r="H32" s="247"/>
      <c r="I32" s="247"/>
    </row>
    <row r="33" spans="1:9" x14ac:dyDescent="0.25">
      <c r="A33" s="129"/>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23"/>
      <c r="I36" s="123"/>
    </row>
    <row r="37" spans="1:9" ht="15.75" thickBot="1" x14ac:dyDescent="0.3">
      <c r="A37" s="130" t="b">
        <v>0</v>
      </c>
      <c r="B37" s="131" t="s">
        <v>2881</v>
      </c>
      <c r="C37" s="131"/>
      <c r="D37" s="131"/>
      <c r="E37" s="131"/>
      <c r="F37" s="131"/>
      <c r="G37" s="131"/>
      <c r="H37" s="131"/>
      <c r="I37" s="144" t="s">
        <v>2054</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1C00-000000000000}"/>
    <hyperlink ref="K10" r:id="rId2" xr:uid="{00000000-0004-0000-1C00-00000100000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941441" r:id="rId6"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0941442" r:id="rId7"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0941443" r:id="rId8"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0941444" r:id="rId9"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0941445" r:id="rId10"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0941446" r:id="rId11"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0941447" r:id="rId12"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0941448" r:id="rId13"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0941449" r:id="rId14"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0941450" r:id="rId15"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0941451" r:id="rId16"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0941452" r:id="rId17"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0941453" r:id="rId18"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0941454" r:id="rId19"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0941455" r:id="rId20"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10941456" r:id="rId21"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0941457" r:id="rId22"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0941458" r:id="rId23"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0941459" r:id="rId24"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0941460" r:id="rId25"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0941461" r:id="rId26"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0941462" r:id="rId27"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0941463" r:id="rId28"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0941464" r:id="rId29"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0941465" r:id="rId30"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0941466" r:id="rId31"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0941467" r:id="rId32"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0941468" r:id="rId33"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10941469" r:id="rId34"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10941470" r:id="rId35"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10941471" r:id="rId36"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10941472" r:id="rId37"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0941473" r:id="rId38"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0941474" r:id="rId39"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10941475" r:id="rId40"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10941476" r:id="rId41"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10941477" r:id="rId42"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72"/>
  <dimension ref="A1:I50"/>
  <sheetViews>
    <sheetView workbookViewId="0">
      <selection activeCell="N18" sqref="N18"/>
    </sheetView>
  </sheetViews>
  <sheetFormatPr defaultRowHeight="15" x14ac:dyDescent="0.25"/>
  <cols>
    <col min="9" max="9" width="14.140625" customWidth="1"/>
  </cols>
  <sheetData>
    <row r="1" spans="1:9" ht="15.75" thickBot="1" x14ac:dyDescent="0.3">
      <c r="A1" s="106" t="str" cm="1">
        <f t="array" aca="1" ref="A1" ca="1">MID(CELL("filename",A1),FIND("]",CELL("filename",A1))+1,256)</f>
        <v>BPA0167</v>
      </c>
    </row>
    <row r="2" spans="1:9" ht="15.75" customHeight="1" thickTop="1" x14ac:dyDescent="0.35">
      <c r="A2" s="248" t="str">
        <f ca="1">C4&amp;" - "&amp;C5&amp;" - "&amp;C7</f>
        <v>BPA0167 - Haydon Cornish - 23 Autumn Gully Road, Spring Gully VIC 3550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BPA0167</v>
      </c>
      <c r="D4" s="134"/>
      <c r="E4" s="134"/>
      <c r="F4" s="134"/>
      <c r="G4" s="134"/>
      <c r="H4" s="123"/>
      <c r="I4" s="123"/>
    </row>
    <row r="5" spans="1:9" x14ac:dyDescent="0.25">
      <c r="A5" s="254" t="s">
        <v>2835</v>
      </c>
      <c r="B5" s="255"/>
      <c r="C5" s="123" t="s">
        <v>2741</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3195</v>
      </c>
      <c r="D7" s="123"/>
      <c r="E7" s="123"/>
      <c r="F7" s="123"/>
      <c r="G7" s="123"/>
      <c r="H7" s="123"/>
      <c r="I7" s="124"/>
    </row>
    <row r="8" spans="1:9" x14ac:dyDescent="0.25">
      <c r="A8" s="254" t="s">
        <v>2842</v>
      </c>
      <c r="B8" s="255"/>
      <c r="C8" s="123" t="s">
        <v>196</v>
      </c>
      <c r="D8" s="123"/>
      <c r="E8" s="123"/>
      <c r="F8" s="123"/>
      <c r="G8" s="123"/>
      <c r="H8" s="123"/>
      <c r="I8" s="124"/>
    </row>
    <row r="9" spans="1:9" x14ac:dyDescent="0.25">
      <c r="A9" s="254" t="s">
        <v>2844</v>
      </c>
      <c r="B9" s="255"/>
      <c r="C9" s="140" t="s">
        <v>3196</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3064</v>
      </c>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c r="E24" s="138"/>
      <c r="F24" s="138"/>
      <c r="G24" s="138"/>
      <c r="H24" s="138"/>
      <c r="I24" s="138"/>
    </row>
    <row r="25" spans="1:9" x14ac:dyDescent="0.25">
      <c r="A25" s="136" t="s">
        <v>2858</v>
      </c>
      <c r="B25" s="123"/>
      <c r="C25" s="123"/>
      <c r="D25" s="137"/>
      <c r="E25" s="138"/>
      <c r="F25" s="138"/>
      <c r="G25" s="138"/>
      <c r="H25" s="138"/>
      <c r="I25" s="138"/>
    </row>
    <row r="26" spans="1:9" x14ac:dyDescent="0.25">
      <c r="A26" s="136" t="s">
        <v>2859</v>
      </c>
      <c r="B26" s="123"/>
      <c r="C26" s="123"/>
      <c r="D26" s="137"/>
      <c r="E26" s="138"/>
      <c r="F26" s="138"/>
      <c r="G26" s="138"/>
      <c r="H26" s="138"/>
      <c r="I26" s="138"/>
    </row>
    <row r="27" spans="1:9" x14ac:dyDescent="0.25">
      <c r="A27" s="136" t="s">
        <v>2860</v>
      </c>
      <c r="B27" s="123"/>
      <c r="C27" s="123"/>
      <c r="D27" s="137"/>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t="b">
        <v>0</v>
      </c>
      <c r="F30" s="123" t="s">
        <v>2866</v>
      </c>
      <c r="G30" s="123"/>
      <c r="H30" s="123"/>
      <c r="I30" s="123"/>
    </row>
    <row r="31" spans="1:9" x14ac:dyDescent="0.25">
      <c r="A31" s="129" t="b">
        <v>1</v>
      </c>
      <c r="B31" s="123" t="s">
        <v>2867</v>
      </c>
      <c r="C31" s="123"/>
      <c r="D31" s="123"/>
      <c r="E31" s="123"/>
      <c r="F31" s="123"/>
      <c r="G31" s="123"/>
      <c r="H31" s="123"/>
      <c r="I31" s="143">
        <v>45762</v>
      </c>
    </row>
    <row r="32" spans="1:9" x14ac:dyDescent="0.25">
      <c r="A32" s="247" t="s">
        <v>2868</v>
      </c>
      <c r="B32" s="247"/>
      <c r="C32" s="247"/>
      <c r="D32" s="247"/>
      <c r="E32" s="247"/>
      <c r="F32" s="247"/>
      <c r="G32" s="247"/>
      <c r="H32" s="247"/>
      <c r="I32" s="247"/>
    </row>
    <row r="33" spans="1:9" x14ac:dyDescent="0.25">
      <c r="A33" s="129" t="b">
        <v>1</v>
      </c>
      <c r="B33" s="123" t="s">
        <v>2869</v>
      </c>
      <c r="C33" s="123"/>
      <c r="D33" s="123" t="s">
        <v>3177</v>
      </c>
      <c r="E33" s="123" t="s">
        <v>2870</v>
      </c>
      <c r="G33" s="123" t="s">
        <v>3177</v>
      </c>
      <c r="H33" s="123" t="s">
        <v>2871</v>
      </c>
    </row>
    <row r="34" spans="1:9" x14ac:dyDescent="0.25">
      <c r="A34" s="129" t="b">
        <v>1</v>
      </c>
      <c r="B34" s="123" t="s">
        <v>2872</v>
      </c>
      <c r="C34" s="123"/>
      <c r="D34" s="123" t="s">
        <v>3177</v>
      </c>
      <c r="E34" s="123" t="s">
        <v>2873</v>
      </c>
      <c r="G34" s="123" t="s">
        <v>3177</v>
      </c>
      <c r="H34" s="123" t="s">
        <v>2874</v>
      </c>
    </row>
    <row r="35" spans="1:9" x14ac:dyDescent="0.25">
      <c r="A35" s="129" t="b">
        <v>1</v>
      </c>
      <c r="B35" s="123" t="s">
        <v>2875</v>
      </c>
      <c r="C35" s="123"/>
      <c r="D35" s="123" t="s">
        <v>3177</v>
      </c>
      <c r="E35" s="123" t="s">
        <v>2876</v>
      </c>
      <c r="G35" s="123" t="s">
        <v>3177</v>
      </c>
      <c r="H35" s="123" t="s">
        <v>2877</v>
      </c>
      <c r="I35" s="123"/>
    </row>
    <row r="36" spans="1:9" x14ac:dyDescent="0.25">
      <c r="A36" s="129" t="b">
        <v>1</v>
      </c>
      <c r="B36" s="123" t="s">
        <v>2878</v>
      </c>
      <c r="C36" s="123"/>
      <c r="D36" s="123" t="s">
        <v>3177</v>
      </c>
      <c r="E36" s="123" t="s">
        <v>2879</v>
      </c>
      <c r="G36" s="123"/>
      <c r="H36" s="123"/>
      <c r="I36" s="123"/>
    </row>
    <row r="37" spans="1:9" ht="15.75" thickBot="1" x14ac:dyDescent="0.3">
      <c r="A37" s="130" t="b">
        <v>0</v>
      </c>
      <c r="B37" s="131" t="s">
        <v>2881</v>
      </c>
      <c r="C37" s="131"/>
      <c r="D37" s="131"/>
      <c r="E37" s="131"/>
      <c r="F37" s="131"/>
      <c r="G37" s="131"/>
      <c r="H37" s="131"/>
      <c r="I37" s="144">
        <v>45764</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t="b">
        <v>0</v>
      </c>
      <c r="B43" s="123" t="s">
        <v>2886</v>
      </c>
      <c r="C43" s="123"/>
      <c r="D43" s="123"/>
      <c r="E43" s="123"/>
      <c r="F43" s="123"/>
      <c r="G43" s="123"/>
      <c r="H43" s="123"/>
      <c r="I43" s="123"/>
    </row>
    <row r="44" spans="1:9" x14ac:dyDescent="0.25">
      <c r="A44" s="129" t="b">
        <v>0</v>
      </c>
      <c r="B44" s="123" t="s">
        <v>3017</v>
      </c>
      <c r="C44" s="123"/>
      <c r="D44" s="123"/>
      <c r="E44" s="123"/>
      <c r="F44" s="123"/>
      <c r="G44" s="123"/>
      <c r="H44" s="123"/>
      <c r="I44" s="123"/>
    </row>
    <row r="45" spans="1:9" x14ac:dyDescent="0.25">
      <c r="A45" s="129" t="b">
        <v>0</v>
      </c>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t="b">
        <v>0</v>
      </c>
      <c r="B47" s="123" t="s">
        <v>2890</v>
      </c>
      <c r="C47" s="123"/>
      <c r="D47" s="123"/>
      <c r="E47" s="123"/>
      <c r="F47" s="123"/>
      <c r="G47" s="123"/>
      <c r="H47" s="123"/>
      <c r="I47" s="123"/>
    </row>
    <row r="48" spans="1:9" x14ac:dyDescent="0.25">
      <c r="A48" s="129" t="b">
        <v>0</v>
      </c>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FCE7746A-393D-41D3-9E26-92EC088A553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437185"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9437186"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9437187"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437188"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437189"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437190"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437191"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437192"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9437193"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9437194"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9437195"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9437196"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9437197"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9437198"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437199"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9437200"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9437201"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437202"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437203"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437204"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9437205"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437206"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437207"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9437208"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437209"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437210"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437211"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9437212"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9437213"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7214"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437215"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9437216"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9437217"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9437218"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9437219"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9437220"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9437221"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9437222"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7223" r:id="rId43" name="Check Box 39">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0"/>
  <dimension ref="A1:I50"/>
  <sheetViews>
    <sheetView workbookViewId="0">
      <selection activeCell="C9" sqref="C9"/>
    </sheetView>
  </sheetViews>
  <sheetFormatPr defaultRowHeight="15" x14ac:dyDescent="0.25"/>
  <cols>
    <col min="9" max="9" width="14.140625" customWidth="1"/>
  </cols>
  <sheetData>
    <row r="1" spans="1:9" ht="15.75" thickBot="1" x14ac:dyDescent="0.3">
      <c r="A1" s="106" t="str" cm="1">
        <f t="array" aca="1" ref="A1" ca="1">MID(CELL("filename",A1),FIND("]",CELL("filename",A1))+1,256)</f>
        <v>BPA0165</v>
      </c>
    </row>
    <row r="2" spans="1:9" ht="15.75" customHeight="1" thickTop="1" x14ac:dyDescent="0.35">
      <c r="A2" s="248" t="str">
        <f ca="1">C4&amp;" - "&amp;C5&amp;" - "&amp;C7</f>
        <v>BPA0165 - Lee Morgan - 17 Hawkins Drive, Kinglake VIC 3763</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BPA0165</v>
      </c>
      <c r="D4" s="134"/>
      <c r="E4" s="134"/>
      <c r="F4" s="134"/>
      <c r="G4" s="134"/>
      <c r="H4" s="123"/>
      <c r="I4" s="123"/>
    </row>
    <row r="5" spans="1:9" x14ac:dyDescent="0.25">
      <c r="A5" s="254" t="s">
        <v>2835</v>
      </c>
      <c r="B5" s="255"/>
      <c r="C5" s="123" t="s">
        <v>187</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3197</v>
      </c>
      <c r="D7" s="123"/>
      <c r="E7" s="123"/>
      <c r="F7" s="123"/>
      <c r="G7" s="123"/>
      <c r="H7" s="123"/>
      <c r="I7" s="124"/>
    </row>
    <row r="8" spans="1:9" x14ac:dyDescent="0.25">
      <c r="A8" s="254" t="s">
        <v>2842</v>
      </c>
      <c r="B8" s="255"/>
      <c r="C8" s="123" t="s">
        <v>188</v>
      </c>
      <c r="D8" s="123"/>
      <c r="E8" s="123"/>
      <c r="F8" s="123"/>
      <c r="G8" s="123"/>
      <c r="H8" s="123"/>
      <c r="I8" s="124"/>
    </row>
    <row r="9" spans="1:9" x14ac:dyDescent="0.25">
      <c r="A9" s="254" t="s">
        <v>2844</v>
      </c>
      <c r="B9" s="255"/>
      <c r="C9" s="140" t="s">
        <v>3198</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3064</v>
      </c>
      <c r="G21" s="138"/>
      <c r="H21" s="138"/>
      <c r="I21" s="138"/>
    </row>
    <row r="22" spans="1:9" x14ac:dyDescent="0.25">
      <c r="A22" s="136" t="s">
        <v>2855</v>
      </c>
      <c r="B22" s="123"/>
      <c r="C22" s="123"/>
      <c r="D22" s="256">
        <v>26553</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f>8*9</f>
        <v>72</v>
      </c>
      <c r="E24" s="138"/>
      <c r="F24" s="138"/>
      <c r="G24" s="138"/>
      <c r="H24" s="138"/>
      <c r="I24" s="138"/>
    </row>
    <row r="25" spans="1:9" x14ac:dyDescent="0.25">
      <c r="A25" s="136" t="s">
        <v>2858</v>
      </c>
      <c r="B25" s="123"/>
      <c r="C25" s="123"/>
      <c r="D25" s="137" t="s">
        <v>2930</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3150</v>
      </c>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t="b">
        <v>0</v>
      </c>
      <c r="F29" s="123" t="s">
        <v>2864</v>
      </c>
      <c r="G29" s="123"/>
      <c r="H29" s="123"/>
      <c r="I29" s="123" t="s">
        <v>3199</v>
      </c>
    </row>
    <row r="30" spans="1:9" x14ac:dyDescent="0.25">
      <c r="A30" s="129" t="b">
        <v>1</v>
      </c>
      <c r="B30" s="123" t="s">
        <v>2865</v>
      </c>
      <c r="C30" s="123"/>
      <c r="D30" s="123"/>
      <c r="E30" s="129"/>
      <c r="F30" s="123" t="s">
        <v>2866</v>
      </c>
      <c r="G30" s="123"/>
      <c r="H30" s="123"/>
      <c r="I30" s="123"/>
    </row>
    <row r="31" spans="1:9" x14ac:dyDescent="0.25">
      <c r="A31" s="129" t="b">
        <v>1</v>
      </c>
      <c r="B31" s="123" t="s">
        <v>2867</v>
      </c>
      <c r="C31" s="123"/>
      <c r="D31" s="123"/>
      <c r="E31" s="123"/>
      <c r="F31" s="123"/>
      <c r="G31" s="123"/>
      <c r="H31" s="123"/>
      <c r="I31" s="143"/>
    </row>
    <row r="32" spans="1:9" x14ac:dyDescent="0.25">
      <c r="A32" s="247" t="s">
        <v>2868</v>
      </c>
      <c r="B32" s="247"/>
      <c r="C32" s="247"/>
      <c r="D32" s="247"/>
      <c r="E32" s="247"/>
      <c r="F32" s="247"/>
      <c r="G32" s="247"/>
      <c r="H32" s="247"/>
      <c r="I32" s="247"/>
    </row>
    <row r="33" spans="1:9" x14ac:dyDescent="0.25">
      <c r="A33" s="129" t="b">
        <v>1</v>
      </c>
      <c r="B33" s="123" t="s">
        <v>2869</v>
      </c>
      <c r="C33" s="123"/>
      <c r="D33" s="123" t="s">
        <v>3135</v>
      </c>
      <c r="E33" s="123" t="s">
        <v>2870</v>
      </c>
      <c r="G33" s="123" t="s">
        <v>3177</v>
      </c>
      <c r="H33" s="123" t="s">
        <v>2871</v>
      </c>
    </row>
    <row r="34" spans="1:9" x14ac:dyDescent="0.25">
      <c r="A34" s="129" t="b">
        <v>1</v>
      </c>
      <c r="B34" s="123" t="s">
        <v>2872</v>
      </c>
      <c r="C34" s="123"/>
      <c r="D34" s="123" t="s">
        <v>3177</v>
      </c>
      <c r="E34" s="123" t="s">
        <v>2873</v>
      </c>
      <c r="G34" s="123" t="s">
        <v>3200</v>
      </c>
      <c r="H34" s="123" t="s">
        <v>2874</v>
      </c>
    </row>
    <row r="35" spans="1:9" x14ac:dyDescent="0.25">
      <c r="A35" s="129" t="b">
        <v>1</v>
      </c>
      <c r="B35" s="123" t="s">
        <v>2875</v>
      </c>
      <c r="C35" s="123"/>
      <c r="D35" s="123"/>
      <c r="E35" s="123" t="s">
        <v>2876</v>
      </c>
      <c r="G35" s="123" t="s">
        <v>3177</v>
      </c>
      <c r="H35" s="123" t="s">
        <v>2877</v>
      </c>
      <c r="I35" s="123"/>
    </row>
    <row r="36" spans="1:9" x14ac:dyDescent="0.25">
      <c r="A36" s="129" t="b">
        <v>1</v>
      </c>
      <c r="B36" s="123" t="s">
        <v>2878</v>
      </c>
      <c r="C36" s="123"/>
      <c r="D36" s="123" t="s">
        <v>3177</v>
      </c>
      <c r="E36" s="123" t="s">
        <v>2879</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2B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435137"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9435138"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9435139"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435140"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435141"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435142"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435143"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435144"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9435145"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9435146"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9435147"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9435148"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9435149"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9435150"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435151"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9435152"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9435153"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435154"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435155"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435156"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9435157"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435158"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435159"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9435160"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435161"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435162"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435163"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9435164"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9435165"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5166"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435167"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9435168"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9435169"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9435170"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9435171"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9435172"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9435173"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9435174"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435175"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435176" r:id="rId44" name="Check Box 40">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53"/>
  <dimension ref="A1:I50"/>
  <sheetViews>
    <sheetView workbookViewId="0">
      <selection activeCell="K4" sqref="K4"/>
    </sheetView>
  </sheetViews>
  <sheetFormatPr defaultRowHeight="15" x14ac:dyDescent="0.25"/>
  <cols>
    <col min="9" max="9" width="14.140625" customWidth="1"/>
  </cols>
  <sheetData>
    <row r="1" spans="1:9" ht="15.75" thickBot="1" x14ac:dyDescent="0.3">
      <c r="A1" s="106" t="str" cm="1">
        <f t="array" aca="1" ref="A1" ca="1">MID(CELL("filename",A1),FIND("]",CELL("filename",A1))+1,256)</f>
        <v>BPA0161</v>
      </c>
    </row>
    <row r="2" spans="1:9" ht="15.75" customHeight="1" thickTop="1" x14ac:dyDescent="0.35">
      <c r="A2" s="248" t="str">
        <f ca="1">C4&amp;" - "&amp;C5&amp;" - "&amp;C7</f>
        <v>BPA0161 - Kevin Golden - 12 Jubilee Street</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BPA0161</v>
      </c>
      <c r="D4" s="134"/>
      <c r="E4" s="134"/>
      <c r="F4" s="134"/>
      <c r="G4" s="134"/>
      <c r="H4" s="123"/>
      <c r="I4" s="123"/>
    </row>
    <row r="5" spans="1:9" x14ac:dyDescent="0.25">
      <c r="A5" s="254" t="s">
        <v>2835</v>
      </c>
      <c r="B5" s="255"/>
      <c r="C5" s="123" t="s">
        <v>179</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182</v>
      </c>
      <c r="D7" s="123"/>
      <c r="E7" s="123"/>
      <c r="F7" s="123"/>
      <c r="G7" s="123"/>
      <c r="H7" s="123"/>
      <c r="I7" s="124"/>
    </row>
    <row r="8" spans="1:9" x14ac:dyDescent="0.25">
      <c r="A8" s="254" t="s">
        <v>2842</v>
      </c>
      <c r="B8" s="255"/>
      <c r="C8" s="123" t="s">
        <v>180</v>
      </c>
      <c r="D8" s="123"/>
      <c r="E8" s="123"/>
      <c r="F8" s="123"/>
      <c r="G8" s="123"/>
      <c r="H8" s="123"/>
      <c r="I8" s="124"/>
    </row>
    <row r="9" spans="1:9" x14ac:dyDescent="0.25">
      <c r="A9" s="254" t="s">
        <v>2844</v>
      </c>
      <c r="B9" s="255"/>
      <c r="C9" s="140" t="s">
        <v>3201</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f>71615*2.5</f>
        <v>179037.5</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c r="E24" s="138"/>
      <c r="F24" s="138"/>
      <c r="G24" s="138"/>
      <c r="H24" s="138"/>
      <c r="I24" s="138"/>
    </row>
    <row r="25" spans="1:9" x14ac:dyDescent="0.25">
      <c r="A25" s="136" t="s">
        <v>2858</v>
      </c>
      <c r="B25" s="123"/>
      <c r="C25" s="123"/>
      <c r="D25" s="137"/>
      <c r="E25" s="138"/>
      <c r="F25" s="138"/>
      <c r="G25" s="138"/>
      <c r="H25" s="138"/>
      <c r="I25" s="138"/>
    </row>
    <row r="26" spans="1:9" x14ac:dyDescent="0.25">
      <c r="A26" s="136" t="s">
        <v>2859</v>
      </c>
      <c r="B26" s="123"/>
      <c r="C26" s="123"/>
      <c r="D26" s="137"/>
      <c r="E26" s="138"/>
      <c r="F26" s="138"/>
      <c r="G26" s="138"/>
      <c r="H26" s="138"/>
      <c r="I26" s="138"/>
    </row>
    <row r="27" spans="1:9" x14ac:dyDescent="0.25">
      <c r="A27" s="136" t="s">
        <v>2860</v>
      </c>
      <c r="B27" s="123"/>
      <c r="C27" s="123"/>
      <c r="D27" s="137"/>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c r="F29" s="123" t="s">
        <v>2864</v>
      </c>
      <c r="G29" s="123"/>
      <c r="H29" s="123"/>
      <c r="I29" s="123"/>
    </row>
    <row r="30" spans="1:9" x14ac:dyDescent="0.25">
      <c r="A30" s="129" t="b">
        <v>1</v>
      </c>
      <c r="B30" s="123" t="s">
        <v>2865</v>
      </c>
      <c r="C30" s="123"/>
      <c r="D30" s="123"/>
      <c r="E30" s="129" t="b">
        <v>1</v>
      </c>
      <c r="F30" s="123" t="s">
        <v>2866</v>
      </c>
      <c r="G30" s="123"/>
      <c r="H30" s="123"/>
      <c r="I30" s="123"/>
    </row>
    <row r="31" spans="1:9" x14ac:dyDescent="0.25">
      <c r="A31" s="129" t="b">
        <v>1</v>
      </c>
      <c r="B31" s="123" t="s">
        <v>2867</v>
      </c>
      <c r="C31" s="123"/>
      <c r="D31" s="123"/>
      <c r="E31" s="123"/>
      <c r="F31" s="123"/>
      <c r="G31" s="123"/>
      <c r="H31" s="123"/>
      <c r="I31" s="143"/>
    </row>
    <row r="32" spans="1:9" x14ac:dyDescent="0.25">
      <c r="A32" s="247" t="s">
        <v>2868</v>
      </c>
      <c r="B32" s="247"/>
      <c r="C32" s="247"/>
      <c r="D32" s="247"/>
      <c r="E32" s="247"/>
      <c r="F32" s="247"/>
      <c r="G32" s="247"/>
      <c r="H32" s="247"/>
      <c r="I32" s="247"/>
    </row>
    <row r="33" spans="1:9" x14ac:dyDescent="0.25">
      <c r="A33" s="129"/>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2E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110529"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9110530"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9110531"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110532"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110533"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110534"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110535"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110536"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9110537"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9110538"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9110539"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9110540"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9110541"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9110542"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110543"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9110544"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9110545"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110546"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110547"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110548"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9110549"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110550"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110551"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9110552"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110553"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110554"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110555"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9110556"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9110557"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9110558"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9110559"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9110560"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9110561"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9110562"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9110563"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9110564"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9110565"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03"/>
  <dimension ref="A1:I50"/>
  <sheetViews>
    <sheetView workbookViewId="0">
      <selection activeCell="A2" sqref="A2:G3"/>
    </sheetView>
  </sheetViews>
  <sheetFormatPr defaultRowHeight="15" x14ac:dyDescent="0.25"/>
  <cols>
    <col min="9" max="9" width="14.140625" customWidth="1"/>
  </cols>
  <sheetData>
    <row r="1" spans="1:9" ht="15.75" thickBot="1" x14ac:dyDescent="0.3">
      <c r="A1" s="106" t="str" cm="1">
        <f t="array" aca="1" ref="A1" ca="1">MID(CELL("filename",A1),FIND("]",CELL("filename",A1))+1,256)</f>
        <v>BPA0155</v>
      </c>
    </row>
    <row r="2" spans="1:9" ht="15.75" customHeight="1" thickTop="1" x14ac:dyDescent="0.35">
      <c r="A2" s="248" t="str">
        <f ca="1">C4&amp;" - "&amp;C5&amp;" - "&amp;C7</f>
        <v>BPA0155 - Tony Van de Hoef - 21 Garryowen Crescent, Narre Warren VIC 3805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BPA0155</v>
      </c>
      <c r="D4" s="134"/>
      <c r="E4" s="134"/>
      <c r="F4" s="134"/>
      <c r="G4" s="134"/>
      <c r="H4" s="123"/>
      <c r="I4" s="123"/>
    </row>
    <row r="5" spans="1:9" x14ac:dyDescent="0.25">
      <c r="A5" s="254" t="s">
        <v>2835</v>
      </c>
      <c r="B5" s="255"/>
      <c r="C5" s="123" t="s">
        <v>172</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3202</v>
      </c>
      <c r="D7" s="123"/>
      <c r="E7" s="123"/>
      <c r="F7" s="123"/>
      <c r="G7" s="123"/>
      <c r="H7" s="123"/>
      <c r="I7" s="124"/>
    </row>
    <row r="8" spans="1:9" x14ac:dyDescent="0.25">
      <c r="A8" s="254" t="s">
        <v>2842</v>
      </c>
      <c r="B8" s="255"/>
      <c r="C8" s="123" t="s">
        <v>173</v>
      </c>
      <c r="D8" s="123"/>
      <c r="E8" s="123"/>
      <c r="F8" s="123"/>
      <c r="G8" s="123"/>
      <c r="H8" s="123"/>
      <c r="I8" s="124"/>
    </row>
    <row r="9" spans="1:9" x14ac:dyDescent="0.25">
      <c r="A9" s="254" t="s">
        <v>2844</v>
      </c>
      <c r="B9" s="255"/>
      <c r="C9" s="140" t="s">
        <v>3203</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3064</v>
      </c>
      <c r="G21" s="138"/>
      <c r="H21" s="138"/>
      <c r="I21" s="138"/>
    </row>
    <row r="22" spans="1:9" x14ac:dyDescent="0.25">
      <c r="A22" s="136" t="s">
        <v>2855</v>
      </c>
      <c r="B22" s="123"/>
      <c r="C22" s="123"/>
      <c r="D22" s="256">
        <v>28619</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v>70</v>
      </c>
      <c r="E24" s="138"/>
      <c r="F24" s="138"/>
      <c r="G24" s="138"/>
      <c r="H24" s="138"/>
      <c r="I24" s="138"/>
    </row>
    <row r="25" spans="1:9" x14ac:dyDescent="0.25">
      <c r="A25" s="136" t="s">
        <v>2858</v>
      </c>
      <c r="B25" s="123"/>
      <c r="C25" s="123"/>
      <c r="D25" s="137" t="s">
        <v>2930</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3134</v>
      </c>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c r="F30" s="123" t="s">
        <v>2866</v>
      </c>
      <c r="G30" s="123"/>
      <c r="H30" s="123"/>
      <c r="I30" s="123"/>
    </row>
    <row r="31" spans="1:9" x14ac:dyDescent="0.25">
      <c r="A31" s="129" t="b">
        <v>1</v>
      </c>
      <c r="B31" s="123" t="s">
        <v>2867</v>
      </c>
      <c r="C31" s="123"/>
      <c r="D31" s="123"/>
      <c r="E31" s="123"/>
      <c r="F31" s="123"/>
      <c r="G31" s="123"/>
      <c r="H31" s="123"/>
      <c r="I31" s="143"/>
    </row>
    <row r="32" spans="1:9" x14ac:dyDescent="0.25">
      <c r="A32" s="247" t="s">
        <v>2868</v>
      </c>
      <c r="B32" s="247"/>
      <c r="C32" s="247"/>
      <c r="D32" s="247"/>
      <c r="E32" s="247"/>
      <c r="F32" s="247"/>
      <c r="G32" s="247"/>
      <c r="H32" s="247"/>
      <c r="I32" s="247"/>
    </row>
    <row r="33" spans="1:9" x14ac:dyDescent="0.25">
      <c r="A33" s="129"/>
      <c r="B33" s="123" t="s">
        <v>2869</v>
      </c>
      <c r="C33" s="123"/>
      <c r="D33" s="123"/>
      <c r="E33" s="123" t="s">
        <v>2870</v>
      </c>
      <c r="G33" s="123"/>
      <c r="H33" s="123" t="s">
        <v>2871</v>
      </c>
    </row>
    <row r="34" spans="1:9" x14ac:dyDescent="0.25">
      <c r="A34" s="129"/>
      <c r="B34" s="123" t="s">
        <v>2872</v>
      </c>
      <c r="C34" s="123"/>
      <c r="D34" s="123"/>
      <c r="E34" s="123" t="s">
        <v>2873</v>
      </c>
      <c r="G34" s="123"/>
      <c r="H34" s="123" t="s">
        <v>2874</v>
      </c>
    </row>
    <row r="35" spans="1:9" x14ac:dyDescent="0.25">
      <c r="A35" s="129"/>
      <c r="B35" s="123" t="s">
        <v>2875</v>
      </c>
      <c r="C35" s="123"/>
      <c r="D35" s="123"/>
      <c r="E35" s="123" t="s">
        <v>2876</v>
      </c>
      <c r="G35" s="123"/>
      <c r="H35" s="123" t="s">
        <v>2877</v>
      </c>
      <c r="I35" s="123"/>
    </row>
    <row r="36" spans="1:9" x14ac:dyDescent="0.25">
      <c r="A36" s="129"/>
      <c r="B36" s="123" t="s">
        <v>2878</v>
      </c>
      <c r="C36" s="123"/>
      <c r="D36" s="123"/>
      <c r="E36" s="123" t="s">
        <v>2879</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31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430593" r:id="rId5" name="Check Box 1">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8430594" r:id="rId6" name="Check Box 2">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8430595" r:id="rId7" name="Check Box 3">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8430596" r:id="rId8" name="Check Box 4">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8430597" r:id="rId9" name="Check Box 5">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8430598" r:id="rId10" name="Check Box 6">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8430599" r:id="rId11" name="Check Box 7">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8430600" r:id="rId12" name="Button 8">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8430601" r:id="rId13" name="Button 9">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8430602" r:id="rId14" name="Check Box 10">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8430603" r:id="rId15" name="Button 11">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8430604" r:id="rId16" name="Button 12">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8430605" r:id="rId17" name="Button 13">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8430606" r:id="rId18" name="Button 14">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8430607" r:id="rId19" name="Check Box 15">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8430608" r:id="rId20" name="Check Box 16">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8430609" r:id="rId21" name="Check Box 17">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8430610" r:id="rId22" name="Check Box 18">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8430611" r:id="rId23" name="Check Box 19">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8430612" r:id="rId24" name="Check Box 20">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8430613" r:id="rId25" name="Check Box 21">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8430614" r:id="rId26" name="Check Box 22">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8430615" r:id="rId27" name="Check Box 23">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8430616" r:id="rId28" name="Check Box 24">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8430617" r:id="rId29" name="Check Box 25">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8430618" r:id="rId30" name="Check Box 26">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8430619" r:id="rId31" name="Check Box 27">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8430620" r:id="rId32" name="Check Box 28">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8430621" r:id="rId33" name="Check Box 29">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8430622" r:id="rId34" name="Check Box 30">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8430623" r:id="rId35" name="Check Box 3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8430624" r:id="rId36" name="Button 32">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8430625" r:id="rId37" name="Button 33">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8430626"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8430627"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8430628"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8430629"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controls>
    </mc:Choice>
  </mc:AlternateConten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14"/>
  <dimension ref="A1:I50"/>
  <sheetViews>
    <sheetView workbookViewId="0">
      <selection activeCell="C9" sqref="C9"/>
    </sheetView>
  </sheetViews>
  <sheetFormatPr defaultRowHeight="15" x14ac:dyDescent="0.25"/>
  <cols>
    <col min="9" max="9" width="14.140625" customWidth="1"/>
  </cols>
  <sheetData>
    <row r="1" spans="1:9" ht="15.75" thickBot="1" x14ac:dyDescent="0.3">
      <c r="A1" s="106" t="str" cm="1">
        <f t="array" aca="1" ref="A1" ca="1">MID(CELL("filename",A1),FIND("]",CELL("filename",A1))+1,256)</f>
        <v>BPA0145</v>
      </c>
    </row>
    <row r="2" spans="1:9" ht="15.75" customHeight="1" thickTop="1" x14ac:dyDescent="0.35">
      <c r="A2" s="248" t="str">
        <f ca="1">C4&amp;" - "&amp;C5&amp;" - "&amp;C7</f>
        <v>BPA0145 - Dilly Eadde - 123 Emerald Monbulk Road, Emerald 3782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BPA0145</v>
      </c>
      <c r="D4" s="134"/>
      <c r="E4" s="134"/>
      <c r="F4" s="134"/>
      <c r="G4" s="134"/>
      <c r="H4" s="123"/>
      <c r="I4" s="123"/>
    </row>
    <row r="5" spans="1:9" x14ac:dyDescent="0.25">
      <c r="A5" s="254" t="s">
        <v>2835</v>
      </c>
      <c r="B5" s="255"/>
      <c r="C5" s="123" t="s">
        <v>165</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3204</v>
      </c>
      <c r="D7" s="123"/>
      <c r="E7" s="123"/>
      <c r="F7" s="123"/>
      <c r="G7" s="123"/>
      <c r="H7" s="123"/>
      <c r="I7" s="124"/>
    </row>
    <row r="8" spans="1:9" x14ac:dyDescent="0.25">
      <c r="A8" s="254" t="s">
        <v>2842</v>
      </c>
      <c r="B8" s="255"/>
      <c r="C8" s="123" t="s">
        <v>166</v>
      </c>
      <c r="D8" s="123"/>
      <c r="E8" s="123"/>
      <c r="F8" s="123"/>
      <c r="G8" s="123"/>
      <c r="H8" s="123"/>
      <c r="I8" s="124"/>
    </row>
    <row r="9" spans="1:9" x14ac:dyDescent="0.25">
      <c r="A9" s="254" t="s">
        <v>2844</v>
      </c>
      <c r="B9" s="255"/>
      <c r="C9" s="123" t="s">
        <v>3205</v>
      </c>
      <c r="D9" s="123"/>
      <c r="E9" s="123"/>
      <c r="F9" s="123"/>
      <c r="G9" s="123"/>
      <c r="H9" s="123"/>
      <c r="I9" s="124"/>
    </row>
    <row r="10" spans="1:9" x14ac:dyDescent="0.25">
      <c r="A10" s="245" t="s">
        <v>2846</v>
      </c>
      <c r="B10" s="246"/>
      <c r="C10" s="125"/>
      <c r="D10" s="125"/>
      <c r="E10" s="125" t="s">
        <v>3206</v>
      </c>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3207</v>
      </c>
      <c r="G21" s="138"/>
      <c r="H21" s="138"/>
      <c r="I21" s="138"/>
    </row>
    <row r="22" spans="1:9" x14ac:dyDescent="0.25">
      <c r="A22" s="136" t="s">
        <v>2855</v>
      </c>
      <c r="B22" s="123"/>
      <c r="C22" s="123"/>
      <c r="D22" s="256">
        <v>69885</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f>10*18</f>
        <v>180</v>
      </c>
      <c r="E24" s="138"/>
      <c r="F24" s="138"/>
      <c r="G24" s="138"/>
      <c r="H24" s="138"/>
      <c r="I24" s="138"/>
    </row>
    <row r="25" spans="1:9" x14ac:dyDescent="0.25">
      <c r="A25" s="136" t="s">
        <v>2858</v>
      </c>
      <c r="B25" s="123"/>
      <c r="C25" s="123"/>
      <c r="D25" s="137" t="s">
        <v>2930</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3208</v>
      </c>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t="b">
        <v>1</v>
      </c>
      <c r="F30" s="123" t="s">
        <v>2866</v>
      </c>
      <c r="G30" s="123"/>
      <c r="H30" s="123"/>
      <c r="I30" s="123"/>
    </row>
    <row r="31" spans="1:9" x14ac:dyDescent="0.25">
      <c r="A31" s="129" t="b">
        <v>1</v>
      </c>
      <c r="B31" s="123" t="s">
        <v>2867</v>
      </c>
      <c r="C31" s="123"/>
      <c r="D31" s="123"/>
      <c r="E31" s="123"/>
      <c r="F31" s="123"/>
      <c r="G31" s="123"/>
      <c r="H31" s="123"/>
      <c r="I31" s="143"/>
    </row>
    <row r="32" spans="1:9" x14ac:dyDescent="0.25">
      <c r="A32" s="247" t="s">
        <v>2868</v>
      </c>
      <c r="B32" s="247"/>
      <c r="C32" s="247"/>
      <c r="D32" s="247"/>
      <c r="E32" s="247"/>
      <c r="F32" s="247"/>
      <c r="G32" s="247"/>
      <c r="H32" s="247"/>
      <c r="I32" s="247"/>
    </row>
    <row r="33" spans="1:9" x14ac:dyDescent="0.25">
      <c r="A33" s="129" t="b">
        <v>0</v>
      </c>
      <c r="B33" s="123" t="s">
        <v>2869</v>
      </c>
      <c r="C33" s="163" t="s">
        <v>3209</v>
      </c>
      <c r="D33" s="123" t="s">
        <v>3210</v>
      </c>
      <c r="E33" s="123" t="s">
        <v>2870</v>
      </c>
      <c r="G33" s="123" t="s">
        <v>3210</v>
      </c>
      <c r="H33" s="123" t="s">
        <v>2871</v>
      </c>
    </row>
    <row r="34" spans="1:9" x14ac:dyDescent="0.25">
      <c r="A34" s="129" t="b">
        <v>1</v>
      </c>
      <c r="B34" s="123" t="s">
        <v>2872</v>
      </c>
      <c r="C34" s="123">
        <v>4</v>
      </c>
      <c r="D34" s="123" t="s">
        <v>3210</v>
      </c>
      <c r="E34" s="123" t="s">
        <v>2873</v>
      </c>
      <c r="G34" s="123" t="s">
        <v>3210</v>
      </c>
      <c r="H34" s="123" t="s">
        <v>2874</v>
      </c>
    </row>
    <row r="35" spans="1:9" x14ac:dyDescent="0.25">
      <c r="A35" s="129" t="b">
        <v>1</v>
      </c>
      <c r="B35" s="123" t="s">
        <v>2875</v>
      </c>
      <c r="C35" s="123"/>
      <c r="D35" s="123" t="s">
        <v>3210</v>
      </c>
      <c r="E35" s="123" t="s">
        <v>2876</v>
      </c>
      <c r="G35" s="123" t="s">
        <v>3210</v>
      </c>
      <c r="H35" s="123" t="s">
        <v>2877</v>
      </c>
      <c r="I35" s="123"/>
    </row>
    <row r="36" spans="1:9" x14ac:dyDescent="0.25">
      <c r="A36" s="129" t="b">
        <v>1</v>
      </c>
      <c r="B36" s="123" t="s">
        <v>2878</v>
      </c>
      <c r="C36" s="123"/>
      <c r="D36" s="123" t="s">
        <v>3210</v>
      </c>
      <c r="E36" s="123" t="s">
        <v>2879</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10017"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7510018"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7510019"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7510020"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7510021"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7510022"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7510023"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7510024"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7510025"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7510026"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7510027"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7510028"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7510029" r:id="rId16"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7510030" r:id="rId17"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510031" r:id="rId18"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510032" r:id="rId19"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510033"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7510034"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7510035"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7510036"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7510037"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7510038"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7510039"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7510040"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7510041"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7510042"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7510043"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7510044"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7510045"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7510046"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7510047"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7510048"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7510049"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7510050"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7510051"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510052"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7510053"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7510054"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510055"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510056" r:id="rId43" name="Check Box 40">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510057" r:id="rId44" name="Check Box 41">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510058" r:id="rId45" name="Check Box 42">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510059" r:id="rId46" name="Check Box 43">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controls>
    </mc:Choice>
  </mc:AlternateConten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8"/>
  <dimension ref="A1:I50"/>
  <sheetViews>
    <sheetView workbookViewId="0">
      <selection activeCell="C9" sqref="C9"/>
    </sheetView>
  </sheetViews>
  <sheetFormatPr defaultRowHeight="15" x14ac:dyDescent="0.25"/>
  <cols>
    <col min="9" max="9" width="14.140625" customWidth="1"/>
  </cols>
  <sheetData>
    <row r="1" spans="1:9" ht="15.75" thickBot="1" x14ac:dyDescent="0.3">
      <c r="A1" s="106" t="str" cm="1">
        <f t="array" aca="1" ref="A1" ca="1">MID(CELL("filename",A1),FIND("]",CELL("filename",A1))+1,256)</f>
        <v>BPA0143</v>
      </c>
    </row>
    <row r="2" spans="1:9" ht="15.75" customHeight="1" thickTop="1" x14ac:dyDescent="0.35">
      <c r="A2" s="248" t="str">
        <f ca="1">C4&amp;" - "&amp;C5&amp;" - "&amp;C7</f>
        <v>BPA0143 - Mark Lawrence - 12 Heales Street, Inglewood VIC 3517</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BPA0143</v>
      </c>
      <c r="D4" s="134"/>
      <c r="E4" s="134"/>
      <c r="F4" s="134"/>
      <c r="G4" s="134"/>
      <c r="H4" s="123"/>
      <c r="I4" s="123"/>
    </row>
    <row r="5" spans="1:9" x14ac:dyDescent="0.25">
      <c r="A5" s="254" t="s">
        <v>2835</v>
      </c>
      <c r="B5" s="255"/>
      <c r="C5" s="123" t="s">
        <v>158</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3211</v>
      </c>
      <c r="D7" s="123"/>
      <c r="E7" s="123"/>
      <c r="F7" s="123"/>
      <c r="G7" s="123"/>
      <c r="H7" s="123"/>
      <c r="I7" s="124"/>
    </row>
    <row r="8" spans="1:9" x14ac:dyDescent="0.25">
      <c r="A8" s="254" t="s">
        <v>2842</v>
      </c>
      <c r="B8" s="255"/>
      <c r="C8" s="123" t="s">
        <v>159</v>
      </c>
      <c r="D8" s="123"/>
      <c r="E8" s="123"/>
      <c r="F8" s="123"/>
      <c r="G8" s="123"/>
      <c r="H8" s="123"/>
      <c r="I8" s="124"/>
    </row>
    <row r="9" spans="1:9" x14ac:dyDescent="0.25">
      <c r="A9" s="254" t="s">
        <v>2844</v>
      </c>
      <c r="B9" s="255"/>
      <c r="C9" s="123" t="s">
        <v>3212</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c r="G21" s="138"/>
      <c r="H21" s="138"/>
      <c r="I21" s="138"/>
    </row>
    <row r="22" spans="1:9" x14ac:dyDescent="0.25">
      <c r="A22" s="136" t="s">
        <v>2855</v>
      </c>
      <c r="B22" s="123"/>
      <c r="C22" s="123"/>
      <c r="D22" s="256">
        <v>79785</v>
      </c>
      <c r="E22" s="257"/>
      <c r="F22" s="257"/>
      <c r="G22" s="257"/>
      <c r="H22" s="257"/>
      <c r="I22" s="138"/>
    </row>
    <row r="23" spans="1:9" x14ac:dyDescent="0.25">
      <c r="A23" s="136" t="s">
        <v>2856</v>
      </c>
      <c r="B23" s="123"/>
      <c r="C23" s="123"/>
      <c r="D23" s="137">
        <v>1370</v>
      </c>
      <c r="E23" s="138"/>
      <c r="F23" s="138"/>
      <c r="G23" s="138"/>
      <c r="H23" s="138"/>
      <c r="I23" s="138"/>
    </row>
    <row r="24" spans="1:9" x14ac:dyDescent="0.25">
      <c r="A24" s="136" t="s">
        <v>2857</v>
      </c>
      <c r="B24" s="123"/>
      <c r="C24" s="123"/>
      <c r="D24" s="137">
        <f>10*20</f>
        <v>200</v>
      </c>
      <c r="E24" s="138"/>
      <c r="F24" s="138"/>
      <c r="G24" s="138"/>
      <c r="H24" s="138"/>
      <c r="I24" s="138"/>
    </row>
    <row r="25" spans="1:9" x14ac:dyDescent="0.25">
      <c r="A25" s="136" t="s">
        <v>2858</v>
      </c>
      <c r="B25" s="123"/>
      <c r="C25" s="123"/>
      <c r="D25" s="137" t="s">
        <v>2930</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3134</v>
      </c>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c r="F30" s="123" t="s">
        <v>2866</v>
      </c>
      <c r="G30" s="123"/>
      <c r="H30" s="123"/>
      <c r="I30" s="123"/>
    </row>
    <row r="31" spans="1:9" x14ac:dyDescent="0.25">
      <c r="A31" s="129"/>
      <c r="B31" s="123" t="s">
        <v>2867</v>
      </c>
      <c r="C31" s="123"/>
      <c r="D31" s="123"/>
      <c r="E31" s="123"/>
      <c r="F31" s="123"/>
      <c r="G31" s="123"/>
      <c r="H31" s="123"/>
      <c r="I31" s="143"/>
    </row>
    <row r="32" spans="1:9" x14ac:dyDescent="0.25">
      <c r="A32" s="247" t="s">
        <v>2868</v>
      </c>
      <c r="B32" s="247"/>
      <c r="C32" s="247"/>
      <c r="D32" s="247"/>
      <c r="E32" s="247"/>
      <c r="F32" s="247"/>
      <c r="G32" s="247"/>
      <c r="H32" s="247"/>
      <c r="I32" s="247"/>
    </row>
    <row r="33" spans="1:9" x14ac:dyDescent="0.25">
      <c r="A33" s="129" t="b">
        <v>1</v>
      </c>
      <c r="B33" s="123" t="s">
        <v>2869</v>
      </c>
      <c r="C33" s="123"/>
      <c r="D33" s="123" t="s">
        <v>3210</v>
      </c>
      <c r="E33" s="123" t="s">
        <v>2870</v>
      </c>
      <c r="G33" s="123" t="s">
        <v>3210</v>
      </c>
      <c r="H33" s="123" t="s">
        <v>2871</v>
      </c>
    </row>
    <row r="34" spans="1:9" x14ac:dyDescent="0.25">
      <c r="A34" s="129"/>
      <c r="B34" s="123" t="s">
        <v>2872</v>
      </c>
      <c r="C34" s="123">
        <v>4</v>
      </c>
      <c r="D34" s="123" t="s">
        <v>3210</v>
      </c>
      <c r="E34" s="123" t="s">
        <v>2873</v>
      </c>
      <c r="G34" s="123" t="s">
        <v>3210</v>
      </c>
      <c r="H34" s="123" t="s">
        <v>2874</v>
      </c>
    </row>
    <row r="35" spans="1:9" x14ac:dyDescent="0.25">
      <c r="A35" s="129" t="b">
        <v>1</v>
      </c>
      <c r="B35" s="123" t="s">
        <v>2875</v>
      </c>
      <c r="C35" s="123"/>
      <c r="D35" s="123" t="s">
        <v>3210</v>
      </c>
      <c r="E35" s="123" t="s">
        <v>2876</v>
      </c>
      <c r="G35" s="123" t="s">
        <v>3210</v>
      </c>
      <c r="H35" s="123" t="s">
        <v>2877</v>
      </c>
      <c r="I35" s="123"/>
    </row>
    <row r="36" spans="1:9" x14ac:dyDescent="0.25">
      <c r="A36" s="129" t="b">
        <v>1</v>
      </c>
      <c r="B36" s="123" t="s">
        <v>2878</v>
      </c>
      <c r="C36" s="123"/>
      <c r="D36" s="123" t="s">
        <v>3210</v>
      </c>
      <c r="E36" s="123" t="s">
        <v>2879</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v>45555</v>
      </c>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7217"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7177218"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7177219"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7177220"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7177221"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7177222"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7177223"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7177224"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7177225"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7177226"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7177227"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7177228"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7177229" r:id="rId16"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7177230" r:id="rId17"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177231" r:id="rId18"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177232" r:id="rId19"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177233"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7177234"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7177235"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7177236"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7177237"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7177238"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7177239"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7177240"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7177241"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7177242"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7177243"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7177244"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7177245"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7177246"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7177247"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7177248"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7177249"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7177250"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7177251"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177252"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7177253"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7177254"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177255"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177256" r:id="rId43" name="Check Box 40">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177257" r:id="rId44" name="Check Box 41">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177258" r:id="rId45" name="Check Box 42">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controls>
    </mc:Choice>
  </mc:AlternateConten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08"/>
  <dimension ref="A1:I50"/>
  <sheetViews>
    <sheetView workbookViewId="0">
      <selection activeCell="N24" sqref="N24"/>
    </sheetView>
  </sheetViews>
  <sheetFormatPr defaultRowHeight="15" x14ac:dyDescent="0.25"/>
  <cols>
    <col min="9" max="9" width="14.140625" customWidth="1"/>
  </cols>
  <sheetData>
    <row r="1" spans="1:9" ht="15.75" thickBot="1" x14ac:dyDescent="0.3">
      <c r="A1" s="106" t="str" cm="1">
        <f t="array" aca="1" ref="A1" ca="1">MID(CELL("filename",A1),FIND("]",CELL("filename",A1))+1,256)</f>
        <v>BPA0138</v>
      </c>
    </row>
    <row r="2" spans="1:9" ht="15.75" customHeight="1" thickTop="1" x14ac:dyDescent="0.35">
      <c r="A2" s="248" t="str">
        <f ca="1">C4&amp;" - "&amp;C5&amp;" - "&amp;C7</f>
        <v>BPA0138 - Dalbir Sings - 52-56 Berends Drive, Dandenong South 3175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BPA0138</v>
      </c>
      <c r="D4" s="134"/>
      <c r="E4" s="134"/>
      <c r="F4" s="134"/>
      <c r="G4" s="134"/>
      <c r="H4" s="123"/>
      <c r="I4" s="123"/>
    </row>
    <row r="5" spans="1:9" x14ac:dyDescent="0.25">
      <c r="A5" s="254" t="s">
        <v>2835</v>
      </c>
      <c r="B5" s="255"/>
      <c r="C5" s="123" t="s">
        <v>2793</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3213</v>
      </c>
      <c r="D7" s="123"/>
      <c r="E7" s="123"/>
      <c r="F7" s="123"/>
      <c r="G7" s="123"/>
      <c r="H7" s="123"/>
      <c r="I7" s="124"/>
    </row>
    <row r="8" spans="1:9" x14ac:dyDescent="0.25">
      <c r="A8" s="254" t="s">
        <v>2842</v>
      </c>
      <c r="B8" s="255"/>
      <c r="C8" s="123" t="s">
        <v>3214</v>
      </c>
      <c r="D8" s="123"/>
      <c r="E8" s="123"/>
      <c r="F8" s="123"/>
      <c r="G8" s="123"/>
      <c r="H8" s="123"/>
      <c r="I8" s="124"/>
    </row>
    <row r="9" spans="1:9" x14ac:dyDescent="0.25">
      <c r="A9" s="254" t="s">
        <v>2844</v>
      </c>
      <c r="B9" s="255"/>
      <c r="C9" s="140" t="s">
        <v>3215</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3216</v>
      </c>
      <c r="G21" s="138"/>
      <c r="H21" s="138"/>
      <c r="I21" s="138"/>
    </row>
    <row r="22" spans="1:9" x14ac:dyDescent="0.25">
      <c r="A22" s="136" t="s">
        <v>2855</v>
      </c>
      <c r="B22" s="123"/>
      <c r="C22" s="123"/>
      <c r="D22" s="256"/>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c r="E24" s="138"/>
      <c r="F24" s="138"/>
      <c r="G24" s="138"/>
      <c r="H24" s="138"/>
      <c r="I24" s="138"/>
    </row>
    <row r="25" spans="1:9" x14ac:dyDescent="0.25">
      <c r="A25" s="136" t="s">
        <v>2858</v>
      </c>
      <c r="B25" s="123"/>
      <c r="C25" s="123"/>
      <c r="D25" s="137"/>
      <c r="E25" s="138"/>
      <c r="F25" s="138"/>
      <c r="G25" s="138"/>
      <c r="H25" s="138"/>
      <c r="I25" s="138"/>
    </row>
    <row r="26" spans="1:9" x14ac:dyDescent="0.25">
      <c r="A26" s="136" t="s">
        <v>2859</v>
      </c>
      <c r="B26" s="123"/>
      <c r="C26" s="123"/>
      <c r="D26" s="137"/>
      <c r="E26" s="138"/>
      <c r="F26" s="138"/>
      <c r="G26" s="138"/>
      <c r="H26" s="138"/>
      <c r="I26" s="138"/>
    </row>
    <row r="27" spans="1:9" x14ac:dyDescent="0.25">
      <c r="A27" s="136" t="s">
        <v>2860</v>
      </c>
      <c r="B27" s="123"/>
      <c r="C27" s="123"/>
      <c r="D27" s="137"/>
      <c r="E27" s="138"/>
      <c r="F27" s="138"/>
      <c r="G27" s="138"/>
      <c r="H27" s="138"/>
      <c r="I27" s="138"/>
    </row>
    <row r="28" spans="1:9" x14ac:dyDescent="0.25">
      <c r="A28" s="129" t="b">
        <v>1</v>
      </c>
      <c r="B28" s="123" t="s">
        <v>2861</v>
      </c>
      <c r="C28" s="123"/>
      <c r="D28" s="123"/>
      <c r="E28" s="129" t="b">
        <v>0</v>
      </c>
      <c r="F28" s="123" t="s">
        <v>2862</v>
      </c>
      <c r="G28" s="123"/>
      <c r="H28" s="123"/>
      <c r="I28" s="123"/>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c r="F30" s="123" t="s">
        <v>2866</v>
      </c>
      <c r="G30" s="123"/>
      <c r="H30" s="123"/>
      <c r="I30" s="123"/>
    </row>
    <row r="31" spans="1:9" x14ac:dyDescent="0.25">
      <c r="A31" s="129"/>
      <c r="B31" s="123" t="s">
        <v>2867</v>
      </c>
      <c r="C31" s="123"/>
      <c r="D31" s="123"/>
      <c r="E31" s="123"/>
      <c r="F31" s="123"/>
      <c r="G31" s="123"/>
      <c r="H31" s="123"/>
      <c r="I31" s="143"/>
    </row>
    <row r="32" spans="1:9" x14ac:dyDescent="0.25">
      <c r="A32" s="247" t="s">
        <v>2868</v>
      </c>
      <c r="B32" s="247"/>
      <c r="C32" s="247"/>
      <c r="D32" s="247"/>
      <c r="E32" s="247"/>
      <c r="F32" s="247"/>
      <c r="G32" s="247"/>
      <c r="H32" s="247"/>
      <c r="I32" s="247"/>
    </row>
    <row r="33" spans="1:9" x14ac:dyDescent="0.25">
      <c r="A33" s="129" t="b">
        <v>1</v>
      </c>
      <c r="B33" s="123" t="s">
        <v>2869</v>
      </c>
      <c r="C33" s="123"/>
      <c r="D33" s="123" t="s">
        <v>3210</v>
      </c>
      <c r="E33" s="123" t="s">
        <v>2870</v>
      </c>
      <c r="G33" s="123" t="s">
        <v>3210</v>
      </c>
      <c r="H33" s="123" t="s">
        <v>2871</v>
      </c>
    </row>
    <row r="34" spans="1:9" x14ac:dyDescent="0.25">
      <c r="A34" s="129"/>
      <c r="B34" s="123" t="s">
        <v>2872</v>
      </c>
      <c r="C34" s="139" t="s">
        <v>3217</v>
      </c>
      <c r="D34" s="123" t="s">
        <v>3210</v>
      </c>
      <c r="E34" s="123" t="s">
        <v>2873</v>
      </c>
      <c r="G34" s="123" t="s">
        <v>3210</v>
      </c>
      <c r="H34" s="123" t="s">
        <v>2874</v>
      </c>
    </row>
    <row r="35" spans="1:9" x14ac:dyDescent="0.25">
      <c r="A35" s="129" t="b">
        <v>1</v>
      </c>
      <c r="B35" s="123" t="s">
        <v>2875</v>
      </c>
      <c r="C35" s="123"/>
      <c r="D35" s="123" t="s">
        <v>3210</v>
      </c>
      <c r="E35" s="123" t="s">
        <v>2876</v>
      </c>
      <c r="G35" s="123" t="s">
        <v>3210</v>
      </c>
      <c r="H35" s="123" t="s">
        <v>2877</v>
      </c>
      <c r="I35" s="123"/>
    </row>
    <row r="36" spans="1:9" x14ac:dyDescent="0.25">
      <c r="A36" s="129" t="b">
        <v>1</v>
      </c>
      <c r="B36" s="123" t="s">
        <v>2878</v>
      </c>
      <c r="C36" s="123"/>
      <c r="D36" s="123" t="s">
        <v>3210</v>
      </c>
      <c r="E36" s="123" t="s">
        <v>2879</v>
      </c>
      <c r="G36" s="123"/>
      <c r="H36" s="123"/>
      <c r="I36" s="123"/>
    </row>
    <row r="37" spans="1:9" ht="15.75" thickBot="1" x14ac:dyDescent="0.3">
      <c r="A37" s="130" t="b">
        <v>0</v>
      </c>
      <c r="B37" s="131" t="s">
        <v>2881</v>
      </c>
      <c r="C37" s="131"/>
      <c r="D37" s="131"/>
      <c r="E37" s="131"/>
      <c r="F37" s="131"/>
      <c r="G37" s="131"/>
      <c r="H37" s="131"/>
      <c r="I37" s="144">
        <v>45414</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3B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601"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7065602"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7065603"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7065604"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7065605"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7065606"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7065607"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7065608"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7065609"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7065610"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7065611"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7065612"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7065613" r:id="rId17"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7065614" r:id="rId18"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065615" r:id="rId19"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065616" r:id="rId20"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065617"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7065618"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7065619"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7065620"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7065621"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7065622"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7065623"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7065624"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7065625"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7065626"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7065627"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7065628"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7065629"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7065630"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7065631"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7065632"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7065633"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7065634" r:id="rId38"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7065635" r:id="rId39"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7065636" r:id="rId40"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7065637" r:id="rId41"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7065638" r:id="rId42"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7065639" r:id="rId43"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7065640" r:id="rId44" name="Check Box 40">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7065641" r:id="rId45" name="Check Box 41">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1"/>
  <dimension ref="A1:I50"/>
  <sheetViews>
    <sheetView workbookViewId="0">
      <selection activeCell="G33" sqref="G33:G35"/>
    </sheetView>
  </sheetViews>
  <sheetFormatPr defaultRowHeight="15" x14ac:dyDescent="0.25"/>
  <cols>
    <col min="9" max="9" width="14.140625" customWidth="1"/>
  </cols>
  <sheetData>
    <row r="1" spans="1:9" ht="15.75" thickBot="1" x14ac:dyDescent="0.3">
      <c r="A1" s="106" t="str" cm="1">
        <f t="array" aca="1" ref="A1" ca="1">MID(CELL("filename",A1),FIND("]",CELL("filename",A1))+1,256)</f>
        <v>BPA0121</v>
      </c>
    </row>
    <row r="2" spans="1:9" ht="15.75" customHeight="1" thickTop="1" x14ac:dyDescent="0.35">
      <c r="A2" s="248" t="str">
        <f ca="1">C4&amp;" - "&amp;C5&amp;" - "&amp;C7</f>
        <v>BPA0121 - Matthew Kellett - 25 Magellan Crescent, Kangaroo Flat 3555</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BPA0121</v>
      </c>
      <c r="D4" s="134"/>
      <c r="E4" s="134"/>
      <c r="F4" s="134"/>
      <c r="G4" s="134"/>
      <c r="H4" s="123"/>
      <c r="I4" s="123"/>
    </row>
    <row r="5" spans="1:9" x14ac:dyDescent="0.25">
      <c r="A5" s="254" t="s">
        <v>2835</v>
      </c>
      <c r="B5" s="255"/>
      <c r="C5" s="123" t="s">
        <v>146</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3218</v>
      </c>
      <c r="D7" s="123"/>
      <c r="E7" s="123"/>
      <c r="F7" s="123"/>
      <c r="G7" s="123"/>
      <c r="H7" s="123"/>
      <c r="I7" s="124"/>
    </row>
    <row r="8" spans="1:9" x14ac:dyDescent="0.25">
      <c r="A8" s="254" t="s">
        <v>2842</v>
      </c>
      <c r="B8" s="255"/>
      <c r="C8" s="123" t="s">
        <v>147</v>
      </c>
      <c r="D8" s="123"/>
      <c r="E8" s="123"/>
      <c r="F8" s="123"/>
      <c r="G8" s="123"/>
      <c r="H8" s="123"/>
      <c r="I8" s="124"/>
    </row>
    <row r="9" spans="1:9" x14ac:dyDescent="0.25">
      <c r="A9" s="254" t="s">
        <v>2844</v>
      </c>
      <c r="B9" s="255"/>
      <c r="C9" s="123" t="s">
        <v>3219</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3064</v>
      </c>
      <c r="G21" s="138"/>
      <c r="H21" s="138"/>
      <c r="I21" s="138"/>
    </row>
    <row r="22" spans="1:9" x14ac:dyDescent="0.25">
      <c r="A22" s="136" t="s">
        <v>2855</v>
      </c>
      <c r="B22" s="123"/>
      <c r="C22" s="123"/>
      <c r="D22" s="256">
        <f>6200+9463</f>
        <v>15663</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f>5.5*7</f>
        <v>38.5</v>
      </c>
      <c r="E24" s="138"/>
      <c r="F24" s="138"/>
      <c r="G24" s="138"/>
      <c r="H24" s="138"/>
      <c r="I24" s="138"/>
    </row>
    <row r="25" spans="1:9" x14ac:dyDescent="0.25">
      <c r="A25" s="136" t="s">
        <v>2858</v>
      </c>
      <c r="B25" s="123"/>
      <c r="C25" s="123"/>
      <c r="D25" s="137" t="s">
        <v>2930</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3150</v>
      </c>
      <c r="E27" s="138"/>
      <c r="F27" s="138"/>
      <c r="G27" s="138"/>
      <c r="H27" s="138"/>
      <c r="I27" s="138"/>
    </row>
    <row r="28" spans="1:9" x14ac:dyDescent="0.25">
      <c r="A28" s="129" t="b">
        <v>1</v>
      </c>
      <c r="B28" s="123" t="s">
        <v>2861</v>
      </c>
      <c r="C28" s="123"/>
      <c r="D28" s="123"/>
      <c r="E28" s="129" t="b">
        <v>0</v>
      </c>
      <c r="F28" s="123" t="s">
        <v>2862</v>
      </c>
      <c r="G28" s="123"/>
      <c r="H28" s="123"/>
      <c r="I28" s="123"/>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c r="F30" s="123" t="s">
        <v>2866</v>
      </c>
      <c r="G30" s="123"/>
      <c r="H30" s="123"/>
      <c r="I30" s="123"/>
    </row>
    <row r="31" spans="1:9" x14ac:dyDescent="0.25">
      <c r="A31" s="129" t="b">
        <v>1</v>
      </c>
      <c r="B31" s="123" t="s">
        <v>2867</v>
      </c>
      <c r="C31" s="139" t="s">
        <v>3220</v>
      </c>
      <c r="D31" s="123"/>
      <c r="E31" s="123"/>
      <c r="F31" s="123"/>
      <c r="G31" s="123"/>
      <c r="H31" s="123"/>
      <c r="I31" s="143"/>
    </row>
    <row r="32" spans="1:9" x14ac:dyDescent="0.25">
      <c r="A32" s="247" t="s">
        <v>2868</v>
      </c>
      <c r="B32" s="247"/>
      <c r="C32" s="247"/>
      <c r="D32" s="247"/>
      <c r="E32" s="247"/>
      <c r="F32" s="247"/>
      <c r="G32" s="247"/>
      <c r="H32" s="247"/>
      <c r="I32" s="247"/>
    </row>
    <row r="33" spans="1:9" x14ac:dyDescent="0.25">
      <c r="A33" s="129" t="b">
        <v>1</v>
      </c>
      <c r="B33" s="123" t="s">
        <v>2869</v>
      </c>
      <c r="C33" s="123"/>
      <c r="D33" s="123" t="s">
        <v>3210</v>
      </c>
      <c r="E33" s="123" t="s">
        <v>2870</v>
      </c>
      <c r="G33" s="123" t="s">
        <v>3210</v>
      </c>
      <c r="H33" s="123" t="s">
        <v>2871</v>
      </c>
    </row>
    <row r="34" spans="1:9" x14ac:dyDescent="0.25">
      <c r="A34" s="129"/>
      <c r="B34" s="123" t="s">
        <v>2872</v>
      </c>
      <c r="C34" s="123" t="s">
        <v>3221</v>
      </c>
      <c r="D34" s="123" t="s">
        <v>3210</v>
      </c>
      <c r="E34" s="123" t="s">
        <v>2873</v>
      </c>
      <c r="G34" s="123" t="s">
        <v>3210</v>
      </c>
      <c r="H34" s="123" t="s">
        <v>2874</v>
      </c>
    </row>
    <row r="35" spans="1:9" x14ac:dyDescent="0.25">
      <c r="A35" s="129" t="b">
        <v>1</v>
      </c>
      <c r="B35" s="123" t="s">
        <v>2875</v>
      </c>
      <c r="C35" s="123"/>
      <c r="D35" s="123" t="s">
        <v>3210</v>
      </c>
      <c r="E35" s="123" t="s">
        <v>2876</v>
      </c>
      <c r="G35" s="123" t="s">
        <v>3210</v>
      </c>
      <c r="H35" s="123" t="s">
        <v>2877</v>
      </c>
      <c r="I35" s="123"/>
    </row>
    <row r="36" spans="1:9" x14ac:dyDescent="0.25">
      <c r="A36" s="129" t="b">
        <v>1</v>
      </c>
      <c r="B36" s="123" t="s">
        <v>2878</v>
      </c>
      <c r="C36" s="123"/>
      <c r="D36" s="123" t="s">
        <v>3210</v>
      </c>
      <c r="E36" s="123" t="s">
        <v>2879</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18689"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5618690"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5618691"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5618692"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5618693"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5618694"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5618695"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5618696"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5618697"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5618698"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5618699"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5618700"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5618701" r:id="rId16" name="Check Box 13">
              <controlPr defaultSize="0" autoFill="0" autoLine="0" autoPict="0">
                <anchor moveWithCells="1">
                  <from>
                    <xdr:col>3</xdr:col>
                    <xdr:colOff>114300</xdr:colOff>
                    <xdr:row>32</xdr:row>
                    <xdr:rowOff>0</xdr:rowOff>
                  </from>
                  <to>
                    <xdr:col>3</xdr:col>
                    <xdr:colOff>409575</xdr:colOff>
                    <xdr:row>33</xdr:row>
                    <xdr:rowOff>28575</xdr:rowOff>
                  </to>
                </anchor>
              </controlPr>
            </control>
          </mc:Choice>
        </mc:AlternateContent>
        <mc:AlternateContent xmlns:mc="http://schemas.openxmlformats.org/markup-compatibility/2006">
          <mc:Choice Requires="x14">
            <control shapeId="5618702" r:id="rId17" name="Check Box 14">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5618703" r:id="rId18" name="Check Box 15">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5618704" r:id="rId19" name="Check Box 16">
              <controlPr defaultSize="0" autoFill="0" autoLine="0" autoPict="0">
                <anchor moveWithCells="1">
                  <from>
                    <xdr:col>3</xdr:col>
                    <xdr:colOff>114300</xdr:colOff>
                    <xdr:row>35</xdr:row>
                    <xdr:rowOff>0</xdr:rowOff>
                  </from>
                  <to>
                    <xdr:col>3</xdr:col>
                    <xdr:colOff>409575</xdr:colOff>
                    <xdr:row>36</xdr:row>
                    <xdr:rowOff>28575</xdr:rowOff>
                  </to>
                </anchor>
              </controlPr>
            </control>
          </mc:Choice>
        </mc:AlternateContent>
        <mc:AlternateContent xmlns:mc="http://schemas.openxmlformats.org/markup-compatibility/2006">
          <mc:Choice Requires="x14">
            <control shapeId="5618705"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5618706"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5618707"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5618708"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5618709"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5618710"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5618711"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5618712"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5618713"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5618714"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5618715"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5618716"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5618717"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5618718"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5618719"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5618720"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5618721"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mc:AlternateContent xmlns:mc="http://schemas.openxmlformats.org/markup-compatibility/2006">
          <mc:Choice Requires="x14">
            <control shapeId="5618722" r:id="rId37" name="Check Box 34">
              <controlPr defaultSize="0" autoFill="0" autoLine="0" autoPict="0">
                <anchor moveWithCells="1">
                  <from>
                    <xdr:col>6</xdr:col>
                    <xdr:colOff>285750</xdr:colOff>
                    <xdr:row>31</xdr:row>
                    <xdr:rowOff>180975</xdr:rowOff>
                  </from>
                  <to>
                    <xdr:col>6</xdr:col>
                    <xdr:colOff>581025</xdr:colOff>
                    <xdr:row>33</xdr:row>
                    <xdr:rowOff>19050</xdr:rowOff>
                  </to>
                </anchor>
              </controlPr>
            </control>
          </mc:Choice>
        </mc:AlternateContent>
        <mc:AlternateContent xmlns:mc="http://schemas.openxmlformats.org/markup-compatibility/2006">
          <mc:Choice Requires="x14">
            <control shapeId="5618723" r:id="rId38" name="Check Box 35">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mc:AlternateContent xmlns:mc="http://schemas.openxmlformats.org/markup-compatibility/2006">
          <mc:Choice Requires="x14">
            <control shapeId="5618724" r:id="rId39" name="Check Box 36">
              <controlPr defaultSize="0" autoFill="0" autoLine="0" autoPict="0">
                <anchor moveWithCells="1">
                  <from>
                    <xdr:col>6</xdr:col>
                    <xdr:colOff>285750</xdr:colOff>
                    <xdr:row>33</xdr:row>
                    <xdr:rowOff>180975</xdr:rowOff>
                  </from>
                  <to>
                    <xdr:col>6</xdr:col>
                    <xdr:colOff>581025</xdr:colOff>
                    <xdr:row>35</xdr:row>
                    <xdr:rowOff>19050</xdr:rowOff>
                  </to>
                </anchor>
              </controlPr>
            </control>
          </mc:Choice>
        </mc:AlternateContent>
        <mc:AlternateContent xmlns:mc="http://schemas.openxmlformats.org/markup-compatibility/2006">
          <mc:Choice Requires="x14">
            <control shapeId="5618725" r:id="rId40" name="Check Box 37">
              <controlPr defaultSize="0" autoFill="0" autoLine="0" autoPict="0">
                <anchor moveWithCells="1">
                  <from>
                    <xdr:col>6</xdr:col>
                    <xdr:colOff>285750</xdr:colOff>
                    <xdr:row>34</xdr:row>
                    <xdr:rowOff>180975</xdr:rowOff>
                  </from>
                  <to>
                    <xdr:col>6</xdr:col>
                    <xdr:colOff>581025</xdr:colOff>
                    <xdr:row>36</xdr:row>
                    <xdr:rowOff>19050</xdr:rowOff>
                  </to>
                </anchor>
              </controlPr>
            </control>
          </mc:Choice>
        </mc:AlternateContent>
        <mc:AlternateContent xmlns:mc="http://schemas.openxmlformats.org/markup-compatibility/2006">
          <mc:Choice Requires="x14">
            <control shapeId="5618726" r:id="rId41" name="Check Box 38">
              <controlPr defaultSize="0" autoFill="0" autoLine="0" autoPict="0">
                <anchor moveWithCells="1">
                  <from>
                    <xdr:col>3</xdr:col>
                    <xdr:colOff>114300</xdr:colOff>
                    <xdr:row>33</xdr:row>
                    <xdr:rowOff>0</xdr:rowOff>
                  </from>
                  <to>
                    <xdr:col>3</xdr:col>
                    <xdr:colOff>409575</xdr:colOff>
                    <xdr:row>34</xdr:row>
                    <xdr:rowOff>28575</xdr:rowOff>
                  </to>
                </anchor>
              </controlPr>
            </control>
          </mc:Choice>
        </mc:AlternateContent>
        <mc:AlternateContent xmlns:mc="http://schemas.openxmlformats.org/markup-compatibility/2006">
          <mc:Choice Requires="x14">
            <control shapeId="5618727" r:id="rId42" name="Check Box 39">
              <controlPr defaultSize="0" autoFill="0" autoLine="0" autoPict="0">
                <anchor moveWithCells="1">
                  <from>
                    <xdr:col>3</xdr:col>
                    <xdr:colOff>114300</xdr:colOff>
                    <xdr:row>34</xdr:row>
                    <xdr:rowOff>0</xdr:rowOff>
                  </from>
                  <to>
                    <xdr:col>3</xdr:col>
                    <xdr:colOff>409575</xdr:colOff>
                    <xdr:row>35</xdr:row>
                    <xdr:rowOff>28575</xdr:rowOff>
                  </to>
                </anchor>
              </controlPr>
            </control>
          </mc:Choice>
        </mc:AlternateContent>
        <mc:AlternateContent xmlns:mc="http://schemas.openxmlformats.org/markup-compatibility/2006">
          <mc:Choice Requires="x14">
            <control shapeId="5618728" r:id="rId43" name="Check Box 40">
              <controlPr defaultSize="0" autoFill="0" autoLine="0" autoPict="0">
                <anchor moveWithCells="1">
                  <from>
                    <xdr:col>6</xdr:col>
                    <xdr:colOff>285750</xdr:colOff>
                    <xdr:row>32</xdr:row>
                    <xdr:rowOff>180975</xdr:rowOff>
                  </from>
                  <to>
                    <xdr:col>6</xdr:col>
                    <xdr:colOff>581025</xdr:colOff>
                    <xdr:row>34</xdr:row>
                    <xdr:rowOff>19050</xdr:rowOff>
                  </to>
                </anchor>
              </controlPr>
            </control>
          </mc:Choice>
        </mc:AlternateContent>
      </controls>
    </mc:Choice>
  </mc:AlternateConten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3"/>
  <dimension ref="A1:L50"/>
  <sheetViews>
    <sheetView workbookViewId="0">
      <selection activeCell="K15" sqref="K15"/>
    </sheetView>
  </sheetViews>
  <sheetFormatPr defaultRowHeight="15" x14ac:dyDescent="0.25"/>
  <cols>
    <col min="9" max="9" width="14.140625" customWidth="1"/>
  </cols>
  <sheetData>
    <row r="1" spans="1:12" ht="15.75" thickBot="1" x14ac:dyDescent="0.3">
      <c r="A1" s="106" t="str" cm="1">
        <f t="array" aca="1" ref="A1" ca="1">MID(CELL("filename",A1),FIND("]",CELL("filename",A1))+1,256)</f>
        <v>BPA0092</v>
      </c>
    </row>
    <row r="2" spans="1:12" ht="15.75" customHeight="1" thickTop="1" x14ac:dyDescent="0.35">
      <c r="A2" s="248" t="str">
        <f ca="1">C4&amp;" - "&amp;C5&amp;" - "&amp;C7</f>
        <v>BPA0092 - Bradley Buckland - 25 Gerard Road, Sugarloaf Creek, 3658</v>
      </c>
      <c r="B2" s="249"/>
      <c r="C2" s="249"/>
      <c r="D2" s="249"/>
      <c r="E2" s="249"/>
      <c r="F2" s="249"/>
      <c r="G2" s="250"/>
      <c r="H2" s="132"/>
    </row>
    <row r="3" spans="1:12" ht="15.75" customHeight="1" thickBot="1" x14ac:dyDescent="0.4">
      <c r="A3" s="251"/>
      <c r="B3" s="252"/>
      <c r="C3" s="252"/>
      <c r="D3" s="252"/>
      <c r="E3" s="252"/>
      <c r="F3" s="252"/>
      <c r="G3" s="253"/>
      <c r="H3" s="132"/>
    </row>
    <row r="4" spans="1:12" ht="15.75" thickTop="1" x14ac:dyDescent="0.25">
      <c r="A4" s="258" t="s">
        <v>2834</v>
      </c>
      <c r="B4" s="259"/>
      <c r="C4" s="134" t="str">
        <f ca="1">A1</f>
        <v>BPA0092</v>
      </c>
      <c r="D4" s="134"/>
      <c r="E4" s="134"/>
      <c r="F4" s="134"/>
      <c r="G4" s="134"/>
      <c r="H4" s="123"/>
      <c r="I4" s="123"/>
    </row>
    <row r="5" spans="1:12" x14ac:dyDescent="0.25">
      <c r="A5" s="254" t="s">
        <v>2835</v>
      </c>
      <c r="B5" s="255"/>
      <c r="C5" s="123" t="s">
        <v>138</v>
      </c>
      <c r="D5" s="123"/>
      <c r="E5" s="123"/>
      <c r="F5" s="123"/>
      <c r="G5" s="123"/>
      <c r="H5" s="123"/>
      <c r="I5" s="124"/>
    </row>
    <row r="6" spans="1:12" x14ac:dyDescent="0.25">
      <c r="A6" s="254" t="s">
        <v>2837</v>
      </c>
      <c r="B6" s="255"/>
      <c r="C6" s="123"/>
      <c r="D6" s="123"/>
      <c r="E6" s="123"/>
      <c r="F6" s="123"/>
      <c r="G6" s="123"/>
      <c r="H6" s="123"/>
      <c r="I6" s="124"/>
    </row>
    <row r="7" spans="1:12" x14ac:dyDescent="0.25">
      <c r="A7" s="254" t="s">
        <v>2840</v>
      </c>
      <c r="B7" s="255"/>
      <c r="C7" s="123" t="s">
        <v>3222</v>
      </c>
      <c r="D7" s="123"/>
      <c r="E7" s="123"/>
      <c r="F7" s="123"/>
      <c r="G7" s="123"/>
      <c r="H7" s="123"/>
      <c r="I7" s="124"/>
    </row>
    <row r="8" spans="1:12" x14ac:dyDescent="0.25">
      <c r="A8" s="254" t="s">
        <v>2842</v>
      </c>
      <c r="B8" s="255"/>
      <c r="C8" s="123" t="s">
        <v>139</v>
      </c>
      <c r="D8" s="123"/>
      <c r="E8" s="123"/>
      <c r="F8" s="123"/>
      <c r="G8" s="123"/>
      <c r="H8" s="123"/>
      <c r="I8" s="124"/>
    </row>
    <row r="9" spans="1:12" x14ac:dyDescent="0.25">
      <c r="A9" s="254" t="s">
        <v>2844</v>
      </c>
      <c r="B9" s="255"/>
      <c r="C9" s="123" t="s">
        <v>3223</v>
      </c>
      <c r="D9" s="123"/>
      <c r="E9" s="123"/>
      <c r="F9" s="123"/>
      <c r="G9" s="123"/>
      <c r="H9" s="123"/>
      <c r="I9" s="124"/>
    </row>
    <row r="10" spans="1:12" x14ac:dyDescent="0.25">
      <c r="A10" s="245" t="s">
        <v>2846</v>
      </c>
      <c r="B10" s="246"/>
      <c r="C10" s="125"/>
      <c r="D10" s="125"/>
      <c r="E10" s="125"/>
      <c r="F10" s="125"/>
      <c r="G10" s="125"/>
      <c r="H10" s="125"/>
      <c r="I10" s="126"/>
    </row>
    <row r="11" spans="1:12" x14ac:dyDescent="0.25">
      <c r="A11" s="127"/>
      <c r="B11" s="127"/>
      <c r="C11" s="127"/>
      <c r="D11" s="127"/>
      <c r="E11" s="127"/>
      <c r="F11" s="127"/>
      <c r="G11" s="127"/>
      <c r="H11" s="127"/>
      <c r="I11" s="127"/>
    </row>
    <row r="12" spans="1:12" x14ac:dyDescent="0.25">
      <c r="A12" s="128"/>
      <c r="B12" s="128"/>
      <c r="C12" s="128"/>
      <c r="D12" s="128"/>
      <c r="E12" s="128"/>
      <c r="F12" s="128"/>
      <c r="G12" s="128"/>
      <c r="H12" s="128"/>
      <c r="I12" s="128"/>
    </row>
    <row r="13" spans="1:12" x14ac:dyDescent="0.25">
      <c r="A13" s="128"/>
      <c r="B13" s="128"/>
      <c r="C13" s="128"/>
      <c r="D13" s="128"/>
      <c r="E13" s="128"/>
      <c r="F13" s="128"/>
      <c r="G13" s="128"/>
      <c r="H13" s="128"/>
      <c r="I13" s="128"/>
    </row>
    <row r="14" spans="1:12" x14ac:dyDescent="0.25">
      <c r="A14" s="128"/>
      <c r="B14" s="128"/>
      <c r="C14" s="128"/>
      <c r="D14" s="128"/>
      <c r="E14" s="128"/>
      <c r="F14" s="128"/>
      <c r="G14" s="128"/>
      <c r="H14" s="128"/>
      <c r="I14" s="128"/>
      <c r="K14" t="s">
        <v>3224</v>
      </c>
      <c r="L14" t="s">
        <v>3225</v>
      </c>
    </row>
    <row r="15" spans="1:12" x14ac:dyDescent="0.25">
      <c r="A15" s="128"/>
      <c r="B15" s="128"/>
      <c r="C15" s="128"/>
      <c r="D15" s="128"/>
      <c r="E15" s="128"/>
      <c r="F15" s="128"/>
      <c r="G15" s="128"/>
      <c r="H15" s="128"/>
      <c r="I15" s="128"/>
    </row>
    <row r="16" spans="1:12"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3226</v>
      </c>
      <c r="G21" s="138"/>
      <c r="H21" s="138"/>
      <c r="I21" s="138"/>
    </row>
    <row r="22" spans="1:9" x14ac:dyDescent="0.25">
      <c r="A22" s="136" t="s">
        <v>2855</v>
      </c>
      <c r="B22" s="123"/>
      <c r="C22" s="123"/>
      <c r="D22" s="264">
        <f>(13765+5240)*2</f>
        <v>38010</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f>(6*9)+(9*9)</f>
        <v>135</v>
      </c>
      <c r="E24" s="138"/>
      <c r="F24" s="138"/>
      <c r="G24" s="138"/>
      <c r="H24" s="138"/>
      <c r="I24" s="138"/>
    </row>
    <row r="25" spans="1:9" x14ac:dyDescent="0.25">
      <c r="A25" s="136" t="s">
        <v>2858</v>
      </c>
      <c r="B25" s="123"/>
      <c r="C25" s="123"/>
      <c r="D25" s="137" t="s">
        <v>2930</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3227</v>
      </c>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t="b">
        <v>1</v>
      </c>
      <c r="F29" s="123" t="s">
        <v>2864</v>
      </c>
      <c r="G29" s="123"/>
      <c r="H29" s="123"/>
      <c r="I29" s="123" t="s">
        <v>3135</v>
      </c>
    </row>
    <row r="30" spans="1:9" x14ac:dyDescent="0.25">
      <c r="A30" s="129" t="b">
        <v>1</v>
      </c>
      <c r="B30" s="123" t="s">
        <v>2865</v>
      </c>
      <c r="C30" s="123"/>
      <c r="D30" s="123"/>
      <c r="E30" s="129"/>
      <c r="F30" s="123" t="s">
        <v>2866</v>
      </c>
      <c r="G30" s="123"/>
      <c r="H30" s="123"/>
      <c r="I30" s="123"/>
    </row>
    <row r="31" spans="1:9" x14ac:dyDescent="0.25">
      <c r="A31" s="129"/>
      <c r="B31" s="123" t="s">
        <v>2867</v>
      </c>
      <c r="C31" s="123"/>
      <c r="D31" s="123" t="s">
        <v>43</v>
      </c>
      <c r="E31" s="123"/>
      <c r="F31" s="123"/>
      <c r="G31" s="123"/>
      <c r="H31" s="123"/>
      <c r="I31" s="143"/>
    </row>
    <row r="32" spans="1:9" x14ac:dyDescent="0.25">
      <c r="A32" s="247" t="s">
        <v>2868</v>
      </c>
      <c r="B32" s="247"/>
      <c r="C32" s="247"/>
      <c r="D32" s="247"/>
      <c r="E32" s="247"/>
      <c r="F32" s="247"/>
      <c r="G32" s="247"/>
      <c r="H32" s="247"/>
      <c r="I32" s="247"/>
    </row>
    <row r="33" spans="1:9" x14ac:dyDescent="0.25">
      <c r="A33" s="129"/>
      <c r="B33" s="123" t="s">
        <v>2869</v>
      </c>
      <c r="C33" s="123"/>
      <c r="D33" s="123"/>
      <c r="E33" s="129" t="b">
        <v>0</v>
      </c>
      <c r="F33" s="123" t="s">
        <v>2870</v>
      </c>
      <c r="G33" s="123"/>
      <c r="H33" s="123"/>
      <c r="I33" s="123"/>
    </row>
    <row r="34" spans="1:9" x14ac:dyDescent="0.25">
      <c r="A34" s="129"/>
      <c r="B34" s="123" t="s">
        <v>2872</v>
      </c>
      <c r="C34" s="123"/>
      <c r="D34" s="123"/>
      <c r="E34" s="129"/>
      <c r="F34" s="123" t="s">
        <v>2873</v>
      </c>
      <c r="G34" s="123"/>
      <c r="H34" s="123"/>
      <c r="I34" s="123"/>
    </row>
    <row r="35" spans="1:9" x14ac:dyDescent="0.25">
      <c r="A35" s="129"/>
      <c r="B35" s="123" t="s">
        <v>2875</v>
      </c>
      <c r="C35" s="123"/>
      <c r="D35" s="123"/>
      <c r="E35" s="129"/>
      <c r="F35" s="123" t="s">
        <v>2876</v>
      </c>
      <c r="G35" s="123"/>
      <c r="H35" s="123"/>
      <c r="I35" s="123"/>
    </row>
    <row r="36" spans="1:9" x14ac:dyDescent="0.25">
      <c r="A36" s="129"/>
      <c r="B36" s="123" t="s">
        <v>2878</v>
      </c>
      <c r="C36" s="123"/>
      <c r="D36" s="123"/>
      <c r="E36" s="129"/>
      <c r="F36" s="123" t="s">
        <v>3228</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3505"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3093506"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3093507"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3093508"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3093509"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3093510"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3093511"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3093512"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3093513"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3093514"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3093515"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3093516"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3093517" r:id="rId16"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3093518" r:id="rId17"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3093519" r:id="rId18"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3093520" r:id="rId19"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3093521"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3093522"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3093523"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3093524"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3093525"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3093526"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3093527"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3093528"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3093529"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3093530"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3093531"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3093532"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3093533"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3093534"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3093535"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3093536"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3093537"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78"/>
  <dimension ref="A1:I50"/>
  <sheetViews>
    <sheetView workbookViewId="0">
      <selection activeCell="G8" sqref="G8"/>
    </sheetView>
  </sheetViews>
  <sheetFormatPr defaultRowHeight="15" x14ac:dyDescent="0.25"/>
  <cols>
    <col min="9" max="9" width="14.140625" customWidth="1"/>
  </cols>
  <sheetData>
    <row r="1" spans="1:9" ht="15.75" thickBot="1" x14ac:dyDescent="0.3">
      <c r="A1" s="106" t="str" cm="1">
        <f t="array" aca="1" ref="A1" ca="1">MID(CELL("filename",A1),FIND("]",CELL("filename",A1))+1,256)</f>
        <v>BPA0087</v>
      </c>
    </row>
    <row r="2" spans="1:9" ht="15.75" customHeight="1" thickTop="1" x14ac:dyDescent="0.35">
      <c r="A2" s="248" t="str">
        <f ca="1">C4&amp;" - "&amp;C5&amp;" - "&amp;C7</f>
        <v>BPA0087 - Stuart Johns - 223 Burgoyne Street, Huntly 3551</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BPA0087</v>
      </c>
      <c r="D4" s="134"/>
      <c r="E4" s="134"/>
      <c r="F4" s="134"/>
      <c r="G4" s="134"/>
      <c r="H4" s="123"/>
      <c r="I4" s="123"/>
    </row>
    <row r="5" spans="1:9" x14ac:dyDescent="0.25">
      <c r="A5" s="254" t="s">
        <v>2835</v>
      </c>
      <c r="B5" s="255"/>
      <c r="C5" s="123" t="s">
        <v>131</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3229</v>
      </c>
      <c r="D7" s="123"/>
      <c r="E7" s="123"/>
      <c r="F7" s="123"/>
      <c r="G7" s="123"/>
      <c r="H7" s="123"/>
      <c r="I7" s="124"/>
    </row>
    <row r="8" spans="1:9" x14ac:dyDescent="0.25">
      <c r="A8" s="254" t="s">
        <v>2842</v>
      </c>
      <c r="B8" s="255"/>
      <c r="C8" s="123" t="s">
        <v>132</v>
      </c>
      <c r="D8" s="123"/>
      <c r="E8" s="123"/>
      <c r="F8" s="123"/>
      <c r="G8" s="123"/>
      <c r="H8" s="123"/>
      <c r="I8" s="124"/>
    </row>
    <row r="9" spans="1:9" x14ac:dyDescent="0.25">
      <c r="A9" s="254" t="s">
        <v>2844</v>
      </c>
      <c r="B9" s="255"/>
      <c r="C9" s="140" t="s">
        <v>3230</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3231</v>
      </c>
      <c r="G21" s="138"/>
      <c r="H21" s="138"/>
      <c r="I21" s="138"/>
    </row>
    <row r="22" spans="1:9" x14ac:dyDescent="0.25">
      <c r="A22" s="136" t="s">
        <v>2855</v>
      </c>
      <c r="B22" s="123"/>
      <c r="C22" s="123"/>
      <c r="D22" s="256">
        <f>20080*2</f>
        <v>40160</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f>(9*14)+(4*10.5)</f>
        <v>168</v>
      </c>
      <c r="E24" s="138"/>
      <c r="F24" s="138"/>
      <c r="G24" s="138"/>
      <c r="H24" s="138"/>
      <c r="I24" s="138"/>
    </row>
    <row r="25" spans="1:9" x14ac:dyDescent="0.25">
      <c r="A25" s="136" t="s">
        <v>2858</v>
      </c>
      <c r="B25" s="123"/>
      <c r="C25" s="123"/>
      <c r="D25" s="137" t="s">
        <v>3065</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3150</v>
      </c>
      <c r="E27" s="138"/>
      <c r="F27" s="138"/>
      <c r="G27" s="138"/>
      <c r="H27" s="138"/>
      <c r="I27" s="138"/>
    </row>
    <row r="28" spans="1:9" x14ac:dyDescent="0.25">
      <c r="A28" s="129" t="b">
        <v>1</v>
      </c>
      <c r="B28" s="123" t="s">
        <v>2861</v>
      </c>
      <c r="C28" s="123"/>
      <c r="D28" s="123"/>
      <c r="E28" s="129" t="b">
        <v>0</v>
      </c>
      <c r="F28" s="123" t="s">
        <v>2862</v>
      </c>
      <c r="G28" s="123"/>
      <c r="H28" s="123"/>
      <c r="I28" s="123" t="s">
        <v>3135</v>
      </c>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t="b">
        <v>1</v>
      </c>
      <c r="F30" s="123" t="s">
        <v>2866</v>
      </c>
      <c r="G30" s="123"/>
      <c r="H30" s="123"/>
      <c r="I30" s="123"/>
    </row>
    <row r="31" spans="1:9" x14ac:dyDescent="0.25">
      <c r="A31" s="129" t="b">
        <v>1</v>
      </c>
      <c r="B31" s="123" t="s">
        <v>2867</v>
      </c>
      <c r="C31" s="123"/>
      <c r="D31" s="163" t="s">
        <v>3232</v>
      </c>
      <c r="E31" s="123"/>
      <c r="F31" s="123"/>
      <c r="G31" s="123"/>
      <c r="H31" s="123"/>
      <c r="I31" s="143"/>
    </row>
    <row r="32" spans="1:9" x14ac:dyDescent="0.25">
      <c r="A32" s="247" t="s">
        <v>2868</v>
      </c>
      <c r="B32" s="247"/>
      <c r="C32" s="247"/>
      <c r="D32" s="247"/>
      <c r="E32" s="247"/>
      <c r="F32" s="247"/>
      <c r="G32" s="247"/>
      <c r="H32" s="247"/>
      <c r="I32" s="247"/>
    </row>
    <row r="33" spans="1:9" x14ac:dyDescent="0.25">
      <c r="A33" s="129"/>
      <c r="B33" s="123" t="s">
        <v>2869</v>
      </c>
      <c r="C33" s="123"/>
      <c r="D33" s="123"/>
      <c r="E33" s="129" t="b">
        <v>0</v>
      </c>
      <c r="F33" s="123" t="s">
        <v>2870</v>
      </c>
      <c r="G33" s="123"/>
      <c r="H33" s="123"/>
      <c r="I33" s="123"/>
    </row>
    <row r="34" spans="1:9" x14ac:dyDescent="0.25">
      <c r="A34" s="129"/>
      <c r="B34" s="123" t="s">
        <v>2872</v>
      </c>
      <c r="C34" s="123"/>
      <c r="D34" s="123"/>
      <c r="E34" s="129"/>
      <c r="F34" s="123" t="s">
        <v>2873</v>
      </c>
      <c r="G34" s="123"/>
      <c r="H34" s="123"/>
      <c r="I34" s="123"/>
    </row>
    <row r="35" spans="1:9" x14ac:dyDescent="0.25">
      <c r="A35" s="129"/>
      <c r="B35" s="123" t="s">
        <v>2875</v>
      </c>
      <c r="C35" s="123"/>
      <c r="D35" s="123"/>
      <c r="E35" s="129"/>
      <c r="F35" s="123" t="s">
        <v>2876</v>
      </c>
      <c r="G35" s="123"/>
      <c r="H35" s="123"/>
      <c r="I35" s="123"/>
    </row>
    <row r="36" spans="1:9" x14ac:dyDescent="0.25">
      <c r="A36" s="129"/>
      <c r="B36" s="123" t="s">
        <v>2878</v>
      </c>
      <c r="C36" s="123"/>
      <c r="D36" s="123"/>
      <c r="E36" s="129"/>
      <c r="F36" s="123" t="s">
        <v>3228</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51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472961"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472962"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472963"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472964"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472965"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472966"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472967"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472968"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472969"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472970"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472971"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472972"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472973" r:id="rId17"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2472974" r:id="rId18"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472975" r:id="rId19"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472976" r:id="rId20"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472977"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472978"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472979"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472980"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472981"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472982"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472983"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472984"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2472985"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472986"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472987"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472988"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472989"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472990"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472991"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472992"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472993"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73"/>
  <dimension ref="A1:I50"/>
  <sheetViews>
    <sheetView workbookViewId="0">
      <selection activeCell="F9" sqref="F9"/>
    </sheetView>
  </sheetViews>
  <sheetFormatPr defaultRowHeight="15" x14ac:dyDescent="0.25"/>
  <cols>
    <col min="9" max="9" width="14.140625" customWidth="1"/>
  </cols>
  <sheetData>
    <row r="1" spans="1:9" ht="15.75" thickBot="1" x14ac:dyDescent="0.3">
      <c r="A1" s="106" t="str" cm="1">
        <f t="array" aca="1" ref="A1" ca="1">MID(CELL("filename",A1),FIND("]",CELL("filename",A1))+1,256)</f>
        <v>BPA0080</v>
      </c>
    </row>
    <row r="2" spans="1:9" ht="15.75" customHeight="1" thickTop="1" x14ac:dyDescent="0.35">
      <c r="A2" s="248" t="str">
        <f ca="1">C4&amp;" - "&amp;C5&amp;" - "&amp;C7</f>
        <v>BPA0080 - Brandon Seiter - 6 Menzies Crescent, Shepparton 3630</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BPA0080</v>
      </c>
      <c r="D4" s="134"/>
      <c r="E4" s="134"/>
      <c r="F4" s="134"/>
      <c r="G4" s="134"/>
      <c r="H4" s="123"/>
      <c r="I4" s="123"/>
    </row>
    <row r="5" spans="1:9" x14ac:dyDescent="0.25">
      <c r="A5" s="254" t="s">
        <v>2835</v>
      </c>
      <c r="B5" s="255"/>
      <c r="C5" s="123" t="s">
        <v>123</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3233</v>
      </c>
      <c r="D7" s="123"/>
      <c r="E7" s="123"/>
      <c r="F7" s="123"/>
      <c r="G7" s="123"/>
      <c r="H7" s="123"/>
      <c r="I7" s="124"/>
    </row>
    <row r="8" spans="1:9" x14ac:dyDescent="0.25">
      <c r="A8" s="254" t="s">
        <v>2842</v>
      </c>
      <c r="B8" s="255"/>
      <c r="C8" s="123" t="s">
        <v>124</v>
      </c>
      <c r="D8" s="123"/>
      <c r="E8" s="123"/>
      <c r="F8" s="123" t="s">
        <v>3234</v>
      </c>
      <c r="G8" s="123"/>
      <c r="H8" s="123"/>
      <c r="I8" s="124"/>
    </row>
    <row r="9" spans="1:9" x14ac:dyDescent="0.25">
      <c r="A9" s="254" t="s">
        <v>2844</v>
      </c>
      <c r="B9" s="255"/>
      <c r="C9" s="123" t="s">
        <v>3235</v>
      </c>
      <c r="D9" s="123"/>
      <c r="E9" s="123"/>
      <c r="F9" s="140" t="s">
        <v>3236</v>
      </c>
      <c r="G9" s="123"/>
      <c r="H9" s="123"/>
      <c r="I9" s="158" t="s">
        <v>3237</v>
      </c>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3231</v>
      </c>
      <c r="G21" s="138"/>
      <c r="H21" s="138"/>
      <c r="I21" s="138"/>
    </row>
    <row r="22" spans="1:9" x14ac:dyDescent="0.25">
      <c r="A22" s="136" t="s">
        <v>2855</v>
      </c>
      <c r="B22" s="123"/>
      <c r="C22" s="123"/>
      <c r="D22" s="256">
        <f>14160*2</f>
        <v>28320</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f>9*8</f>
        <v>72</v>
      </c>
      <c r="E24" s="138"/>
      <c r="F24" s="138"/>
      <c r="G24" s="138"/>
      <c r="H24" s="138"/>
      <c r="I24" s="138"/>
    </row>
    <row r="25" spans="1:9" x14ac:dyDescent="0.25">
      <c r="A25" s="136" t="s">
        <v>2858</v>
      </c>
      <c r="B25" s="123"/>
      <c r="C25" s="123"/>
      <c r="D25" s="137" t="s">
        <v>3065</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3187</v>
      </c>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t="b">
        <v>1</v>
      </c>
      <c r="F29" s="123" t="s">
        <v>2864</v>
      </c>
      <c r="G29" s="123"/>
      <c r="H29" s="123"/>
      <c r="I29" s="123" t="s">
        <v>3135</v>
      </c>
    </row>
    <row r="30" spans="1:9" x14ac:dyDescent="0.25">
      <c r="A30" s="129" t="b">
        <v>1</v>
      </c>
      <c r="B30" s="123" t="s">
        <v>2865</v>
      </c>
      <c r="C30" s="123"/>
      <c r="D30" s="123"/>
      <c r="E30" s="129" t="b">
        <v>1</v>
      </c>
      <c r="F30" s="123" t="s">
        <v>2866</v>
      </c>
      <c r="G30" s="123"/>
      <c r="H30" s="123"/>
      <c r="I30" s="123"/>
    </row>
    <row r="31" spans="1:9" x14ac:dyDescent="0.25">
      <c r="A31" s="129" t="b">
        <v>1</v>
      </c>
      <c r="B31" s="123" t="s">
        <v>2867</v>
      </c>
      <c r="C31" s="123"/>
      <c r="D31" s="123"/>
      <c r="E31" s="123"/>
      <c r="F31" s="123"/>
      <c r="G31" s="123"/>
      <c r="H31" s="123"/>
      <c r="I31" s="143">
        <v>45279</v>
      </c>
    </row>
    <row r="32" spans="1:9" x14ac:dyDescent="0.25">
      <c r="A32" s="247" t="s">
        <v>2868</v>
      </c>
      <c r="B32" s="247"/>
      <c r="C32" s="247"/>
      <c r="D32" s="247"/>
      <c r="E32" s="247"/>
      <c r="F32" s="247"/>
      <c r="G32" s="247"/>
      <c r="H32" s="247"/>
      <c r="I32" s="247"/>
    </row>
    <row r="33" spans="1:9" x14ac:dyDescent="0.25">
      <c r="A33" s="129"/>
      <c r="B33" s="123" t="s">
        <v>2869</v>
      </c>
      <c r="C33" s="123"/>
      <c r="D33" s="123"/>
      <c r="E33" s="129" t="b">
        <v>0</v>
      </c>
      <c r="F33" s="123" t="s">
        <v>2870</v>
      </c>
      <c r="G33" s="123"/>
      <c r="H33" s="123"/>
      <c r="I33" s="123"/>
    </row>
    <row r="34" spans="1:9" x14ac:dyDescent="0.25">
      <c r="A34" s="129"/>
      <c r="B34" s="123" t="s">
        <v>2872</v>
      </c>
      <c r="C34" s="123"/>
      <c r="D34" s="123"/>
      <c r="E34" s="129"/>
      <c r="F34" s="123" t="s">
        <v>2873</v>
      </c>
      <c r="G34" s="123"/>
      <c r="H34" s="123"/>
      <c r="I34" s="123"/>
    </row>
    <row r="35" spans="1:9" x14ac:dyDescent="0.25">
      <c r="A35" s="129"/>
      <c r="B35" s="123" t="s">
        <v>2875</v>
      </c>
      <c r="C35" s="123"/>
      <c r="D35" s="123"/>
      <c r="E35" s="129"/>
      <c r="F35" s="123" t="s">
        <v>2876</v>
      </c>
      <c r="G35" s="123"/>
      <c r="H35" s="123"/>
      <c r="I35" s="123"/>
    </row>
    <row r="36" spans="1:9" x14ac:dyDescent="0.25">
      <c r="A36" s="129"/>
      <c r="B36" s="123" t="s">
        <v>2878</v>
      </c>
      <c r="C36" s="123"/>
      <c r="D36" s="123"/>
      <c r="E36" s="129"/>
      <c r="F36" s="123" t="s">
        <v>3228</v>
      </c>
      <c r="G36" s="123"/>
      <c r="H36" s="123"/>
      <c r="I36" s="123"/>
    </row>
    <row r="37" spans="1:9" ht="15.75" thickBot="1" x14ac:dyDescent="0.3">
      <c r="A37" s="130" t="b">
        <v>0</v>
      </c>
      <c r="B37" s="131" t="s">
        <v>2881</v>
      </c>
      <c r="C37" s="131"/>
      <c r="D37" s="131"/>
      <c r="E37" s="131"/>
      <c r="F37" s="131"/>
      <c r="G37" s="131"/>
      <c r="H37" s="131"/>
      <c r="I37" s="144"/>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F9" r:id="rId1" xr:uid="{00000000-0004-0000-54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82145"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82146"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82147"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82148"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82149"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82150"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82151"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82152"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82153"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82154"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82155"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82156"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82157" r:id="rId17"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2182158" r:id="rId18"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182159" r:id="rId19"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182160" r:id="rId20"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182161"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82162"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82163"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82164"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82165"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82166"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82167"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82168"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2182169"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82170"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82171"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82172"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82173"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82174"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82175"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82176"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82177"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71"/>
  <dimension ref="A1:S50"/>
  <sheetViews>
    <sheetView workbookViewId="0">
      <selection activeCell="S11" sqref="S11"/>
    </sheetView>
  </sheetViews>
  <sheetFormatPr defaultRowHeight="15" x14ac:dyDescent="0.25"/>
  <cols>
    <col min="9" max="9" width="14.140625" customWidth="1"/>
  </cols>
  <sheetData>
    <row r="1" spans="1:19" ht="15.75" thickBot="1" x14ac:dyDescent="0.3">
      <c r="A1" s="106" t="str" cm="1">
        <f t="array" aca="1" ref="A1" ca="1">MID(CELL("filename",A1),FIND("]",CELL("filename",A1))+1,256)</f>
        <v>BPA0077</v>
      </c>
    </row>
    <row r="2" spans="1:19" ht="15.75" customHeight="1" thickTop="1" x14ac:dyDescent="0.35">
      <c r="A2" s="248" t="str">
        <f ca="1">C4&amp;" - "&amp;C5&amp;" - "&amp;C7</f>
        <v>BPA0077 - Michael Corcoran - 2 Francis Boulevard, Sunbury VIC 3429</v>
      </c>
      <c r="B2" s="249"/>
      <c r="C2" s="249"/>
      <c r="D2" s="249"/>
      <c r="E2" s="249"/>
      <c r="F2" s="249"/>
      <c r="G2" s="250"/>
      <c r="H2" s="132"/>
    </row>
    <row r="3" spans="1:19" ht="15.75" customHeight="1" thickBot="1" x14ac:dyDescent="0.4">
      <c r="A3" s="251"/>
      <c r="B3" s="252"/>
      <c r="C3" s="252"/>
      <c r="D3" s="252"/>
      <c r="E3" s="252"/>
      <c r="F3" s="252"/>
      <c r="G3" s="253"/>
      <c r="H3" s="132"/>
    </row>
    <row r="4" spans="1:19" ht="15.75" thickTop="1" x14ac:dyDescent="0.25">
      <c r="A4" s="258" t="s">
        <v>2834</v>
      </c>
      <c r="B4" s="259"/>
      <c r="C4" s="134" t="str">
        <f ca="1">A1</f>
        <v>BPA0077</v>
      </c>
      <c r="D4" s="134"/>
      <c r="E4" s="134"/>
      <c r="F4" s="134"/>
      <c r="G4" s="134"/>
      <c r="H4" s="123"/>
      <c r="I4" s="123"/>
    </row>
    <row r="5" spans="1:19" x14ac:dyDescent="0.25">
      <c r="A5" s="254" t="s">
        <v>2835</v>
      </c>
      <c r="B5" s="255"/>
      <c r="C5" s="123" t="s">
        <v>114</v>
      </c>
      <c r="D5" s="123"/>
      <c r="E5" s="123"/>
      <c r="F5" s="123"/>
      <c r="G5" s="123"/>
      <c r="H5" s="123"/>
      <c r="I5" s="124"/>
    </row>
    <row r="6" spans="1:19" x14ac:dyDescent="0.25">
      <c r="A6" s="254" t="s">
        <v>2837</v>
      </c>
      <c r="B6" s="255"/>
      <c r="C6" s="123" t="s">
        <v>3238</v>
      </c>
      <c r="D6" s="123"/>
      <c r="E6" s="123"/>
      <c r="F6" s="123"/>
      <c r="G6" s="123"/>
      <c r="H6" s="123"/>
      <c r="I6" s="124"/>
    </row>
    <row r="7" spans="1:19" x14ac:dyDescent="0.25">
      <c r="A7" s="254" t="s">
        <v>2840</v>
      </c>
      <c r="B7" s="255"/>
      <c r="C7" s="123" t="s">
        <v>3239</v>
      </c>
      <c r="D7" s="123"/>
      <c r="E7" s="123"/>
      <c r="F7" s="123"/>
      <c r="G7" s="123"/>
      <c r="H7" s="123"/>
      <c r="I7" s="124"/>
      <c r="R7">
        <v>3450</v>
      </c>
      <c r="S7">
        <f>R7*10%</f>
        <v>345</v>
      </c>
    </row>
    <row r="8" spans="1:19" x14ac:dyDescent="0.25">
      <c r="A8" s="254" t="s">
        <v>2842</v>
      </c>
      <c r="B8" s="255"/>
      <c r="C8" s="123" t="s">
        <v>115</v>
      </c>
      <c r="D8" s="123"/>
      <c r="E8" s="123"/>
      <c r="F8" s="123"/>
      <c r="G8" s="123"/>
      <c r="H8" s="123"/>
      <c r="I8" s="124"/>
      <c r="R8">
        <f>R7+S7</f>
        <v>3795</v>
      </c>
      <c r="S8">
        <f>R8*40%</f>
        <v>1518</v>
      </c>
    </row>
    <row r="9" spans="1:19" x14ac:dyDescent="0.25">
      <c r="A9" s="254" t="s">
        <v>2844</v>
      </c>
      <c r="B9" s="255"/>
      <c r="C9" s="140" t="s">
        <v>3240</v>
      </c>
      <c r="D9" s="123"/>
      <c r="E9" s="123"/>
      <c r="F9" s="123"/>
      <c r="G9" s="123"/>
      <c r="H9" s="123"/>
      <c r="I9" s="124"/>
      <c r="S9">
        <f>R7+S8</f>
        <v>4968</v>
      </c>
    </row>
    <row r="10" spans="1:19" x14ac:dyDescent="0.25">
      <c r="A10" s="245" t="s">
        <v>2846</v>
      </c>
      <c r="B10" s="246"/>
      <c r="C10" s="125"/>
      <c r="D10" s="125"/>
      <c r="E10" s="125"/>
      <c r="F10" s="125"/>
      <c r="G10" s="125"/>
      <c r="H10" s="125"/>
      <c r="I10" s="126"/>
      <c r="S10">
        <f>S9-2550</f>
        <v>2418</v>
      </c>
    </row>
    <row r="11" spans="1:19" x14ac:dyDescent="0.25">
      <c r="A11" s="127"/>
      <c r="B11" s="127"/>
      <c r="C11" s="127"/>
      <c r="D11" s="127"/>
      <c r="E11" s="127"/>
      <c r="F11" s="127"/>
      <c r="G11" s="127"/>
      <c r="H11" s="127"/>
      <c r="I11" s="127"/>
    </row>
    <row r="12" spans="1:19" x14ac:dyDescent="0.25">
      <c r="A12" s="128"/>
      <c r="B12" s="128"/>
      <c r="C12" s="128"/>
      <c r="D12" s="128"/>
      <c r="E12" s="128"/>
      <c r="F12" s="128"/>
      <c r="G12" s="128"/>
      <c r="H12" s="128"/>
      <c r="I12" s="128"/>
    </row>
    <row r="13" spans="1:19" x14ac:dyDescent="0.25">
      <c r="A13" s="128"/>
      <c r="B13" s="128"/>
      <c r="C13" s="128"/>
      <c r="D13" s="128"/>
      <c r="E13" s="128"/>
      <c r="F13" s="128"/>
      <c r="G13" s="128"/>
      <c r="H13" s="128"/>
      <c r="I13" s="128"/>
    </row>
    <row r="14" spans="1:19" x14ac:dyDescent="0.25">
      <c r="A14" s="128"/>
      <c r="B14" s="128"/>
      <c r="C14" s="128"/>
      <c r="D14" s="128"/>
      <c r="E14" s="128"/>
      <c r="F14" s="128"/>
      <c r="G14" s="128"/>
      <c r="H14" s="128"/>
      <c r="I14" s="128"/>
    </row>
    <row r="15" spans="1:19" x14ac:dyDescent="0.25">
      <c r="A15" s="128"/>
      <c r="B15" s="128"/>
      <c r="C15" s="128"/>
      <c r="D15" s="128"/>
      <c r="E15" s="128"/>
      <c r="F15" s="128"/>
      <c r="G15" s="128"/>
      <c r="H15" s="128"/>
      <c r="I15" s="128"/>
    </row>
    <row r="16" spans="1: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29</v>
      </c>
      <c r="G21" s="138"/>
      <c r="H21" s="138"/>
      <c r="I21" s="138"/>
    </row>
    <row r="22" spans="1:9" x14ac:dyDescent="0.25">
      <c r="A22" s="136" t="s">
        <v>2855</v>
      </c>
      <c r="B22" s="123"/>
      <c r="C22" s="123"/>
      <c r="D22" s="256">
        <f>13775*2</f>
        <v>27550</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f>8*8</f>
        <v>64</v>
      </c>
      <c r="E24" s="138"/>
      <c r="F24" s="138"/>
      <c r="G24" s="138"/>
      <c r="H24" s="138"/>
      <c r="I24" s="138"/>
    </row>
    <row r="25" spans="1:9" x14ac:dyDescent="0.25">
      <c r="A25" s="136" t="s">
        <v>2858</v>
      </c>
      <c r="B25" s="123"/>
      <c r="C25" s="123"/>
      <c r="D25" s="137" t="s">
        <v>3065</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c r="F29" s="123" t="s">
        <v>2864</v>
      </c>
      <c r="G29" s="123"/>
      <c r="H29" s="123"/>
      <c r="I29" s="123" t="s">
        <v>3135</v>
      </c>
    </row>
    <row r="30" spans="1:9" x14ac:dyDescent="0.25">
      <c r="A30" s="129" t="b">
        <v>1</v>
      </c>
      <c r="B30" s="123" t="s">
        <v>2865</v>
      </c>
      <c r="C30" s="123"/>
      <c r="D30" s="123"/>
      <c r="E30" s="129" t="b">
        <v>1</v>
      </c>
      <c r="F30" s="123" t="s">
        <v>2866</v>
      </c>
      <c r="G30" s="123"/>
      <c r="H30" s="123"/>
      <c r="I30" s="123"/>
    </row>
    <row r="31" spans="1:9" x14ac:dyDescent="0.25">
      <c r="A31" s="129"/>
      <c r="B31" s="123" t="s">
        <v>2867</v>
      </c>
      <c r="C31" s="123"/>
      <c r="D31" s="123" t="s">
        <v>3241</v>
      </c>
      <c r="E31" s="123"/>
      <c r="F31" s="123"/>
      <c r="G31" s="123"/>
      <c r="H31" s="123"/>
      <c r="I31" s="143"/>
    </row>
    <row r="32" spans="1:9" x14ac:dyDescent="0.25">
      <c r="A32" s="247" t="s">
        <v>2868</v>
      </c>
      <c r="B32" s="247"/>
      <c r="C32" s="247"/>
      <c r="D32" s="247"/>
      <c r="E32" s="247"/>
      <c r="F32" s="247"/>
      <c r="G32" s="247"/>
      <c r="H32" s="247"/>
      <c r="I32" s="247"/>
    </row>
    <row r="33" spans="1:9" x14ac:dyDescent="0.25">
      <c r="A33" s="129" t="b">
        <v>1</v>
      </c>
      <c r="B33" s="123" t="s">
        <v>2869</v>
      </c>
      <c r="C33" s="123"/>
      <c r="D33" s="123"/>
      <c r="E33" s="129" t="b">
        <v>1</v>
      </c>
      <c r="F33" s="123" t="s">
        <v>2870</v>
      </c>
      <c r="G33" s="123"/>
      <c r="H33" s="123"/>
      <c r="I33" s="123"/>
    </row>
    <row r="34" spans="1:9" x14ac:dyDescent="0.25">
      <c r="A34" s="129" t="b">
        <v>1</v>
      </c>
      <c r="B34" s="123" t="s">
        <v>2872</v>
      </c>
      <c r="C34" s="123"/>
      <c r="D34" s="123"/>
      <c r="E34" s="129" t="b">
        <v>1</v>
      </c>
      <c r="F34" s="123" t="s">
        <v>2873</v>
      </c>
      <c r="G34" s="123"/>
      <c r="H34" s="123"/>
      <c r="I34" s="123"/>
    </row>
    <row r="35" spans="1:9" x14ac:dyDescent="0.25">
      <c r="A35" s="129" t="b">
        <v>1</v>
      </c>
      <c r="B35" s="123" t="s">
        <v>2875</v>
      </c>
      <c r="C35" s="123"/>
      <c r="D35" s="123"/>
      <c r="E35" s="129" t="b">
        <v>1</v>
      </c>
      <c r="F35" s="123" t="s">
        <v>2876</v>
      </c>
      <c r="G35" s="123"/>
      <c r="H35" s="123"/>
      <c r="I35" s="123"/>
    </row>
    <row r="36" spans="1:9" x14ac:dyDescent="0.25">
      <c r="A36" s="129" t="b">
        <v>1</v>
      </c>
      <c r="B36" s="123" t="s">
        <v>2878</v>
      </c>
      <c r="C36" s="123"/>
      <c r="D36" s="123"/>
      <c r="E36" s="129" t="b">
        <v>1</v>
      </c>
      <c r="F36" s="123" t="s">
        <v>3228</v>
      </c>
      <c r="G36" s="123"/>
      <c r="H36" s="123"/>
      <c r="I36" s="123"/>
    </row>
    <row r="37" spans="1:9" ht="15.75" thickBot="1" x14ac:dyDescent="0.3">
      <c r="A37" s="130" t="b">
        <v>0</v>
      </c>
      <c r="B37" s="131" t="s">
        <v>2881</v>
      </c>
      <c r="C37" s="131"/>
      <c r="D37" s="131"/>
      <c r="E37" s="131"/>
      <c r="F37" s="131"/>
      <c r="G37" s="131"/>
      <c r="H37" s="131"/>
      <c r="I37" s="144">
        <v>45307</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hyperlinks>
    <hyperlink ref="C9" r:id="rId1" xr:uid="{00000000-0004-0000-5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12513" r:id="rId5"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2112514" r:id="rId6"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112515" r:id="rId7"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112516" r:id="rId8"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112517" r:id="rId9"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2112518" r:id="rId10"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112519" r:id="rId11"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112520" r:id="rId12"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2112521" r:id="rId13"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112522" r:id="rId14"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112523" r:id="rId15"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112524" r:id="rId16"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2112525" r:id="rId17"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2112526" r:id="rId18"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112527" r:id="rId19"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112528" r:id="rId20"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112529" r:id="rId21"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2112530" r:id="rId22"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2112531" r:id="rId23"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112532" r:id="rId24"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112533" r:id="rId25"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112534" r:id="rId26"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112535" r:id="rId27"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112536" r:id="rId28"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2112537" r:id="rId29"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2112538" r:id="rId30"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2112539" r:id="rId31"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2112540" r:id="rId32"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2112541" r:id="rId33"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2112542" r:id="rId34"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2112543" r:id="rId35"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2112544" r:id="rId36"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112545" r:id="rId37"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66"/>
  <dimension ref="A1:I50"/>
  <sheetViews>
    <sheetView workbookViewId="0">
      <selection activeCell="S42" sqref="S42"/>
    </sheetView>
  </sheetViews>
  <sheetFormatPr defaultRowHeight="15" x14ac:dyDescent="0.25"/>
  <cols>
    <col min="9" max="9" width="14.140625" customWidth="1"/>
  </cols>
  <sheetData>
    <row r="1" spans="1:9" ht="15.75" thickBot="1" x14ac:dyDescent="0.3">
      <c r="A1" s="106" t="str" cm="1">
        <f t="array" aca="1" ref="A1" ca="1">MID(CELL("filename",A1),FIND("]",CELL("filename",A1))+1,256)</f>
        <v>BPA0076</v>
      </c>
    </row>
    <row r="2" spans="1:9" ht="15.75" customHeight="1" thickTop="1" x14ac:dyDescent="0.35">
      <c r="A2" s="248" t="str">
        <f ca="1">C4&amp;" - "&amp;C5&amp;" - "&amp;C7</f>
        <v>BPA0076 - Mark Thomson - 33 Sir Leo Curtis Drive, Wandong 3758</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258" t="s">
        <v>2834</v>
      </c>
      <c r="B4" s="259"/>
      <c r="C4" s="134" t="str">
        <f ca="1">A1</f>
        <v>BPA0076</v>
      </c>
      <c r="D4" s="134"/>
      <c r="E4" s="134"/>
      <c r="F4" s="134"/>
      <c r="G4" s="134"/>
      <c r="H4" s="123"/>
      <c r="I4" s="123"/>
    </row>
    <row r="5" spans="1:9" x14ac:dyDescent="0.25">
      <c r="A5" s="254" t="s">
        <v>2835</v>
      </c>
      <c r="B5" s="255"/>
      <c r="C5" s="123" t="s">
        <v>105</v>
      </c>
      <c r="D5" s="123"/>
      <c r="E5" s="123"/>
      <c r="F5" s="123"/>
      <c r="G5" s="123"/>
      <c r="H5" s="123"/>
      <c r="I5" s="124"/>
    </row>
    <row r="6" spans="1:9" x14ac:dyDescent="0.25">
      <c r="A6" s="254" t="s">
        <v>2837</v>
      </c>
      <c r="B6" s="255"/>
      <c r="C6" s="123"/>
      <c r="D6" s="123"/>
      <c r="E6" s="123"/>
      <c r="F6" s="123"/>
      <c r="G6" s="123"/>
      <c r="H6" s="123"/>
      <c r="I6" s="124"/>
    </row>
    <row r="7" spans="1:9" x14ac:dyDescent="0.25">
      <c r="A7" s="254" t="s">
        <v>2840</v>
      </c>
      <c r="B7" s="255"/>
      <c r="C7" s="123" t="s">
        <v>3242</v>
      </c>
      <c r="D7" s="123"/>
      <c r="E7" s="123"/>
      <c r="F7" s="123"/>
      <c r="G7" s="123"/>
      <c r="H7" s="123"/>
      <c r="I7" s="124"/>
    </row>
    <row r="8" spans="1:9" x14ac:dyDescent="0.25">
      <c r="A8" s="254" t="s">
        <v>2842</v>
      </c>
      <c r="B8" s="255"/>
      <c r="C8" s="123" t="s">
        <v>3243</v>
      </c>
      <c r="D8" s="123"/>
      <c r="E8" s="123"/>
      <c r="F8" s="123"/>
      <c r="G8" s="123"/>
      <c r="H8" s="123"/>
      <c r="I8" s="124"/>
    </row>
    <row r="9" spans="1:9" x14ac:dyDescent="0.25">
      <c r="A9" s="254" t="s">
        <v>2844</v>
      </c>
      <c r="B9" s="255"/>
      <c r="C9" s="123" t="s">
        <v>3244</v>
      </c>
      <c r="D9" s="123"/>
      <c r="E9" s="123"/>
      <c r="F9" s="123"/>
      <c r="G9" s="123"/>
      <c r="H9" s="123"/>
      <c r="I9" s="124"/>
    </row>
    <row r="10" spans="1:9" x14ac:dyDescent="0.25">
      <c r="A10" s="245" t="s">
        <v>2846</v>
      </c>
      <c r="B10" s="246"/>
      <c r="C10" s="125"/>
      <c r="D10" s="125"/>
      <c r="E10" s="125"/>
      <c r="F10" s="125"/>
      <c r="G10" s="125"/>
      <c r="H10" s="125"/>
      <c r="I10" s="126"/>
    </row>
    <row r="11" spans="1:9" x14ac:dyDescent="0.25">
      <c r="A11" s="127"/>
      <c r="B11" s="127"/>
      <c r="C11" s="127"/>
      <c r="D11" s="127"/>
      <c r="E11" s="127"/>
      <c r="F11" s="127"/>
      <c r="G11" s="127"/>
      <c r="H11" s="127"/>
      <c r="I11" s="127"/>
    </row>
    <row r="12" spans="1:9" x14ac:dyDescent="0.25">
      <c r="A12" s="128"/>
      <c r="B12" s="128"/>
      <c r="C12" s="128"/>
      <c r="D12" s="128"/>
      <c r="E12" s="128"/>
      <c r="F12" s="128"/>
      <c r="G12" s="128"/>
      <c r="H12" s="128"/>
      <c r="I12" s="128"/>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36" t="s">
        <v>2852</v>
      </c>
      <c r="B20" s="123"/>
      <c r="C20" s="123"/>
      <c r="D20" s="123"/>
      <c r="E20" s="123"/>
      <c r="F20" s="123"/>
      <c r="G20" s="123"/>
      <c r="H20" s="123"/>
      <c r="I20" s="123"/>
    </row>
    <row r="21" spans="1:9" x14ac:dyDescent="0.25">
      <c r="A21" s="136" t="s">
        <v>2853</v>
      </c>
      <c r="B21" s="123"/>
      <c r="C21" s="123"/>
      <c r="D21" s="137" t="s">
        <v>2854</v>
      </c>
      <c r="E21" s="138"/>
      <c r="F21" s="138" t="s">
        <v>29</v>
      </c>
      <c r="G21" s="138"/>
      <c r="H21" s="138"/>
      <c r="I21" s="138"/>
    </row>
    <row r="22" spans="1:9" x14ac:dyDescent="0.25">
      <c r="A22" s="136" t="s">
        <v>2855</v>
      </c>
      <c r="B22" s="123"/>
      <c r="C22" s="123"/>
      <c r="D22" s="256">
        <f>42100*2</f>
        <v>84200</v>
      </c>
      <c r="E22" s="257"/>
      <c r="F22" s="257"/>
      <c r="G22" s="257"/>
      <c r="H22" s="257"/>
      <c r="I22" s="138"/>
    </row>
    <row r="23" spans="1:9" x14ac:dyDescent="0.25">
      <c r="A23" s="136" t="s">
        <v>2856</v>
      </c>
      <c r="B23" s="123"/>
      <c r="C23" s="123"/>
      <c r="D23" s="137"/>
      <c r="E23" s="138"/>
      <c r="F23" s="138"/>
      <c r="G23" s="138"/>
      <c r="H23" s="138"/>
      <c r="I23" s="138"/>
    </row>
    <row r="24" spans="1:9" x14ac:dyDescent="0.25">
      <c r="A24" s="136" t="s">
        <v>2857</v>
      </c>
      <c r="B24" s="123"/>
      <c r="C24" s="123"/>
      <c r="D24" s="137">
        <f>12*18</f>
        <v>216</v>
      </c>
      <c r="E24" s="138"/>
      <c r="F24" s="138"/>
      <c r="G24" s="138"/>
      <c r="H24" s="138"/>
      <c r="I24" s="138"/>
    </row>
    <row r="25" spans="1:9" x14ac:dyDescent="0.25">
      <c r="A25" s="136" t="s">
        <v>2858</v>
      </c>
      <c r="B25" s="123"/>
      <c r="C25" s="123"/>
      <c r="D25" s="137" t="s">
        <v>3065</v>
      </c>
      <c r="E25" s="138"/>
      <c r="F25" s="138"/>
      <c r="G25" s="138"/>
      <c r="H25" s="138"/>
      <c r="I25" s="138"/>
    </row>
    <row r="26" spans="1:9" x14ac:dyDescent="0.25">
      <c r="A26" s="136" t="s">
        <v>2859</v>
      </c>
      <c r="B26" s="123"/>
      <c r="C26" s="123"/>
      <c r="D26" s="137">
        <v>1</v>
      </c>
      <c r="E26" s="138"/>
      <c r="F26" s="138"/>
      <c r="G26" s="138"/>
      <c r="H26" s="138"/>
      <c r="I26" s="138"/>
    </row>
    <row r="27" spans="1:9" x14ac:dyDescent="0.25">
      <c r="A27" s="136" t="s">
        <v>2860</v>
      </c>
      <c r="B27" s="123"/>
      <c r="C27" s="123"/>
      <c r="D27" s="137" t="s">
        <v>3187</v>
      </c>
      <c r="E27" s="138"/>
      <c r="F27" s="138"/>
      <c r="G27" s="138"/>
      <c r="H27" s="138"/>
      <c r="I27" s="138"/>
    </row>
    <row r="28" spans="1:9" x14ac:dyDescent="0.25">
      <c r="A28" s="129" t="b">
        <v>1</v>
      </c>
      <c r="B28" s="123" t="s">
        <v>2861</v>
      </c>
      <c r="C28" s="123"/>
      <c r="D28" s="123"/>
      <c r="E28" s="129" t="b">
        <v>1</v>
      </c>
      <c r="F28" s="123" t="s">
        <v>2862</v>
      </c>
      <c r="G28" s="123"/>
      <c r="H28" s="123"/>
      <c r="I28" s="123"/>
    </row>
    <row r="29" spans="1:9" x14ac:dyDescent="0.25">
      <c r="A29" s="129" t="b">
        <v>1</v>
      </c>
      <c r="B29" s="123" t="s">
        <v>2863</v>
      </c>
      <c r="C29" s="123"/>
      <c r="D29" s="123"/>
      <c r="E29" s="129" t="b">
        <v>1</v>
      </c>
      <c r="F29" s="123" t="s">
        <v>2864</v>
      </c>
      <c r="G29" s="123"/>
      <c r="H29" s="123"/>
      <c r="I29" s="123"/>
    </row>
    <row r="30" spans="1:9" x14ac:dyDescent="0.25">
      <c r="A30" s="129" t="b">
        <v>1</v>
      </c>
      <c r="B30" s="123" t="s">
        <v>2865</v>
      </c>
      <c r="C30" s="123"/>
      <c r="D30" s="123"/>
      <c r="E30" s="129" t="b">
        <v>1</v>
      </c>
      <c r="F30" s="123" t="s">
        <v>2866</v>
      </c>
      <c r="G30" s="123"/>
      <c r="H30" s="123"/>
      <c r="I30" s="123"/>
    </row>
    <row r="31" spans="1:9" x14ac:dyDescent="0.25">
      <c r="A31" s="129" t="b">
        <v>1</v>
      </c>
      <c r="B31" s="123" t="s">
        <v>2867</v>
      </c>
      <c r="C31" s="123"/>
      <c r="D31" s="123"/>
      <c r="E31" s="123"/>
      <c r="F31" s="123"/>
      <c r="G31" s="123"/>
      <c r="H31" s="123"/>
      <c r="I31" s="143">
        <v>45275</v>
      </c>
    </row>
    <row r="32" spans="1:9" x14ac:dyDescent="0.25">
      <c r="A32" s="247" t="s">
        <v>2868</v>
      </c>
      <c r="B32" s="247"/>
      <c r="C32" s="247"/>
      <c r="D32" s="247"/>
      <c r="E32" s="247"/>
      <c r="F32" s="247"/>
      <c r="G32" s="247"/>
      <c r="H32" s="247"/>
      <c r="I32" s="247"/>
    </row>
    <row r="33" spans="1:9" x14ac:dyDescent="0.25">
      <c r="A33" s="129" t="b">
        <v>1</v>
      </c>
      <c r="B33" s="123" t="s">
        <v>2869</v>
      </c>
      <c r="C33" s="123"/>
      <c r="D33" s="123"/>
      <c r="E33" s="129" t="b">
        <v>1</v>
      </c>
      <c r="F33" s="123" t="s">
        <v>2870</v>
      </c>
      <c r="G33" s="123"/>
      <c r="H33" s="123"/>
      <c r="I33" s="123"/>
    </row>
    <row r="34" spans="1:9" x14ac:dyDescent="0.25">
      <c r="A34" s="129" t="b">
        <v>1</v>
      </c>
      <c r="B34" s="123" t="s">
        <v>2872</v>
      </c>
      <c r="C34" s="123"/>
      <c r="D34" s="123"/>
      <c r="E34" s="129" t="b">
        <v>1</v>
      </c>
      <c r="F34" s="123" t="s">
        <v>2873</v>
      </c>
      <c r="G34" s="123"/>
      <c r="H34" s="123"/>
      <c r="I34" s="123"/>
    </row>
    <row r="35" spans="1:9" x14ac:dyDescent="0.25">
      <c r="A35" s="129" t="b">
        <v>1</v>
      </c>
      <c r="B35" s="123" t="s">
        <v>2875</v>
      </c>
      <c r="C35" s="123"/>
      <c r="D35" s="123"/>
      <c r="E35" s="129" t="b">
        <v>1</v>
      </c>
      <c r="F35" s="123" t="s">
        <v>2876</v>
      </c>
      <c r="G35" s="123"/>
      <c r="H35" s="123"/>
      <c r="I35" s="123"/>
    </row>
    <row r="36" spans="1:9" x14ac:dyDescent="0.25">
      <c r="A36" s="129" t="b">
        <v>1</v>
      </c>
      <c r="B36" s="123" t="s">
        <v>2878</v>
      </c>
      <c r="C36" s="123"/>
      <c r="D36" s="123"/>
      <c r="E36" s="129" t="b">
        <v>1</v>
      </c>
      <c r="F36" s="123" t="s">
        <v>3228</v>
      </c>
      <c r="G36" s="123"/>
      <c r="H36" s="123"/>
      <c r="I36" s="123"/>
    </row>
    <row r="37" spans="1:9" ht="15.75" thickBot="1" x14ac:dyDescent="0.3">
      <c r="A37" s="130" t="b">
        <v>0</v>
      </c>
      <c r="B37" s="131" t="s">
        <v>2881</v>
      </c>
      <c r="C37" s="131"/>
      <c r="D37" s="131"/>
      <c r="E37" s="131"/>
      <c r="F37" s="131"/>
      <c r="G37" s="131"/>
      <c r="H37" s="131"/>
      <c r="I37" s="144">
        <v>45280</v>
      </c>
    </row>
    <row r="38" spans="1:9" ht="15.75" thickTop="1" x14ac:dyDescent="0.25">
      <c r="A38" s="141"/>
      <c r="B38" s="142" t="s">
        <v>2882</v>
      </c>
      <c r="C38" s="142"/>
      <c r="D38" s="142"/>
      <c r="E38" s="142"/>
      <c r="F38" s="142"/>
      <c r="G38" s="142"/>
      <c r="H38" s="142"/>
      <c r="I38" s="145"/>
    </row>
    <row r="39" spans="1:9" x14ac:dyDescent="0.25">
      <c r="A39" s="129"/>
      <c r="B39" s="123" t="s">
        <v>1726</v>
      </c>
      <c r="C39" s="123"/>
      <c r="D39" s="123"/>
      <c r="E39" s="123"/>
      <c r="F39" s="123"/>
      <c r="G39" s="123"/>
      <c r="H39" s="123"/>
      <c r="I39" s="143"/>
    </row>
    <row r="40" spans="1:9" x14ac:dyDescent="0.25">
      <c r="A40" s="129" t="b">
        <v>0</v>
      </c>
      <c r="B40" s="123" t="s">
        <v>3030</v>
      </c>
      <c r="C40" s="123"/>
      <c r="D40" s="123"/>
      <c r="E40" s="123"/>
      <c r="F40" s="123"/>
      <c r="G40" s="123"/>
      <c r="H40" s="123"/>
      <c r="I40" s="123"/>
    </row>
    <row r="41" spans="1:9" x14ac:dyDescent="0.25">
      <c r="A41" s="129"/>
      <c r="B41" s="123" t="s">
        <v>2884</v>
      </c>
      <c r="C41" s="123"/>
      <c r="D41" s="123"/>
      <c r="E41" s="123"/>
      <c r="F41" s="123"/>
      <c r="G41" s="123"/>
      <c r="H41" s="123"/>
      <c r="I41" s="143"/>
    </row>
    <row r="42" spans="1:9" x14ac:dyDescent="0.25">
      <c r="A42" s="129" t="b">
        <v>0</v>
      </c>
      <c r="B42" s="123" t="s">
        <v>2885</v>
      </c>
      <c r="C42" s="123"/>
      <c r="D42" s="123"/>
      <c r="E42" s="123"/>
      <c r="F42" s="123"/>
      <c r="G42" s="123"/>
      <c r="H42" s="123"/>
      <c r="I42" s="143"/>
    </row>
    <row r="43" spans="1:9" x14ac:dyDescent="0.25">
      <c r="A43" s="129"/>
      <c r="B43" s="123" t="s">
        <v>2886</v>
      </c>
      <c r="C43" s="123"/>
      <c r="D43" s="123"/>
      <c r="E43" s="123"/>
      <c r="F43" s="123"/>
      <c r="G43" s="123"/>
      <c r="H43" s="123"/>
      <c r="I43" s="12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t="b">
        <v>0</v>
      </c>
      <c r="B49" s="123" t="s">
        <v>2892</v>
      </c>
      <c r="C49" s="123"/>
      <c r="D49" s="123"/>
      <c r="E49" s="123"/>
      <c r="F49" s="123"/>
      <c r="G49" s="123"/>
      <c r="H49" s="123"/>
      <c r="I49" s="123"/>
    </row>
    <row r="50" spans="1:9" x14ac:dyDescent="0.25">
      <c r="A50" s="122"/>
      <c r="B50" s="123" t="s">
        <v>3020</v>
      </c>
      <c r="C50" s="122"/>
      <c r="D50" s="122"/>
      <c r="E50" s="122"/>
      <c r="F50" s="122"/>
      <c r="G50" s="122"/>
      <c r="H50" s="122"/>
      <c r="I50" s="122"/>
    </row>
  </sheetData>
  <mergeCells count="10">
    <mergeCell ref="A9:B9"/>
    <mergeCell ref="A10:B10"/>
    <mergeCell ref="D22:H22"/>
    <mergeCell ref="A32:I32"/>
    <mergeCell ref="A2:G3"/>
    <mergeCell ref="A4:B4"/>
    <mergeCell ref="A5:B5"/>
    <mergeCell ref="A6:B6"/>
    <mergeCell ref="A7:B7"/>
    <mergeCell ref="A8:B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2833" r:id="rId4" name="Check Box 1">
              <controlPr defaultSize="0" autoFill="0" autoLine="0" autoPict="0">
                <anchor moveWithCells="1">
                  <from>
                    <xdr:col>0</xdr:col>
                    <xdr:colOff>0</xdr:colOff>
                    <xdr:row>27</xdr:row>
                    <xdr:rowOff>0</xdr:rowOff>
                  </from>
                  <to>
                    <xdr:col>0</xdr:col>
                    <xdr:colOff>295275</xdr:colOff>
                    <xdr:row>28</xdr:row>
                    <xdr:rowOff>28575</xdr:rowOff>
                  </to>
                </anchor>
              </controlPr>
            </control>
          </mc:Choice>
        </mc:AlternateContent>
        <mc:AlternateContent xmlns:mc="http://schemas.openxmlformats.org/markup-compatibility/2006">
          <mc:Choice Requires="x14">
            <control shapeId="1912834" r:id="rId5" name="Check Box 2">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912835" r:id="rId6" name="Check Box 3">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912836" r:id="rId7" name="Check Box 4">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912837" r:id="rId8" name="Check Box 5">
              <controlPr defaultSize="0" autoFill="0" autoLine="0" autoPict="0">
                <anchor moveWithCells="1">
                  <from>
                    <xdr:col>3</xdr:col>
                    <xdr:colOff>600075</xdr:colOff>
                    <xdr:row>26</xdr:row>
                    <xdr:rowOff>171450</xdr:rowOff>
                  </from>
                  <to>
                    <xdr:col>4</xdr:col>
                    <xdr:colOff>285750</xdr:colOff>
                    <xdr:row>28</xdr:row>
                    <xdr:rowOff>9525</xdr:rowOff>
                  </to>
                </anchor>
              </controlPr>
            </control>
          </mc:Choice>
        </mc:AlternateContent>
        <mc:AlternateContent xmlns:mc="http://schemas.openxmlformats.org/markup-compatibility/2006">
          <mc:Choice Requires="x14">
            <control shapeId="1912838" r:id="rId9" name="Check Box 6">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912839" r:id="rId10" name="Check Box 7">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912840" r:id="rId11" name="Check Box 8">
              <controlPr defaultSize="0" autoFill="0" autoLine="0" autoPict="0">
                <anchor moveWithCells="1">
                  <from>
                    <xdr:col>0</xdr:col>
                    <xdr:colOff>0</xdr:colOff>
                    <xdr:row>32</xdr:row>
                    <xdr:rowOff>0</xdr:rowOff>
                  </from>
                  <to>
                    <xdr:col>0</xdr:col>
                    <xdr:colOff>295275</xdr:colOff>
                    <xdr:row>33</xdr:row>
                    <xdr:rowOff>28575</xdr:rowOff>
                  </to>
                </anchor>
              </controlPr>
            </control>
          </mc:Choice>
        </mc:AlternateContent>
        <mc:AlternateContent xmlns:mc="http://schemas.openxmlformats.org/markup-compatibility/2006">
          <mc:Choice Requires="x14">
            <control shapeId="1912841" r:id="rId12" name="Check Box 9">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912842" r:id="rId13" name="Check Box 10">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912843" r:id="rId14" name="Check Box 11">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912844" r:id="rId15" name="Check Box 12">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912845" r:id="rId16" name="Check Box 13">
              <controlPr defaultSize="0" autoFill="0" autoLine="0" autoPict="0">
                <anchor moveWithCells="1">
                  <from>
                    <xdr:col>4</xdr:col>
                    <xdr:colOff>0</xdr:colOff>
                    <xdr:row>32</xdr:row>
                    <xdr:rowOff>0</xdr:rowOff>
                  </from>
                  <to>
                    <xdr:col>4</xdr:col>
                    <xdr:colOff>295275</xdr:colOff>
                    <xdr:row>33</xdr:row>
                    <xdr:rowOff>28575</xdr:rowOff>
                  </to>
                </anchor>
              </controlPr>
            </control>
          </mc:Choice>
        </mc:AlternateContent>
        <mc:AlternateContent xmlns:mc="http://schemas.openxmlformats.org/markup-compatibility/2006">
          <mc:Choice Requires="x14">
            <control shapeId="1912846" r:id="rId17" name="Check Box 14">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1912847" r:id="rId18" name="Check Box 15">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1912848" r:id="rId19" name="Check Box 16">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1912849" r:id="rId20" name="Check Box 17">
              <controlPr defaultSize="0" autoFill="0" autoLine="0" autoPict="0">
                <anchor moveWithCells="1">
                  <from>
                    <xdr:col>0</xdr:col>
                    <xdr:colOff>0</xdr:colOff>
                    <xdr:row>42</xdr:row>
                    <xdr:rowOff>0</xdr:rowOff>
                  </from>
                  <to>
                    <xdr:col>0</xdr:col>
                    <xdr:colOff>295275</xdr:colOff>
                    <xdr:row>43</xdr:row>
                    <xdr:rowOff>38100</xdr:rowOff>
                  </to>
                </anchor>
              </controlPr>
            </control>
          </mc:Choice>
        </mc:AlternateContent>
        <mc:AlternateContent xmlns:mc="http://schemas.openxmlformats.org/markup-compatibility/2006">
          <mc:Choice Requires="x14">
            <control shapeId="1912850" r:id="rId21" name="Check Box 18">
              <controlPr defaultSize="0" autoFill="0" autoLine="0" autoPict="0">
                <anchor moveWithCells="1">
                  <from>
                    <xdr:col>0</xdr:col>
                    <xdr:colOff>0</xdr:colOff>
                    <xdr:row>43</xdr:row>
                    <xdr:rowOff>0</xdr:rowOff>
                  </from>
                  <to>
                    <xdr:col>0</xdr:col>
                    <xdr:colOff>295275</xdr:colOff>
                    <xdr:row>44</xdr:row>
                    <xdr:rowOff>28575</xdr:rowOff>
                  </to>
                </anchor>
              </controlPr>
            </control>
          </mc:Choice>
        </mc:AlternateContent>
        <mc:AlternateContent xmlns:mc="http://schemas.openxmlformats.org/markup-compatibility/2006">
          <mc:Choice Requires="x14">
            <control shapeId="1912851" r:id="rId22" name="Check Box 19">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912852" r:id="rId23" name="Check Box 20">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912853" r:id="rId24" name="Check Box 21">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912854" r:id="rId25" name="Check Box 22">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912855" r:id="rId26" name="Check Box 23">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912856" r:id="rId27" name="Button 24">
              <controlPr defaultSize="0" print="0" autoFill="0" autoPict="0" macro="[0]!FillHistory">
                <anchor moveWithCells="1" sizeWithCells="1">
                  <from>
                    <xdr:col>7</xdr:col>
                    <xdr:colOff>66675</xdr:colOff>
                    <xdr:row>20</xdr:row>
                    <xdr:rowOff>57150</xdr:rowOff>
                  </from>
                  <to>
                    <xdr:col>8</xdr:col>
                    <xdr:colOff>533400</xdr:colOff>
                    <xdr:row>21</xdr:row>
                    <xdr:rowOff>161925</xdr:rowOff>
                  </to>
                </anchor>
              </controlPr>
            </control>
          </mc:Choice>
        </mc:AlternateContent>
        <mc:AlternateContent xmlns:mc="http://schemas.openxmlformats.org/markup-compatibility/2006">
          <mc:Choice Requires="x14">
            <control shapeId="1912857" r:id="rId28" name="Button 25">
              <controlPr defaultSize="0" print="0" autoFill="0" autoPict="0" macro="[0]!BACK">
                <anchor moveWithCells="1" sizeWithCells="1">
                  <from>
                    <xdr:col>9</xdr:col>
                    <xdr:colOff>228600</xdr:colOff>
                    <xdr:row>0</xdr:row>
                    <xdr:rowOff>142875</xdr:rowOff>
                  </from>
                  <to>
                    <xdr:col>11</xdr:col>
                    <xdr:colOff>257175</xdr:colOff>
                    <xdr:row>3</xdr:row>
                    <xdr:rowOff>0</xdr:rowOff>
                  </to>
                </anchor>
              </controlPr>
            </control>
          </mc:Choice>
        </mc:AlternateContent>
        <mc:AlternateContent xmlns:mc="http://schemas.openxmlformats.org/markup-compatibility/2006">
          <mc:Choice Requires="x14">
            <control shapeId="1912858" r:id="rId29" name="Check Box 26">
              <controlPr defaultSize="0" autoFill="0" autoLine="0" autoPict="0">
                <anchor moveWithCells="1">
                  <from>
                    <xdr:col>0</xdr:col>
                    <xdr:colOff>0</xdr:colOff>
                    <xdr:row>38</xdr:row>
                    <xdr:rowOff>180975</xdr:rowOff>
                  </from>
                  <to>
                    <xdr:col>0</xdr:col>
                    <xdr:colOff>295275</xdr:colOff>
                    <xdr:row>40</xdr:row>
                    <xdr:rowOff>19050</xdr:rowOff>
                  </to>
                </anchor>
              </controlPr>
            </control>
          </mc:Choice>
        </mc:AlternateContent>
        <mc:AlternateContent xmlns:mc="http://schemas.openxmlformats.org/markup-compatibility/2006">
          <mc:Choice Requires="x14">
            <control shapeId="1912859" r:id="rId30" name="Button 27">
              <controlPr defaultSize="0" print="0" autoFill="0" autoPict="0" macro="[0]!Submitted">
                <anchor moveWithCells="1" sizeWithCells="1">
                  <from>
                    <xdr:col>0</xdr:col>
                    <xdr:colOff>28575</xdr:colOff>
                    <xdr:row>37</xdr:row>
                    <xdr:rowOff>28575</xdr:rowOff>
                  </from>
                  <to>
                    <xdr:col>0</xdr:col>
                    <xdr:colOff>581025</xdr:colOff>
                    <xdr:row>37</xdr:row>
                    <xdr:rowOff>180975</xdr:rowOff>
                  </to>
                </anchor>
              </controlPr>
            </control>
          </mc:Choice>
        </mc:AlternateContent>
        <mc:AlternateContent xmlns:mc="http://schemas.openxmlformats.org/markup-compatibility/2006">
          <mc:Choice Requires="x14">
            <control shapeId="1912860" r:id="rId31" name="Button 28">
              <controlPr defaultSize="0" print="0" autoFill="0" autoPict="0" macro="[0]!RFIActioned">
                <anchor moveWithCells="1" sizeWithCells="1">
                  <from>
                    <xdr:col>0</xdr:col>
                    <xdr:colOff>28575</xdr:colOff>
                    <xdr:row>38</xdr:row>
                    <xdr:rowOff>19050</xdr:rowOff>
                  </from>
                  <to>
                    <xdr:col>0</xdr:col>
                    <xdr:colOff>581025</xdr:colOff>
                    <xdr:row>38</xdr:row>
                    <xdr:rowOff>171450</xdr:rowOff>
                  </to>
                </anchor>
              </controlPr>
            </control>
          </mc:Choice>
        </mc:AlternateContent>
        <mc:AlternateContent xmlns:mc="http://schemas.openxmlformats.org/markup-compatibility/2006">
          <mc:Choice Requires="x14">
            <control shapeId="1912861" r:id="rId32" name="Button 29">
              <controlPr defaultSize="0" print="0" autoFill="0" autoPict="0" macro="[0]!ContractSigned">
                <anchor moveWithCells="1" sizeWithCells="1">
                  <from>
                    <xdr:col>0</xdr:col>
                    <xdr:colOff>28575</xdr:colOff>
                    <xdr:row>40</xdr:row>
                    <xdr:rowOff>19050</xdr:rowOff>
                  </from>
                  <to>
                    <xdr:col>0</xdr:col>
                    <xdr:colOff>581025</xdr:colOff>
                    <xdr:row>40</xdr:row>
                    <xdr:rowOff>171450</xdr:rowOff>
                  </to>
                </anchor>
              </controlPr>
            </control>
          </mc:Choice>
        </mc:AlternateContent>
        <mc:AlternateContent xmlns:mc="http://schemas.openxmlformats.org/markup-compatibility/2006">
          <mc:Choice Requires="x14">
            <control shapeId="1912862" r:id="rId33" name="Button 30">
              <controlPr defaultSize="0" print="0" autoFill="0" autoPict="0" macro="[0]!SiteplanCompleted">
                <anchor moveWithCells="1" sizeWithCells="1">
                  <from>
                    <xdr:col>4</xdr:col>
                    <xdr:colOff>28575</xdr:colOff>
                    <xdr:row>36</xdr:row>
                    <xdr:rowOff>19050</xdr:rowOff>
                  </from>
                  <to>
                    <xdr:col>4</xdr:col>
                    <xdr:colOff>581025</xdr:colOff>
                    <xdr:row>36</xdr:row>
                    <xdr:rowOff>171450</xdr:rowOff>
                  </to>
                </anchor>
              </controlPr>
            </control>
          </mc:Choice>
        </mc:AlternateContent>
        <mc:AlternateContent xmlns:mc="http://schemas.openxmlformats.org/markup-compatibility/2006">
          <mc:Choice Requires="x14">
            <control shapeId="1912863" r:id="rId34" name="Button 31">
              <controlPr defaultSize="0" print="0" autoFill="0" autoPict="0" macro="[0]!DocumentCollection">
                <anchor moveWithCells="1" sizeWithCells="1">
                  <from>
                    <xdr:col>4</xdr:col>
                    <xdr:colOff>28575</xdr:colOff>
                    <xdr:row>30</xdr:row>
                    <xdr:rowOff>28575</xdr:rowOff>
                  </from>
                  <to>
                    <xdr:col>4</xdr:col>
                    <xdr:colOff>581025</xdr:colOff>
                    <xdr:row>30</xdr:row>
                    <xdr:rowOff>180975</xdr:rowOff>
                  </to>
                </anchor>
              </controlPr>
            </control>
          </mc:Choice>
        </mc:AlternateContent>
        <mc:AlternateContent xmlns:mc="http://schemas.openxmlformats.org/markup-compatibility/2006">
          <mc:Choice Requires="x14">
            <control shapeId="1912864" r:id="rId35" name="Button 32">
              <controlPr defaultSize="0" print="0" autoFill="0" autoPict="0" macro="[0]!Approv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912865" r:id="rId36" name="Check Box 33">
              <controlPr defaultSize="0" autoFill="0" autoLine="0" autoPict="0">
                <anchor moveWithCells="1">
                  <from>
                    <xdr:col>0</xdr:col>
                    <xdr:colOff>0</xdr:colOff>
                    <xdr:row>48</xdr:row>
                    <xdr:rowOff>161925</xdr:rowOff>
                  </from>
                  <to>
                    <xdr:col>0</xdr:col>
                    <xdr:colOff>295275</xdr:colOff>
                    <xdr:row>50</xdr:row>
                    <xdr:rowOff>0</xdr:rowOff>
                  </to>
                </anchor>
              </controlPr>
            </control>
          </mc:Choice>
        </mc:AlternateContent>
      </controls>
    </mc:Choice>
  </mc:AlternateConten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12"/>
  <dimension ref="A1:I51"/>
  <sheetViews>
    <sheetView workbookViewId="0">
      <selection activeCell="K11" sqref="K11"/>
    </sheetView>
  </sheetViews>
  <sheetFormatPr defaultRowHeight="15" x14ac:dyDescent="0.25"/>
  <cols>
    <col min="9" max="9" width="14.140625" customWidth="1"/>
  </cols>
  <sheetData>
    <row r="1" spans="1:9" ht="15.75" thickBot="1" x14ac:dyDescent="0.3">
      <c r="A1" s="106" t="str" cm="1">
        <f t="array" aca="1" ref="A1" ca="1">MID(CELL("filename",A1),FIND("]",CELL("filename",A1))+1,256)</f>
        <v>BPA0068</v>
      </c>
    </row>
    <row r="2" spans="1:9" ht="15.75" customHeight="1" thickTop="1" x14ac:dyDescent="0.35">
      <c r="A2" s="248" t="str">
        <f ca="1">C5&amp;" - "&amp;C6&amp;" - "&amp;C8</f>
        <v>BPA0068 - Nigel McKenzie - 10 Banksia Court, Campbells Creek</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133"/>
      <c r="B4" s="133"/>
      <c r="C4" s="133"/>
      <c r="D4" s="133"/>
      <c r="E4" s="133"/>
      <c r="F4" s="133"/>
      <c r="G4" s="133"/>
      <c r="H4" s="133"/>
      <c r="I4" s="133"/>
    </row>
    <row r="5" spans="1:9" x14ac:dyDescent="0.25">
      <c r="A5" s="258" t="s">
        <v>2834</v>
      </c>
      <c r="B5" s="259"/>
      <c r="C5" s="134" t="str">
        <f ca="1">A1</f>
        <v>BPA0068</v>
      </c>
      <c r="D5" s="134"/>
      <c r="E5" s="134"/>
      <c r="F5" s="134"/>
      <c r="G5" s="134"/>
      <c r="H5" s="134"/>
      <c r="I5" s="135"/>
    </row>
    <row r="6" spans="1:9" x14ac:dyDescent="0.25">
      <c r="A6" s="254" t="s">
        <v>2835</v>
      </c>
      <c r="B6" s="255"/>
      <c r="C6" s="123" t="s">
        <v>97</v>
      </c>
      <c r="D6" s="123"/>
      <c r="E6" s="123"/>
      <c r="F6" s="123"/>
      <c r="G6" s="123"/>
      <c r="H6" s="123"/>
      <c r="I6" s="124"/>
    </row>
    <row r="7" spans="1:9" x14ac:dyDescent="0.25">
      <c r="A7" s="254" t="s">
        <v>2837</v>
      </c>
      <c r="B7" s="255"/>
      <c r="C7" s="123"/>
      <c r="D7" s="123"/>
      <c r="E7" s="123"/>
      <c r="F7" s="123"/>
      <c r="G7" s="123"/>
      <c r="H7" s="123"/>
      <c r="I7" s="124"/>
    </row>
    <row r="8" spans="1:9" x14ac:dyDescent="0.25">
      <c r="A8" s="254" t="s">
        <v>2840</v>
      </c>
      <c r="B8" s="255"/>
      <c r="C8" s="123" t="s">
        <v>3245</v>
      </c>
      <c r="D8" s="123"/>
      <c r="E8" s="123"/>
      <c r="F8" s="123"/>
      <c r="G8" s="123"/>
      <c r="H8" s="123"/>
      <c r="I8" s="124"/>
    </row>
    <row r="9" spans="1:9" x14ac:dyDescent="0.25">
      <c r="A9" s="254" t="s">
        <v>2842</v>
      </c>
      <c r="B9" s="255"/>
      <c r="C9" s="123" t="s">
        <v>98</v>
      </c>
      <c r="D9" s="123"/>
      <c r="E9" s="123"/>
      <c r="F9" s="123"/>
      <c r="G9" s="123"/>
      <c r="H9" s="123"/>
      <c r="I9" s="124"/>
    </row>
    <row r="10" spans="1:9" x14ac:dyDescent="0.25">
      <c r="A10" s="254" t="s">
        <v>2844</v>
      </c>
      <c r="B10" s="255"/>
      <c r="C10" s="123" t="s">
        <v>3246</v>
      </c>
      <c r="D10" s="123"/>
      <c r="E10" s="123"/>
      <c r="F10" s="123"/>
      <c r="G10" s="123"/>
      <c r="H10" s="123"/>
      <c r="I10" s="124"/>
    </row>
    <row r="11" spans="1:9" x14ac:dyDescent="0.25">
      <c r="A11" s="245" t="s">
        <v>2846</v>
      </c>
      <c r="B11" s="246"/>
      <c r="C11" s="125"/>
      <c r="D11" s="125"/>
      <c r="E11" s="125"/>
      <c r="F11" s="125"/>
      <c r="G11" s="125"/>
      <c r="H11" s="125"/>
      <c r="I11" s="126"/>
    </row>
    <row r="12" spans="1:9" x14ac:dyDescent="0.25">
      <c r="A12" s="127"/>
      <c r="B12" s="127"/>
      <c r="C12" s="127"/>
      <c r="D12" s="127"/>
      <c r="E12" s="127"/>
      <c r="F12" s="127"/>
      <c r="G12" s="127"/>
      <c r="H12" s="127"/>
      <c r="I12" s="127"/>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28"/>
      <c r="B20" s="128"/>
      <c r="C20" s="128"/>
      <c r="D20" s="128"/>
      <c r="E20" s="128"/>
      <c r="F20" s="128"/>
      <c r="G20" s="128"/>
      <c r="H20" s="128"/>
      <c r="I20" s="128"/>
    </row>
    <row r="21" spans="1:9" x14ac:dyDescent="0.25">
      <c r="A21" s="136" t="s">
        <v>2852</v>
      </c>
      <c r="B21" s="123"/>
      <c r="C21" s="123"/>
      <c r="D21" s="123"/>
      <c r="E21" s="123"/>
      <c r="F21" s="123" t="s">
        <v>3247</v>
      </c>
      <c r="G21" s="123"/>
      <c r="H21" s="123"/>
      <c r="I21" s="123"/>
    </row>
    <row r="22" spans="1:9" x14ac:dyDescent="0.25">
      <c r="A22" s="136" t="s">
        <v>2853</v>
      </c>
      <c r="B22" s="123"/>
      <c r="C22" s="123"/>
      <c r="D22" s="137">
        <f>12970*2</f>
        <v>25940</v>
      </c>
      <c r="E22" s="138"/>
      <c r="F22" s="138"/>
      <c r="G22" s="138"/>
      <c r="H22" s="138"/>
      <c r="I22" s="138"/>
    </row>
    <row r="23" spans="1:9" x14ac:dyDescent="0.25">
      <c r="A23" s="136" t="s">
        <v>2855</v>
      </c>
      <c r="B23" s="123"/>
      <c r="C23" s="123"/>
      <c r="D23" s="256"/>
      <c r="E23" s="257"/>
      <c r="F23" s="257"/>
      <c r="G23" s="257"/>
      <c r="H23" s="257"/>
      <c r="I23" s="138"/>
    </row>
    <row r="24" spans="1:9" x14ac:dyDescent="0.25">
      <c r="A24" s="136" t="s">
        <v>2856</v>
      </c>
      <c r="B24" s="123"/>
      <c r="C24" s="123"/>
      <c r="D24" s="137">
        <f>7.5*14</f>
        <v>105</v>
      </c>
      <c r="E24" s="138"/>
      <c r="F24" s="138"/>
      <c r="G24" s="138"/>
      <c r="H24" s="138"/>
      <c r="I24" s="138"/>
    </row>
    <row r="25" spans="1:9" x14ac:dyDescent="0.25">
      <c r="A25" s="136" t="s">
        <v>2857</v>
      </c>
      <c r="B25" s="123"/>
      <c r="C25" s="123"/>
      <c r="D25" s="137" t="s">
        <v>2930</v>
      </c>
      <c r="E25" s="138"/>
      <c r="F25" s="138"/>
      <c r="G25" s="138"/>
      <c r="H25" s="138"/>
      <c r="I25" s="138"/>
    </row>
    <row r="26" spans="1:9" x14ac:dyDescent="0.25">
      <c r="A26" s="136" t="s">
        <v>2858</v>
      </c>
      <c r="B26" s="123"/>
      <c r="C26" s="123"/>
      <c r="D26" s="137">
        <v>1</v>
      </c>
      <c r="E26" s="138"/>
      <c r="F26" s="138"/>
      <c r="G26" s="138"/>
      <c r="H26" s="138"/>
      <c r="I26" s="138"/>
    </row>
    <row r="27" spans="1:9" x14ac:dyDescent="0.25">
      <c r="A27" s="136" t="s">
        <v>2859</v>
      </c>
      <c r="B27" s="123"/>
      <c r="C27" s="123"/>
      <c r="D27" s="137" t="s">
        <v>3208</v>
      </c>
      <c r="E27" s="138"/>
      <c r="F27" s="138"/>
      <c r="G27" s="138"/>
      <c r="H27" s="138"/>
      <c r="I27" s="138"/>
    </row>
    <row r="28" spans="1:9" x14ac:dyDescent="0.25">
      <c r="A28" s="136" t="s">
        <v>2860</v>
      </c>
      <c r="B28" s="123"/>
      <c r="C28" s="123"/>
      <c r="D28" s="137"/>
      <c r="E28" s="138"/>
      <c r="F28" s="138"/>
      <c r="G28" s="138"/>
      <c r="H28" s="138"/>
      <c r="I28" s="138"/>
    </row>
    <row r="29" spans="1:9" x14ac:dyDescent="0.25">
      <c r="A29" s="129" t="b">
        <v>1</v>
      </c>
      <c r="B29" s="123" t="s">
        <v>2861</v>
      </c>
      <c r="C29" s="123"/>
      <c r="D29" s="123"/>
      <c r="E29" s="129" t="b">
        <v>1</v>
      </c>
      <c r="F29" s="123" t="s">
        <v>2862</v>
      </c>
      <c r="G29" s="123"/>
      <c r="H29" s="123"/>
      <c r="I29" s="123"/>
    </row>
    <row r="30" spans="1:9" x14ac:dyDescent="0.25">
      <c r="A30" s="129" t="b">
        <v>1</v>
      </c>
      <c r="B30" s="123" t="s">
        <v>2863</v>
      </c>
      <c r="C30" s="123"/>
      <c r="D30" s="123"/>
      <c r="E30" s="129" t="b">
        <v>1</v>
      </c>
      <c r="F30" s="123" t="s">
        <v>2864</v>
      </c>
      <c r="G30" s="123"/>
      <c r="H30" s="123"/>
      <c r="I30" s="123"/>
    </row>
    <row r="31" spans="1:9" x14ac:dyDescent="0.25">
      <c r="A31" s="129" t="b">
        <v>1</v>
      </c>
      <c r="B31" s="123" t="s">
        <v>2865</v>
      </c>
      <c r="C31" s="123"/>
      <c r="D31" s="123"/>
      <c r="E31" s="129"/>
      <c r="F31" s="123" t="s">
        <v>2866</v>
      </c>
      <c r="G31" s="123"/>
      <c r="H31" s="123"/>
      <c r="I31" s="123"/>
    </row>
    <row r="32" spans="1:9" x14ac:dyDescent="0.25">
      <c r="A32" s="129" t="b">
        <v>1</v>
      </c>
      <c r="B32" s="123" t="s">
        <v>2867</v>
      </c>
      <c r="C32" s="123"/>
      <c r="D32" s="123" t="s">
        <v>43</v>
      </c>
      <c r="E32" s="123"/>
      <c r="F32" s="123"/>
      <c r="G32" s="123"/>
      <c r="H32" s="123"/>
      <c r="I32" s="143"/>
    </row>
    <row r="33" spans="1:9" x14ac:dyDescent="0.25">
      <c r="A33" s="247" t="s">
        <v>2868</v>
      </c>
      <c r="B33" s="247"/>
      <c r="C33" s="247"/>
      <c r="D33" s="247"/>
      <c r="E33" s="247"/>
      <c r="F33" s="247"/>
      <c r="G33" s="247"/>
      <c r="H33" s="247"/>
      <c r="I33" s="247"/>
    </row>
    <row r="34" spans="1:9" x14ac:dyDescent="0.25">
      <c r="A34" s="129" t="b">
        <v>1</v>
      </c>
      <c r="B34" s="123" t="s">
        <v>2869</v>
      </c>
      <c r="C34" s="123"/>
      <c r="D34" s="123"/>
      <c r="E34" s="129" t="b">
        <v>1</v>
      </c>
      <c r="F34" s="123" t="s">
        <v>2870</v>
      </c>
      <c r="G34" s="123"/>
      <c r="H34" s="123"/>
      <c r="I34" s="123"/>
    </row>
    <row r="35" spans="1:9" x14ac:dyDescent="0.25">
      <c r="A35" s="129" t="b">
        <v>1</v>
      </c>
      <c r="B35" s="123" t="s">
        <v>2872</v>
      </c>
      <c r="C35" s="123"/>
      <c r="D35" s="123"/>
      <c r="E35" s="129" t="b">
        <v>1</v>
      </c>
      <c r="F35" s="123" t="s">
        <v>2873</v>
      </c>
      <c r="G35" s="123"/>
      <c r="H35" s="123"/>
      <c r="I35" s="123"/>
    </row>
    <row r="36" spans="1:9" x14ac:dyDescent="0.25">
      <c r="A36" s="129" t="b">
        <v>1</v>
      </c>
      <c r="B36" s="123" t="s">
        <v>2875</v>
      </c>
      <c r="C36" s="123"/>
      <c r="D36" s="123"/>
      <c r="E36" s="129" t="b">
        <v>1</v>
      </c>
      <c r="F36" s="123" t="s">
        <v>2876</v>
      </c>
      <c r="G36" s="123"/>
      <c r="H36" s="123"/>
      <c r="I36" s="123"/>
    </row>
    <row r="37" spans="1:9" x14ac:dyDescent="0.25">
      <c r="A37" s="129" t="b">
        <v>1</v>
      </c>
      <c r="B37" s="123" t="s">
        <v>2878</v>
      </c>
      <c r="C37" s="123"/>
      <c r="D37" s="123"/>
      <c r="E37" s="129" t="b">
        <v>1</v>
      </c>
      <c r="F37" s="123" t="s">
        <v>3228</v>
      </c>
      <c r="G37" s="123"/>
      <c r="H37" s="123"/>
      <c r="I37" s="143">
        <v>45293</v>
      </c>
    </row>
    <row r="38" spans="1:9" ht="15.75" thickBot="1" x14ac:dyDescent="0.3">
      <c r="A38" s="130" t="b">
        <v>0</v>
      </c>
      <c r="B38" s="131" t="s">
        <v>2881</v>
      </c>
      <c r="C38" s="131"/>
      <c r="D38" s="131"/>
      <c r="E38" s="131"/>
      <c r="F38" s="131"/>
      <c r="G38" s="131"/>
      <c r="H38" s="131"/>
      <c r="I38" s="144"/>
    </row>
    <row r="39" spans="1:9" ht="15.75" thickTop="1" x14ac:dyDescent="0.25">
      <c r="A39" s="141"/>
      <c r="B39" s="142" t="s">
        <v>2882</v>
      </c>
      <c r="C39" s="142"/>
      <c r="D39" s="142"/>
      <c r="E39" s="142"/>
      <c r="F39" s="142"/>
      <c r="G39" s="142"/>
      <c r="H39" s="142"/>
      <c r="I39" s="145"/>
    </row>
    <row r="40" spans="1:9" x14ac:dyDescent="0.25">
      <c r="A40" s="129"/>
      <c r="B40" s="123" t="s">
        <v>1726</v>
      </c>
      <c r="C40" s="123"/>
      <c r="D40" s="123"/>
      <c r="E40" s="123"/>
      <c r="F40" s="123"/>
      <c r="G40" s="123"/>
      <c r="H40" s="123"/>
      <c r="I40" s="143"/>
    </row>
    <row r="41" spans="1:9" x14ac:dyDescent="0.25">
      <c r="A41" s="129" t="b">
        <v>0</v>
      </c>
      <c r="B41" s="123" t="s">
        <v>3030</v>
      </c>
      <c r="C41" s="123"/>
      <c r="D41" s="123"/>
      <c r="E41" s="123"/>
      <c r="F41" s="123"/>
      <c r="G41" s="123"/>
      <c r="H41" s="123"/>
      <c r="I41" s="123"/>
    </row>
    <row r="42" spans="1:9" x14ac:dyDescent="0.25">
      <c r="A42" s="129"/>
      <c r="B42" s="123" t="s">
        <v>2884</v>
      </c>
      <c r="C42" s="123"/>
      <c r="D42" s="123"/>
      <c r="E42" s="123"/>
      <c r="F42" s="123"/>
      <c r="G42" s="123"/>
      <c r="H42" s="123"/>
      <c r="I42" s="143"/>
    </row>
    <row r="43" spans="1:9" x14ac:dyDescent="0.25">
      <c r="A43" s="129" t="b">
        <v>0</v>
      </c>
      <c r="B43" s="123" t="s">
        <v>2885</v>
      </c>
      <c r="C43" s="123"/>
      <c r="D43" s="123"/>
      <c r="E43" s="123"/>
      <c r="F43" s="123"/>
      <c r="G43" s="123"/>
      <c r="H43" s="123"/>
      <c r="I43" s="14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c r="B49" s="123" t="s">
        <v>2892</v>
      </c>
      <c r="C49" s="123"/>
      <c r="D49" s="123"/>
      <c r="E49" s="123"/>
      <c r="F49" s="123"/>
      <c r="G49" s="123"/>
      <c r="H49" s="123"/>
      <c r="I49" s="123"/>
    </row>
    <row r="50" spans="1:9" x14ac:dyDescent="0.25">
      <c r="A50" s="129"/>
      <c r="B50" s="123" t="s">
        <v>3020</v>
      </c>
      <c r="C50" s="123"/>
      <c r="D50" s="123"/>
      <c r="E50" s="123"/>
      <c r="F50" s="123"/>
      <c r="G50" s="123"/>
      <c r="H50" s="123"/>
      <c r="I50" s="123"/>
    </row>
    <row r="51" spans="1:9" x14ac:dyDescent="0.25">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3921"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233922"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233923"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233924"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1233925"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233926"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233927"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1233928"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233929"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233930"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233931"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1233932"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233933"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1233934"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1233935"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1233936"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1233937"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1233938"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233939"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233940"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233941"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233942"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233943"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1233944"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1233945"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1233946"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1233947"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1233948"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1233949"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233950"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1233951"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1233952"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58"/>
  <dimension ref="A1:I51"/>
  <sheetViews>
    <sheetView workbookViewId="0"/>
  </sheetViews>
  <sheetFormatPr defaultRowHeight="15" x14ac:dyDescent="0.25"/>
  <cols>
    <col min="9" max="9" width="14.140625" customWidth="1"/>
  </cols>
  <sheetData>
    <row r="1" spans="1:9" ht="15.75" thickBot="1" x14ac:dyDescent="0.3">
      <c r="A1" s="106" t="str" cm="1">
        <f t="array" aca="1" ref="A1" ca="1">MID(CELL("filename",A1),FIND("]",CELL("filename",A1))+1,256)</f>
        <v>BPA0022</v>
      </c>
    </row>
    <row r="2" spans="1:9" ht="15.75" customHeight="1" thickTop="1" x14ac:dyDescent="0.35">
      <c r="A2" s="248" t="str">
        <f ca="1">C5&amp;" - "&amp;C6&amp;" - "&amp;C8</f>
        <v>BPA0022 - John Hanrahan - 81-89 Buckley Grove, Moolap</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133"/>
      <c r="B4" s="133"/>
      <c r="C4" s="133"/>
      <c r="D4" s="133"/>
      <c r="E4" s="133"/>
      <c r="F4" s="133"/>
      <c r="G4" s="133"/>
      <c r="H4" s="133"/>
      <c r="I4" s="133"/>
    </row>
    <row r="5" spans="1:9" x14ac:dyDescent="0.25">
      <c r="A5" s="258" t="s">
        <v>2834</v>
      </c>
      <c r="B5" s="259"/>
      <c r="C5" s="134" t="str">
        <f ca="1">A1</f>
        <v>BPA0022</v>
      </c>
      <c r="D5" s="134"/>
      <c r="E5" s="134"/>
      <c r="F5" s="134"/>
      <c r="G5" s="134" t="s">
        <v>3248</v>
      </c>
      <c r="H5" s="134"/>
      <c r="I5" s="135"/>
    </row>
    <row r="6" spans="1:9" x14ac:dyDescent="0.25">
      <c r="A6" s="254" t="s">
        <v>2835</v>
      </c>
      <c r="B6" s="255"/>
      <c r="C6" s="123" t="s">
        <v>2673</v>
      </c>
      <c r="D6" s="123"/>
      <c r="E6" s="123"/>
      <c r="F6" s="123"/>
      <c r="G6" s="123"/>
      <c r="H6" s="123"/>
      <c r="I6" s="124"/>
    </row>
    <row r="7" spans="1:9" x14ac:dyDescent="0.25">
      <c r="A7" s="254" t="s">
        <v>2837</v>
      </c>
      <c r="B7" s="255"/>
      <c r="C7" s="123" t="s">
        <v>3249</v>
      </c>
      <c r="D7" s="123"/>
      <c r="E7" s="123"/>
      <c r="F7" s="123"/>
      <c r="G7" s="123"/>
      <c r="H7" s="123"/>
      <c r="I7" s="124"/>
    </row>
    <row r="8" spans="1:9" x14ac:dyDescent="0.25">
      <c r="A8" s="254" t="s">
        <v>2840</v>
      </c>
      <c r="B8" s="255"/>
      <c r="C8" s="123" t="s">
        <v>3250</v>
      </c>
      <c r="D8" s="123"/>
      <c r="E8" s="123"/>
      <c r="F8" s="123"/>
      <c r="G8" s="123"/>
      <c r="H8" s="123"/>
      <c r="I8" s="124"/>
    </row>
    <row r="9" spans="1:9" x14ac:dyDescent="0.25">
      <c r="A9" s="254" t="s">
        <v>2842</v>
      </c>
      <c r="B9" s="255"/>
      <c r="C9" s="123" t="s">
        <v>2674</v>
      </c>
      <c r="D9" s="123"/>
      <c r="E9" s="123"/>
      <c r="F9" s="123"/>
      <c r="G9" s="123"/>
      <c r="H9" s="123"/>
      <c r="I9" s="124"/>
    </row>
    <row r="10" spans="1:9" x14ac:dyDescent="0.25">
      <c r="A10" s="254" t="s">
        <v>2844</v>
      </c>
      <c r="B10" s="255"/>
      <c r="C10" s="123" t="s">
        <v>3251</v>
      </c>
      <c r="D10" s="123"/>
      <c r="E10" s="123"/>
      <c r="F10" s="123"/>
      <c r="G10" s="123"/>
      <c r="H10" s="123"/>
      <c r="I10" s="124"/>
    </row>
    <row r="11" spans="1:9" x14ac:dyDescent="0.25">
      <c r="A11" s="245" t="s">
        <v>2846</v>
      </c>
      <c r="B11" s="246"/>
      <c r="C11" s="125"/>
      <c r="D11" s="125"/>
      <c r="E11" s="125"/>
      <c r="F11" s="164" t="s">
        <v>3252</v>
      </c>
      <c r="G11" s="125"/>
      <c r="H11" s="125"/>
      <c r="I11" s="126"/>
    </row>
    <row r="12" spans="1:9" x14ac:dyDescent="0.25">
      <c r="A12" s="127"/>
      <c r="B12" s="127"/>
      <c r="C12" s="127"/>
      <c r="D12" s="127"/>
      <c r="E12" s="127"/>
      <c r="F12" s="127"/>
      <c r="G12" s="127"/>
      <c r="H12" s="127"/>
      <c r="I12" s="127"/>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28"/>
      <c r="B20" s="128"/>
      <c r="C20" s="128"/>
      <c r="D20" s="128"/>
      <c r="E20" s="128"/>
      <c r="F20" s="128"/>
      <c r="G20" s="128"/>
      <c r="H20" s="128"/>
      <c r="I20" s="128"/>
    </row>
    <row r="21" spans="1:9" x14ac:dyDescent="0.25">
      <c r="A21" s="136" t="s">
        <v>2852</v>
      </c>
      <c r="B21" s="123"/>
      <c r="C21" s="123"/>
      <c r="D21" s="123"/>
      <c r="E21" s="123"/>
      <c r="F21" s="123"/>
      <c r="G21" s="123"/>
      <c r="H21" s="123"/>
      <c r="I21" s="123"/>
    </row>
    <row r="22" spans="1:9" x14ac:dyDescent="0.25">
      <c r="A22" s="136" t="s">
        <v>2853</v>
      </c>
      <c r="B22" s="123"/>
      <c r="C22" s="123"/>
      <c r="D22" s="137" t="s">
        <v>2854</v>
      </c>
      <c r="E22" s="138"/>
      <c r="F22" s="138" t="s">
        <v>155</v>
      </c>
      <c r="G22" s="138"/>
      <c r="H22" s="138"/>
      <c r="I22" s="138"/>
    </row>
    <row r="23" spans="1:9" x14ac:dyDescent="0.25">
      <c r="A23" s="136" t="s">
        <v>2855</v>
      </c>
      <c r="B23" s="123"/>
      <c r="C23" s="123"/>
      <c r="D23" s="256">
        <f>89365*2</f>
        <v>178730</v>
      </c>
      <c r="E23" s="257"/>
      <c r="F23" s="257"/>
      <c r="G23" s="257"/>
      <c r="H23" s="257"/>
      <c r="I23" s="138"/>
    </row>
    <row r="24" spans="1:9" x14ac:dyDescent="0.25">
      <c r="A24" s="136" t="s">
        <v>2856</v>
      </c>
      <c r="B24" s="123"/>
      <c r="C24" s="123"/>
      <c r="D24" s="137"/>
      <c r="E24" s="138"/>
      <c r="F24" s="138"/>
      <c r="G24" s="138"/>
      <c r="H24" s="138"/>
      <c r="I24" s="138"/>
    </row>
    <row r="25" spans="1:9" x14ac:dyDescent="0.25">
      <c r="A25" s="136" t="s">
        <v>2857</v>
      </c>
      <c r="B25" s="123"/>
      <c r="C25" s="123"/>
      <c r="D25" s="137">
        <v>1043</v>
      </c>
      <c r="E25" s="138"/>
      <c r="F25" s="138"/>
      <c r="G25" s="138"/>
      <c r="H25" s="138"/>
      <c r="I25" s="138"/>
    </row>
    <row r="26" spans="1:9" x14ac:dyDescent="0.25">
      <c r="A26" s="136" t="s">
        <v>2858</v>
      </c>
      <c r="B26" s="123"/>
      <c r="C26" s="123"/>
      <c r="D26" s="137" t="s">
        <v>3065</v>
      </c>
      <c r="E26" s="138"/>
      <c r="F26" s="138"/>
      <c r="G26" s="138"/>
      <c r="H26" s="138"/>
      <c r="I26" s="138"/>
    </row>
    <row r="27" spans="1:9" x14ac:dyDescent="0.25">
      <c r="A27" s="136" t="s">
        <v>2859</v>
      </c>
      <c r="B27" s="123"/>
      <c r="C27" s="123"/>
      <c r="D27" s="137">
        <v>0</v>
      </c>
      <c r="E27" s="138"/>
      <c r="F27" s="138"/>
      <c r="G27" s="138"/>
      <c r="H27" s="138"/>
      <c r="I27" s="138"/>
    </row>
    <row r="28" spans="1:9" x14ac:dyDescent="0.25">
      <c r="A28" s="136" t="s">
        <v>2860</v>
      </c>
      <c r="B28" s="123"/>
      <c r="C28" s="123"/>
      <c r="D28" s="137" t="s">
        <v>3227</v>
      </c>
      <c r="E28" s="138"/>
      <c r="F28" s="138"/>
      <c r="G28" s="138"/>
      <c r="H28" s="138"/>
      <c r="I28" s="138"/>
    </row>
    <row r="29" spans="1:9" x14ac:dyDescent="0.25">
      <c r="A29" s="129" t="b">
        <v>0</v>
      </c>
      <c r="B29" s="123" t="s">
        <v>2861</v>
      </c>
      <c r="C29" s="123"/>
      <c r="D29" s="123"/>
      <c r="E29" s="129" t="b">
        <v>0</v>
      </c>
      <c r="F29" s="123" t="s">
        <v>2862</v>
      </c>
      <c r="G29" s="123"/>
      <c r="H29" s="123"/>
      <c r="I29" s="123"/>
    </row>
    <row r="30" spans="1:9" x14ac:dyDescent="0.25">
      <c r="A30" s="129" t="b">
        <v>0</v>
      </c>
      <c r="B30" s="123" t="s">
        <v>2863</v>
      </c>
      <c r="C30" s="123"/>
      <c r="D30" s="123"/>
      <c r="E30" s="129"/>
      <c r="F30" s="123" t="s">
        <v>2864</v>
      </c>
      <c r="G30" s="123"/>
      <c r="H30" s="123"/>
      <c r="I30" s="123"/>
    </row>
    <row r="31" spans="1:9" x14ac:dyDescent="0.25">
      <c r="A31" s="129"/>
      <c r="B31" s="123" t="s">
        <v>2865</v>
      </c>
      <c r="C31" s="123"/>
      <c r="D31" s="123"/>
      <c r="E31" s="129"/>
      <c r="F31" s="123" t="s">
        <v>2866</v>
      </c>
      <c r="G31" s="123"/>
      <c r="H31" s="123"/>
      <c r="I31" s="123"/>
    </row>
    <row r="32" spans="1:9" x14ac:dyDescent="0.25">
      <c r="A32" s="129"/>
      <c r="B32" s="123" t="s">
        <v>2867</v>
      </c>
      <c r="C32" s="123"/>
      <c r="D32" s="123"/>
      <c r="E32" s="123"/>
      <c r="F32" s="123"/>
      <c r="G32" s="123"/>
      <c r="H32" s="123"/>
      <c r="I32" s="143"/>
    </row>
    <row r="33" spans="1:9" x14ac:dyDescent="0.25">
      <c r="A33" s="247" t="s">
        <v>2868</v>
      </c>
      <c r="B33" s="247"/>
      <c r="C33" s="247"/>
      <c r="D33" s="247"/>
      <c r="E33" s="247"/>
      <c r="F33" s="247"/>
      <c r="G33" s="247"/>
      <c r="H33" s="247"/>
      <c r="I33" s="247"/>
    </row>
    <row r="34" spans="1:9" x14ac:dyDescent="0.25">
      <c r="A34" s="129"/>
      <c r="B34" s="123" t="s">
        <v>2869</v>
      </c>
      <c r="C34" s="123"/>
      <c r="D34" s="123"/>
      <c r="E34" s="129" t="b">
        <v>0</v>
      </c>
      <c r="F34" s="123" t="s">
        <v>2870</v>
      </c>
      <c r="G34" s="123"/>
      <c r="H34" s="123"/>
      <c r="I34" s="123"/>
    </row>
    <row r="35" spans="1:9" x14ac:dyDescent="0.25">
      <c r="A35" s="129"/>
      <c r="B35" s="123" t="s">
        <v>2872</v>
      </c>
      <c r="C35" s="123"/>
      <c r="D35" s="123"/>
      <c r="E35" s="129"/>
      <c r="F35" s="123" t="s">
        <v>2873</v>
      </c>
      <c r="G35" s="123"/>
      <c r="H35" s="123"/>
      <c r="I35" s="123"/>
    </row>
    <row r="36" spans="1:9" x14ac:dyDescent="0.25">
      <c r="A36" s="129"/>
      <c r="B36" s="123" t="s">
        <v>2875</v>
      </c>
      <c r="C36" s="123"/>
      <c r="D36" s="123"/>
      <c r="E36" s="129"/>
      <c r="F36" s="123" t="s">
        <v>2876</v>
      </c>
      <c r="G36" s="123"/>
      <c r="H36" s="123"/>
      <c r="I36" s="123"/>
    </row>
    <row r="37" spans="1:9" x14ac:dyDescent="0.25">
      <c r="A37" s="129"/>
      <c r="B37" s="123" t="s">
        <v>2878</v>
      </c>
      <c r="C37" s="123"/>
      <c r="D37" s="123"/>
      <c r="E37" s="129"/>
      <c r="F37" s="123" t="s">
        <v>3228</v>
      </c>
      <c r="G37" s="123"/>
      <c r="H37" s="123"/>
      <c r="I37" s="123"/>
    </row>
    <row r="38" spans="1:9" ht="15.75" thickBot="1" x14ac:dyDescent="0.3">
      <c r="A38" s="130" t="b">
        <v>0</v>
      </c>
      <c r="B38" s="131" t="s">
        <v>2881</v>
      </c>
      <c r="C38" s="131"/>
      <c r="D38" s="131"/>
      <c r="E38" s="131"/>
      <c r="F38" s="131"/>
      <c r="G38" s="131"/>
      <c r="H38" s="131"/>
      <c r="I38" s="144"/>
    </row>
    <row r="39" spans="1:9" ht="15.75" thickTop="1" x14ac:dyDescent="0.25">
      <c r="A39" s="141"/>
      <c r="B39" s="142" t="s">
        <v>2882</v>
      </c>
      <c r="C39" s="142"/>
      <c r="D39" s="142"/>
      <c r="E39" s="142"/>
      <c r="F39" s="142"/>
      <c r="G39" s="142"/>
      <c r="H39" s="142"/>
      <c r="I39" s="145"/>
    </row>
    <row r="40" spans="1:9" x14ac:dyDescent="0.25">
      <c r="A40" s="129"/>
      <c r="B40" s="123" t="s">
        <v>1726</v>
      </c>
      <c r="C40" s="123"/>
      <c r="D40" s="123"/>
      <c r="E40" s="123"/>
      <c r="F40" s="123"/>
      <c r="G40" s="123"/>
      <c r="H40" s="123"/>
      <c r="I40" s="143"/>
    </row>
    <row r="41" spans="1:9" x14ac:dyDescent="0.25">
      <c r="A41" s="129" t="b">
        <v>0</v>
      </c>
      <c r="B41" s="123" t="s">
        <v>3030</v>
      </c>
      <c r="C41" s="123"/>
      <c r="D41" s="123"/>
      <c r="E41" s="123"/>
      <c r="F41" s="123"/>
      <c r="G41" s="123"/>
      <c r="H41" s="123"/>
      <c r="I41" s="123"/>
    </row>
    <row r="42" spans="1:9" x14ac:dyDescent="0.25">
      <c r="A42" s="129"/>
      <c r="B42" s="123" t="s">
        <v>2884</v>
      </c>
      <c r="C42" s="123"/>
      <c r="D42" s="123"/>
      <c r="E42" s="123"/>
      <c r="F42" s="123"/>
      <c r="G42" s="123"/>
      <c r="H42" s="123"/>
      <c r="I42" s="143"/>
    </row>
    <row r="43" spans="1:9" x14ac:dyDescent="0.25">
      <c r="A43" s="129" t="b">
        <v>0</v>
      </c>
      <c r="B43" s="123" t="s">
        <v>2885</v>
      </c>
      <c r="C43" s="123"/>
      <c r="D43" s="123"/>
      <c r="E43" s="123"/>
      <c r="F43" s="123"/>
      <c r="G43" s="123"/>
      <c r="H43" s="123"/>
      <c r="I43" s="14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c r="B49" s="123" t="s">
        <v>2892</v>
      </c>
      <c r="C49" s="123"/>
      <c r="D49" s="123"/>
      <c r="E49" s="123"/>
      <c r="F49" s="123"/>
      <c r="G49" s="123"/>
      <c r="H49" s="123"/>
      <c r="I49" s="123"/>
    </row>
    <row r="50" spans="1:9" x14ac:dyDescent="0.25">
      <c r="A50" s="129"/>
      <c r="B50" s="123" t="s">
        <v>3020</v>
      </c>
      <c r="C50" s="123"/>
      <c r="D50" s="123"/>
      <c r="E50" s="123"/>
      <c r="F50" s="123"/>
      <c r="G50" s="123"/>
      <c r="H50" s="123"/>
      <c r="I50" s="123"/>
    </row>
    <row r="51" spans="1:9" x14ac:dyDescent="0.25">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5377"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1125378"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1125379"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1125380"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1125381"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1125382"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1125383"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1125384"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1125385"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1125386"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1125387"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1125388"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125389"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1125390"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1125391"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1125392"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1125393"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1125394"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1125395"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1125396"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1125397"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1125398"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1125399"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1125400"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1125401"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1125402"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1125403"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1125404"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1125405"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1125406"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1125407"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1125408"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52"/>
  <dimension ref="A1:I51"/>
  <sheetViews>
    <sheetView workbookViewId="0">
      <selection activeCell="I31" sqref="I31"/>
    </sheetView>
  </sheetViews>
  <sheetFormatPr defaultRowHeight="15" x14ac:dyDescent="0.25"/>
  <cols>
    <col min="9" max="9" width="14.140625" customWidth="1"/>
  </cols>
  <sheetData>
    <row r="1" spans="1:9" ht="15.75" thickBot="1" x14ac:dyDescent="0.3">
      <c r="A1" s="106" t="str" cm="1">
        <f t="array" aca="1" ref="A1" ca="1">MID(CELL("filename",A1),FIND("]",CELL("filename",A1))+1,256)</f>
        <v>BPA0062</v>
      </c>
    </row>
    <row r="2" spans="1:9" ht="15.75" customHeight="1" thickTop="1" x14ac:dyDescent="0.35">
      <c r="A2" s="248" t="str">
        <f ca="1">C5&amp;" - "&amp;C6&amp;" - "&amp;C8</f>
        <v>BPA0062 - Lucas Russell - 31 The Point, Mansfield 3722</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133"/>
      <c r="B4" s="133"/>
      <c r="C4" s="133"/>
      <c r="D4" s="133"/>
      <c r="E4" s="133"/>
      <c r="F4" s="133"/>
      <c r="G4" s="133"/>
      <c r="H4" s="133"/>
      <c r="I4" s="133"/>
    </row>
    <row r="5" spans="1:9" x14ac:dyDescent="0.25">
      <c r="A5" s="258" t="s">
        <v>2834</v>
      </c>
      <c r="B5" s="259"/>
      <c r="C5" s="134" t="str">
        <f ca="1">A1</f>
        <v>BPA0062</v>
      </c>
      <c r="D5" s="134"/>
      <c r="E5" s="134"/>
      <c r="F5" s="134"/>
      <c r="G5" s="134"/>
      <c r="H5" s="134"/>
      <c r="I5" s="135"/>
    </row>
    <row r="6" spans="1:9" x14ac:dyDescent="0.25">
      <c r="A6" s="254" t="s">
        <v>2835</v>
      </c>
      <c r="B6" s="255"/>
      <c r="C6" s="123" t="s">
        <v>88</v>
      </c>
      <c r="D6" s="123"/>
      <c r="E6" s="123"/>
      <c r="F6" s="123"/>
      <c r="G6" s="123"/>
      <c r="H6" s="123"/>
      <c r="I6" s="124"/>
    </row>
    <row r="7" spans="1:9" x14ac:dyDescent="0.25">
      <c r="A7" s="254" t="s">
        <v>2837</v>
      </c>
      <c r="B7" s="255"/>
      <c r="C7" s="123"/>
      <c r="D7" s="123"/>
      <c r="E7" s="123"/>
      <c r="F7" s="123"/>
      <c r="G7" s="123"/>
      <c r="H7" s="123"/>
      <c r="I7" s="124"/>
    </row>
    <row r="8" spans="1:9" x14ac:dyDescent="0.25">
      <c r="A8" s="254" t="s">
        <v>2840</v>
      </c>
      <c r="B8" s="255"/>
      <c r="C8" s="123" t="s">
        <v>3253</v>
      </c>
      <c r="D8" s="123"/>
      <c r="E8" s="123"/>
      <c r="F8" s="123"/>
      <c r="G8" s="123"/>
      <c r="H8" s="123"/>
      <c r="I8" s="124"/>
    </row>
    <row r="9" spans="1:9" x14ac:dyDescent="0.25">
      <c r="A9" s="254" t="s">
        <v>2842</v>
      </c>
      <c r="B9" s="255"/>
      <c r="C9" s="123"/>
      <c r="D9" s="123"/>
      <c r="E9" s="123"/>
      <c r="F9" s="123"/>
      <c r="G9" s="123"/>
      <c r="H9" s="123"/>
      <c r="I9" s="124"/>
    </row>
    <row r="10" spans="1:9" x14ac:dyDescent="0.25">
      <c r="A10" s="254" t="s">
        <v>2844</v>
      </c>
      <c r="B10" s="255"/>
      <c r="C10" s="123" t="s">
        <v>3254</v>
      </c>
      <c r="D10" s="123"/>
      <c r="E10" s="123"/>
      <c r="F10" s="123"/>
      <c r="G10" s="123"/>
      <c r="H10" s="123"/>
      <c r="I10" s="124"/>
    </row>
    <row r="11" spans="1:9" x14ac:dyDescent="0.25">
      <c r="A11" s="245" t="s">
        <v>2846</v>
      </c>
      <c r="B11" s="246"/>
      <c r="C11" s="125"/>
      <c r="D11" s="125"/>
      <c r="E11" s="125"/>
      <c r="F11" s="125"/>
      <c r="G11" s="125"/>
      <c r="H11" s="125"/>
      <c r="I11" s="126"/>
    </row>
    <row r="12" spans="1:9" x14ac:dyDescent="0.25">
      <c r="A12" s="127"/>
      <c r="B12" s="127"/>
      <c r="C12" s="127"/>
      <c r="D12" s="127"/>
      <c r="E12" s="127"/>
      <c r="F12" s="127"/>
      <c r="G12" s="127"/>
      <c r="H12" s="127"/>
      <c r="I12" s="127"/>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28"/>
      <c r="B20" s="128"/>
      <c r="C20" s="128"/>
      <c r="D20" s="128"/>
      <c r="E20" s="128"/>
      <c r="F20" s="128"/>
      <c r="G20" s="128"/>
      <c r="H20" s="128"/>
      <c r="I20" s="128"/>
    </row>
    <row r="21" spans="1:9" x14ac:dyDescent="0.25">
      <c r="A21" s="136" t="s">
        <v>2852</v>
      </c>
      <c r="B21" s="123"/>
      <c r="C21" s="123"/>
      <c r="D21" s="123"/>
      <c r="E21" s="123"/>
      <c r="F21" s="123"/>
      <c r="G21" s="123"/>
      <c r="H21" s="123"/>
      <c r="I21" s="123"/>
    </row>
    <row r="22" spans="1:9" x14ac:dyDescent="0.25">
      <c r="A22" s="136" t="s">
        <v>2853</v>
      </c>
      <c r="B22" s="123"/>
      <c r="C22" s="123"/>
      <c r="D22" s="137" t="s">
        <v>2854</v>
      </c>
      <c r="E22" s="138"/>
      <c r="F22" s="138" t="s">
        <v>3231</v>
      </c>
      <c r="G22" s="138"/>
      <c r="H22" s="138"/>
      <c r="I22" s="138"/>
    </row>
    <row r="23" spans="1:9" x14ac:dyDescent="0.25">
      <c r="A23" s="136" t="s">
        <v>2855</v>
      </c>
      <c r="B23" s="123"/>
      <c r="C23" s="123"/>
      <c r="D23" s="256">
        <f>22403.41*2</f>
        <v>44806.82</v>
      </c>
      <c r="E23" s="257"/>
      <c r="F23" s="257"/>
      <c r="G23" s="257"/>
      <c r="H23" s="257"/>
      <c r="I23" s="138"/>
    </row>
    <row r="24" spans="1:9" x14ac:dyDescent="0.25">
      <c r="A24" s="136" t="s">
        <v>2856</v>
      </c>
      <c r="B24" s="123"/>
      <c r="C24" s="123"/>
      <c r="D24" s="137"/>
      <c r="E24" s="138"/>
      <c r="F24" s="138"/>
      <c r="G24" s="138"/>
      <c r="H24" s="138"/>
      <c r="I24" s="138"/>
    </row>
    <row r="25" spans="1:9" x14ac:dyDescent="0.25">
      <c r="A25" s="136" t="s">
        <v>2857</v>
      </c>
      <c r="B25" s="123"/>
      <c r="C25" s="123"/>
      <c r="D25" s="137">
        <f>9*14</f>
        <v>126</v>
      </c>
      <c r="E25" s="138"/>
      <c r="F25" s="138"/>
      <c r="G25" s="138"/>
      <c r="H25" s="138"/>
      <c r="I25" s="138"/>
    </row>
    <row r="26" spans="1:9" x14ac:dyDescent="0.25">
      <c r="A26" s="136" t="s">
        <v>2858</v>
      </c>
      <c r="B26" s="123"/>
      <c r="C26" s="123"/>
      <c r="D26" s="137" t="s">
        <v>3065</v>
      </c>
      <c r="E26" s="138"/>
      <c r="F26" s="138"/>
      <c r="G26" s="138"/>
      <c r="H26" s="138"/>
      <c r="I26" s="138"/>
    </row>
    <row r="27" spans="1:9" x14ac:dyDescent="0.25">
      <c r="A27" s="136" t="s">
        <v>2859</v>
      </c>
      <c r="B27" s="123"/>
      <c r="C27" s="123"/>
      <c r="D27" s="137">
        <v>1</v>
      </c>
      <c r="E27" s="138"/>
      <c r="F27" s="138"/>
      <c r="G27" s="138"/>
      <c r="H27" s="138"/>
      <c r="I27" s="138"/>
    </row>
    <row r="28" spans="1:9" x14ac:dyDescent="0.25">
      <c r="A28" s="136" t="s">
        <v>2860</v>
      </c>
      <c r="B28" s="123"/>
      <c r="C28" s="123"/>
      <c r="D28" s="137" t="s">
        <v>3255</v>
      </c>
      <c r="E28" s="138"/>
      <c r="F28" s="138"/>
      <c r="G28" s="138"/>
      <c r="H28" s="138"/>
      <c r="I28" s="138"/>
    </row>
    <row r="29" spans="1:9" x14ac:dyDescent="0.25">
      <c r="A29" s="129" t="b">
        <v>1</v>
      </c>
      <c r="B29" s="123" t="s">
        <v>2861</v>
      </c>
      <c r="C29" s="123"/>
      <c r="D29" s="123"/>
      <c r="E29" s="129" t="b">
        <v>1</v>
      </c>
      <c r="F29" s="123" t="s">
        <v>2862</v>
      </c>
      <c r="G29" s="123"/>
      <c r="H29" s="123"/>
      <c r="I29" s="123"/>
    </row>
    <row r="30" spans="1:9" x14ac:dyDescent="0.25">
      <c r="A30" s="129" t="b">
        <v>1</v>
      </c>
      <c r="B30" s="123" t="s">
        <v>2863</v>
      </c>
      <c r="C30" s="123"/>
      <c r="D30" s="123"/>
      <c r="E30" s="129" t="b">
        <v>1</v>
      </c>
      <c r="F30" s="123" t="s">
        <v>2864</v>
      </c>
      <c r="G30" s="123"/>
      <c r="H30" s="123"/>
      <c r="I30" s="123" t="s">
        <v>3169</v>
      </c>
    </row>
    <row r="31" spans="1:9" x14ac:dyDescent="0.25">
      <c r="A31" s="129" t="b">
        <v>1</v>
      </c>
      <c r="B31" s="123" t="s">
        <v>2865</v>
      </c>
      <c r="C31" s="123"/>
      <c r="D31" s="123"/>
      <c r="E31" s="129" t="b">
        <v>1</v>
      </c>
      <c r="F31" s="123" t="s">
        <v>2866</v>
      </c>
      <c r="G31" s="123"/>
      <c r="H31" s="123"/>
      <c r="I31" s="123"/>
    </row>
    <row r="32" spans="1:9" x14ac:dyDescent="0.25">
      <c r="A32" s="129" t="b">
        <v>1</v>
      </c>
      <c r="B32" s="123" t="s">
        <v>2867</v>
      </c>
      <c r="C32" s="123"/>
      <c r="D32" s="123"/>
      <c r="E32" s="123"/>
      <c r="F32" s="123"/>
      <c r="G32" s="123"/>
      <c r="H32" s="123"/>
      <c r="I32" s="143">
        <v>45232</v>
      </c>
    </row>
    <row r="33" spans="1:9" x14ac:dyDescent="0.25">
      <c r="A33" s="247" t="s">
        <v>2868</v>
      </c>
      <c r="B33" s="247"/>
      <c r="C33" s="247"/>
      <c r="D33" s="247"/>
      <c r="E33" s="247"/>
      <c r="F33" s="247"/>
      <c r="G33" s="247"/>
      <c r="H33" s="247"/>
      <c r="I33" s="247"/>
    </row>
    <row r="34" spans="1:9" x14ac:dyDescent="0.25">
      <c r="A34" s="129" t="b">
        <v>1</v>
      </c>
      <c r="B34" s="123" t="s">
        <v>2869</v>
      </c>
      <c r="C34" s="123"/>
      <c r="D34" s="123"/>
      <c r="E34" s="129" t="b">
        <v>1</v>
      </c>
      <c r="F34" s="123" t="s">
        <v>2870</v>
      </c>
      <c r="G34" s="123"/>
      <c r="H34" s="123"/>
      <c r="I34" s="123"/>
    </row>
    <row r="35" spans="1:9" x14ac:dyDescent="0.25">
      <c r="A35" s="129" t="b">
        <v>1</v>
      </c>
      <c r="B35" s="123" t="s">
        <v>2872</v>
      </c>
      <c r="C35" s="123"/>
      <c r="D35" s="123"/>
      <c r="E35" s="129" t="b">
        <v>1</v>
      </c>
      <c r="F35" s="123" t="s">
        <v>2873</v>
      </c>
      <c r="G35" s="123"/>
      <c r="H35" s="123"/>
      <c r="I35" s="123"/>
    </row>
    <row r="36" spans="1:9" x14ac:dyDescent="0.25">
      <c r="A36" s="129" t="b">
        <v>1</v>
      </c>
      <c r="B36" s="123" t="s">
        <v>2875</v>
      </c>
      <c r="C36" s="123"/>
      <c r="D36" s="123"/>
      <c r="E36" s="129" t="b">
        <v>1</v>
      </c>
      <c r="F36" s="123" t="s">
        <v>2876</v>
      </c>
      <c r="G36" s="123"/>
      <c r="H36" s="123"/>
      <c r="I36" s="123"/>
    </row>
    <row r="37" spans="1:9" x14ac:dyDescent="0.25">
      <c r="A37" s="129" t="b">
        <v>1</v>
      </c>
      <c r="B37" s="123" t="s">
        <v>2878</v>
      </c>
      <c r="C37" s="123"/>
      <c r="D37" s="123"/>
      <c r="E37" s="129" t="b">
        <v>1</v>
      </c>
      <c r="F37" s="123" t="s">
        <v>3228</v>
      </c>
      <c r="G37" s="123"/>
      <c r="H37" s="123"/>
      <c r="I37" s="123"/>
    </row>
    <row r="38" spans="1:9" ht="15.75" thickBot="1" x14ac:dyDescent="0.3">
      <c r="A38" s="130" t="b">
        <v>0</v>
      </c>
      <c r="B38" s="131" t="s">
        <v>2881</v>
      </c>
      <c r="C38" s="131"/>
      <c r="D38" s="131"/>
      <c r="E38" s="131"/>
      <c r="F38" s="131"/>
      <c r="G38" s="131"/>
      <c r="H38" s="131"/>
      <c r="I38" s="144">
        <v>45232</v>
      </c>
    </row>
    <row r="39" spans="1:9" ht="15.75" thickTop="1" x14ac:dyDescent="0.25">
      <c r="A39" s="141"/>
      <c r="B39" s="142" t="s">
        <v>2882</v>
      </c>
      <c r="C39" s="142"/>
      <c r="D39" s="142"/>
      <c r="E39" s="142"/>
      <c r="F39" s="142"/>
      <c r="G39" s="142"/>
      <c r="H39" s="142"/>
      <c r="I39" s="145"/>
    </row>
    <row r="40" spans="1:9" x14ac:dyDescent="0.25">
      <c r="A40" s="129"/>
      <c r="B40" s="123" t="s">
        <v>1726</v>
      </c>
      <c r="C40" s="123"/>
      <c r="D40" s="123"/>
      <c r="E40" s="123"/>
      <c r="F40" s="123"/>
      <c r="G40" s="123"/>
      <c r="H40" s="123"/>
      <c r="I40" s="143"/>
    </row>
    <row r="41" spans="1:9" x14ac:dyDescent="0.25">
      <c r="A41" s="129" t="b">
        <v>0</v>
      </c>
      <c r="B41" s="123" t="s">
        <v>3030</v>
      </c>
      <c r="C41" s="123"/>
      <c r="D41" s="123"/>
      <c r="E41" s="123"/>
      <c r="F41" s="123"/>
      <c r="G41" s="123"/>
      <c r="H41" s="123"/>
      <c r="I41" s="123"/>
    </row>
    <row r="42" spans="1:9" x14ac:dyDescent="0.25">
      <c r="A42" s="129"/>
      <c r="B42" s="123" t="s">
        <v>2884</v>
      </c>
      <c r="C42" s="123"/>
      <c r="D42" s="123"/>
      <c r="E42" s="123"/>
      <c r="F42" s="123"/>
      <c r="G42" s="123"/>
      <c r="H42" s="123"/>
      <c r="I42" s="143"/>
    </row>
    <row r="43" spans="1:9" x14ac:dyDescent="0.25">
      <c r="A43" s="129" t="b">
        <v>0</v>
      </c>
      <c r="B43" s="123" t="s">
        <v>2885</v>
      </c>
      <c r="C43" s="123"/>
      <c r="D43" s="123"/>
      <c r="E43" s="123"/>
      <c r="F43" s="123"/>
      <c r="G43" s="123"/>
      <c r="H43" s="123"/>
      <c r="I43" s="143"/>
    </row>
    <row r="44" spans="1:9" x14ac:dyDescent="0.25">
      <c r="A44" s="129"/>
      <c r="B44" s="123" t="s">
        <v>3017</v>
      </c>
      <c r="C44" s="123"/>
      <c r="D44" s="123"/>
      <c r="E44" s="123"/>
      <c r="F44" s="123"/>
      <c r="G44" s="123"/>
      <c r="H44" s="123"/>
      <c r="I44" s="123"/>
    </row>
    <row r="45" spans="1:9" x14ac:dyDescent="0.25">
      <c r="A45" s="129"/>
      <c r="B45" s="123" t="s">
        <v>2888</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c r="B49" s="123" t="s">
        <v>2892</v>
      </c>
      <c r="C49" s="123"/>
      <c r="D49" s="123"/>
      <c r="E49" s="123"/>
      <c r="F49" s="123"/>
      <c r="G49" s="123"/>
      <c r="H49" s="123"/>
      <c r="I49" s="123"/>
    </row>
    <row r="50" spans="1:9" x14ac:dyDescent="0.25">
      <c r="A50" s="129"/>
      <c r="B50" s="123" t="s">
        <v>3020</v>
      </c>
      <c r="C50" s="123"/>
      <c r="D50" s="123"/>
      <c r="E50" s="123"/>
      <c r="F50" s="123"/>
      <c r="G50" s="123"/>
      <c r="H50" s="123"/>
      <c r="I50" s="123"/>
    </row>
    <row r="51" spans="1:9" x14ac:dyDescent="0.25">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5633"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965634"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965635"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965636"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965637"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965638"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965639"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965640"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965641"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965642"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965643"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965644"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965645"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965646"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965647"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965648"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965649"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965650"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965651"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965652"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965653"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965654"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965655"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965656"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965657"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965658"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965659"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965660"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965661"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965662"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965663"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965664"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33"/>
  <dimension ref="A1:I51"/>
  <sheetViews>
    <sheetView workbookViewId="0">
      <selection activeCell="L24" sqref="L24"/>
    </sheetView>
  </sheetViews>
  <sheetFormatPr defaultRowHeight="15" x14ac:dyDescent="0.25"/>
  <cols>
    <col min="9" max="9" width="14.140625" customWidth="1"/>
  </cols>
  <sheetData>
    <row r="1" spans="1:9" ht="15.75" thickBot="1" x14ac:dyDescent="0.3">
      <c r="A1" s="106" t="str" cm="1">
        <f t="array" aca="1" ref="A1" ca="1">MID(CELL("filename",A1),FIND("]",CELL("filename",A1))+1,256)</f>
        <v>BPA0046</v>
      </c>
    </row>
    <row r="2" spans="1:9" ht="15.75" customHeight="1" thickTop="1" x14ac:dyDescent="0.35">
      <c r="A2" s="248" t="str">
        <f ca="1">C5&amp;" - "&amp;C6&amp;" - "&amp;C8</f>
        <v>BPA0046 - Matt Jones - 3 Alexander Street</v>
      </c>
      <c r="B2" s="249"/>
      <c r="C2" s="249"/>
      <c r="D2" s="249"/>
      <c r="E2" s="249"/>
      <c r="F2" s="249"/>
      <c r="G2" s="250"/>
      <c r="H2" s="132"/>
    </row>
    <row r="3" spans="1:9" ht="15.75" customHeight="1" thickBot="1" x14ac:dyDescent="0.4">
      <c r="A3" s="251"/>
      <c r="B3" s="252"/>
      <c r="C3" s="252"/>
      <c r="D3" s="252"/>
      <c r="E3" s="252"/>
      <c r="F3" s="252"/>
      <c r="G3" s="253"/>
      <c r="H3" s="132"/>
    </row>
    <row r="4" spans="1:9" ht="15.75" thickTop="1" x14ac:dyDescent="0.25">
      <c r="A4" s="133"/>
      <c r="B4" s="133"/>
      <c r="C4" s="133"/>
      <c r="D4" s="133"/>
      <c r="E4" s="133"/>
      <c r="F4" s="133"/>
      <c r="G4" s="133"/>
      <c r="H4" s="133"/>
      <c r="I4" s="133"/>
    </row>
    <row r="5" spans="1:9" x14ac:dyDescent="0.25">
      <c r="A5" s="258" t="s">
        <v>2834</v>
      </c>
      <c r="B5" s="259"/>
      <c r="C5" s="134" t="str">
        <f ca="1">A1</f>
        <v>BPA0046</v>
      </c>
      <c r="D5" s="134"/>
      <c r="E5" s="134"/>
      <c r="F5" s="134"/>
      <c r="G5" s="134"/>
      <c r="H5" s="134"/>
      <c r="I5" s="135"/>
    </row>
    <row r="6" spans="1:9" x14ac:dyDescent="0.25">
      <c r="A6" s="254" t="s">
        <v>2835</v>
      </c>
      <c r="B6" s="255"/>
      <c r="C6" s="123" t="s">
        <v>2797</v>
      </c>
      <c r="D6" s="123"/>
      <c r="E6" s="123"/>
      <c r="F6" s="123"/>
      <c r="G6" s="123"/>
      <c r="H6" s="123"/>
      <c r="I6" s="124"/>
    </row>
    <row r="7" spans="1:9" x14ac:dyDescent="0.25">
      <c r="A7" s="254" t="s">
        <v>2837</v>
      </c>
      <c r="B7" s="255"/>
      <c r="C7" s="123"/>
      <c r="D7" s="123"/>
      <c r="E7" s="123"/>
      <c r="F7" s="123"/>
      <c r="G7" s="123"/>
      <c r="H7" s="123"/>
      <c r="I7" s="124"/>
    </row>
    <row r="8" spans="1:9" x14ac:dyDescent="0.25">
      <c r="A8" s="254" t="s">
        <v>2840</v>
      </c>
      <c r="B8" s="255"/>
      <c r="C8" s="123" t="s">
        <v>83</v>
      </c>
      <c r="D8" s="123"/>
      <c r="E8" s="123"/>
      <c r="F8" s="123"/>
      <c r="G8" s="123"/>
      <c r="H8" s="123"/>
      <c r="I8" s="124"/>
    </row>
    <row r="9" spans="1:9" x14ac:dyDescent="0.25">
      <c r="A9" s="254" t="s">
        <v>2842</v>
      </c>
      <c r="B9" s="255"/>
      <c r="C9" s="123" t="s">
        <v>82</v>
      </c>
      <c r="D9" s="123"/>
      <c r="E9" s="123"/>
      <c r="F9" s="123"/>
      <c r="G9" s="123"/>
      <c r="H9" s="123"/>
      <c r="I9" s="124"/>
    </row>
    <row r="10" spans="1:9" x14ac:dyDescent="0.25">
      <c r="A10" s="254" t="s">
        <v>2844</v>
      </c>
      <c r="B10" s="255"/>
      <c r="C10" s="123" t="s">
        <v>3256</v>
      </c>
      <c r="D10" s="123"/>
      <c r="E10" s="123"/>
      <c r="F10" s="123"/>
      <c r="G10" s="123"/>
      <c r="H10" s="123"/>
      <c r="I10" s="124"/>
    </row>
    <row r="11" spans="1:9" x14ac:dyDescent="0.25">
      <c r="A11" s="245" t="s">
        <v>2846</v>
      </c>
      <c r="B11" s="246"/>
      <c r="C11" s="125"/>
      <c r="D11" s="125"/>
      <c r="E11" s="125"/>
      <c r="F11" s="125"/>
      <c r="G11" s="125"/>
      <c r="H11" s="125"/>
      <c r="I11" s="126"/>
    </row>
    <row r="12" spans="1:9" x14ac:dyDescent="0.25">
      <c r="A12" s="127"/>
      <c r="B12" s="127"/>
      <c r="C12" s="127"/>
      <c r="D12" s="127"/>
      <c r="E12" s="127"/>
      <c r="F12" s="127"/>
      <c r="G12" s="127"/>
      <c r="H12" s="127"/>
      <c r="I12" s="127"/>
    </row>
    <row r="13" spans="1:9" x14ac:dyDescent="0.25">
      <c r="A13" s="128"/>
      <c r="B13" s="128"/>
      <c r="C13" s="128"/>
      <c r="D13" s="128"/>
      <c r="E13" s="128"/>
      <c r="F13" s="128"/>
      <c r="G13" s="128"/>
      <c r="H13" s="128"/>
      <c r="I13" s="128"/>
    </row>
    <row r="14" spans="1:9" x14ac:dyDescent="0.25">
      <c r="A14" s="128"/>
      <c r="B14" s="128"/>
      <c r="C14" s="128"/>
      <c r="D14" s="128"/>
      <c r="E14" s="128"/>
      <c r="F14" s="128"/>
      <c r="G14" s="128"/>
      <c r="H14" s="128"/>
      <c r="I14" s="128"/>
    </row>
    <row r="15" spans="1:9" x14ac:dyDescent="0.25">
      <c r="A15" s="128"/>
      <c r="B15" s="128"/>
      <c r="C15" s="128"/>
      <c r="D15" s="128"/>
      <c r="E15" s="128"/>
      <c r="F15" s="128"/>
      <c r="G15" s="128"/>
      <c r="H15" s="128"/>
      <c r="I15" s="128"/>
    </row>
    <row r="16" spans="1:9" x14ac:dyDescent="0.25">
      <c r="A16" s="128"/>
      <c r="B16" s="128"/>
      <c r="C16" s="128"/>
      <c r="D16" s="128"/>
      <c r="E16" s="128"/>
      <c r="F16" s="128"/>
      <c r="G16" s="128"/>
      <c r="H16" s="128"/>
      <c r="I16" s="128"/>
    </row>
    <row r="17" spans="1:9" x14ac:dyDescent="0.25">
      <c r="A17" s="128"/>
      <c r="B17" s="128"/>
      <c r="C17" s="128"/>
      <c r="D17" s="128"/>
      <c r="E17" s="128"/>
      <c r="F17" s="128"/>
      <c r="G17" s="128"/>
      <c r="H17" s="128"/>
      <c r="I17" s="128"/>
    </row>
    <row r="18" spans="1:9" x14ac:dyDescent="0.25">
      <c r="A18" s="128"/>
      <c r="B18" s="128"/>
      <c r="C18" s="128"/>
      <c r="D18" s="128"/>
      <c r="E18" s="128"/>
      <c r="F18" s="128"/>
      <c r="G18" s="128"/>
      <c r="H18" s="128"/>
      <c r="I18" s="128"/>
    </row>
    <row r="19" spans="1:9" x14ac:dyDescent="0.25">
      <c r="A19" s="128"/>
      <c r="B19" s="128"/>
      <c r="C19" s="128"/>
      <c r="D19" s="128"/>
      <c r="E19" s="128"/>
      <c r="F19" s="128"/>
      <c r="G19" s="128"/>
      <c r="H19" s="128"/>
      <c r="I19" s="128"/>
    </row>
    <row r="20" spans="1:9" x14ac:dyDescent="0.25">
      <c r="A20" s="128"/>
      <c r="B20" s="128"/>
      <c r="C20" s="128"/>
      <c r="D20" s="128"/>
      <c r="E20" s="128"/>
      <c r="F20" s="128"/>
      <c r="G20" s="128"/>
      <c r="H20" s="128"/>
      <c r="I20" s="128"/>
    </row>
    <row r="21" spans="1:9" x14ac:dyDescent="0.25">
      <c r="A21" s="136" t="s">
        <v>2852</v>
      </c>
      <c r="B21" s="123"/>
      <c r="C21" s="123"/>
      <c r="D21" s="123"/>
      <c r="E21" s="123"/>
      <c r="F21" s="123"/>
      <c r="G21" s="123"/>
      <c r="H21" s="123"/>
      <c r="I21" s="123"/>
    </row>
    <row r="22" spans="1:9" x14ac:dyDescent="0.25">
      <c r="A22" s="136" t="s">
        <v>2853</v>
      </c>
      <c r="B22" s="123"/>
      <c r="C22" s="123"/>
      <c r="D22" s="137" t="s">
        <v>2854</v>
      </c>
      <c r="E22" s="138"/>
      <c r="F22" s="138" t="s">
        <v>3231</v>
      </c>
      <c r="G22" s="138"/>
      <c r="H22" s="138"/>
      <c r="I22" s="138"/>
    </row>
    <row r="23" spans="1:9" x14ac:dyDescent="0.25">
      <c r="A23" s="136" t="s">
        <v>2855</v>
      </c>
      <c r="B23" s="123"/>
      <c r="C23" s="123"/>
      <c r="D23" s="256">
        <v>53170</v>
      </c>
      <c r="E23" s="257"/>
      <c r="F23" s="257"/>
      <c r="G23" s="257"/>
      <c r="H23" s="257"/>
      <c r="I23" s="138"/>
    </row>
    <row r="24" spans="1:9" x14ac:dyDescent="0.25">
      <c r="A24" s="136" t="s">
        <v>2856</v>
      </c>
      <c r="B24" s="123"/>
      <c r="C24" s="123"/>
      <c r="D24" s="137"/>
      <c r="E24" s="138"/>
      <c r="F24" s="138"/>
      <c r="G24" s="138"/>
      <c r="H24" s="138"/>
      <c r="I24" s="138"/>
    </row>
    <row r="25" spans="1:9" x14ac:dyDescent="0.25">
      <c r="A25" s="136" t="s">
        <v>2857</v>
      </c>
      <c r="B25" s="123"/>
      <c r="C25" s="123"/>
      <c r="D25" s="137">
        <f>9*12</f>
        <v>108</v>
      </c>
      <c r="E25" s="138"/>
      <c r="F25" s="138"/>
      <c r="G25" s="138"/>
      <c r="H25" s="138"/>
      <c r="I25" s="138"/>
    </row>
    <row r="26" spans="1:9" x14ac:dyDescent="0.25">
      <c r="A26" s="136" t="s">
        <v>2858</v>
      </c>
      <c r="B26" s="123"/>
      <c r="C26" s="123"/>
      <c r="D26" s="137" t="s">
        <v>3065</v>
      </c>
      <c r="E26" s="138"/>
      <c r="F26" s="138"/>
      <c r="G26" s="138"/>
      <c r="H26" s="138"/>
      <c r="I26" s="138"/>
    </row>
    <row r="27" spans="1:9" x14ac:dyDescent="0.25">
      <c r="A27" s="136" t="s">
        <v>2859</v>
      </c>
      <c r="B27" s="123"/>
      <c r="C27" s="123"/>
      <c r="D27" s="137">
        <v>1</v>
      </c>
      <c r="E27" s="138"/>
      <c r="F27" s="138"/>
      <c r="G27" s="138"/>
      <c r="H27" s="138"/>
      <c r="I27" s="138"/>
    </row>
    <row r="28" spans="1:9" x14ac:dyDescent="0.25">
      <c r="A28" s="136" t="s">
        <v>2860</v>
      </c>
      <c r="B28" s="123"/>
      <c r="C28" s="123"/>
      <c r="D28" s="137" t="s">
        <v>3187</v>
      </c>
      <c r="E28" s="138"/>
      <c r="F28" s="138"/>
      <c r="G28" s="138"/>
      <c r="H28" s="138"/>
      <c r="I28" s="138"/>
    </row>
    <row r="29" spans="1:9" x14ac:dyDescent="0.25">
      <c r="A29" s="129" t="b">
        <v>1</v>
      </c>
      <c r="B29" s="123" t="s">
        <v>2861</v>
      </c>
      <c r="C29" s="123"/>
      <c r="D29" s="123"/>
      <c r="E29" s="129"/>
      <c r="F29" s="123" t="s">
        <v>2862</v>
      </c>
      <c r="G29" s="123"/>
      <c r="H29" s="123"/>
      <c r="I29" s="123"/>
    </row>
    <row r="30" spans="1:9" x14ac:dyDescent="0.25">
      <c r="A30" s="129" t="b">
        <v>1</v>
      </c>
      <c r="B30" s="123" t="s">
        <v>2863</v>
      </c>
      <c r="C30" s="123"/>
      <c r="D30" s="123"/>
      <c r="E30" s="129" t="b">
        <v>1</v>
      </c>
      <c r="F30" s="123" t="s">
        <v>2864</v>
      </c>
      <c r="G30" s="123"/>
      <c r="H30" s="123"/>
      <c r="I30" s="123"/>
    </row>
    <row r="31" spans="1:9" x14ac:dyDescent="0.25">
      <c r="A31" s="129" t="b">
        <v>1</v>
      </c>
      <c r="B31" s="123" t="s">
        <v>2865</v>
      </c>
      <c r="C31" s="123"/>
      <c r="D31" s="123"/>
      <c r="E31" s="129" t="b">
        <v>1</v>
      </c>
      <c r="F31" s="123" t="s">
        <v>2866</v>
      </c>
      <c r="G31" s="123"/>
      <c r="H31" s="123"/>
      <c r="I31" s="123"/>
    </row>
    <row r="32" spans="1:9" x14ac:dyDescent="0.25">
      <c r="A32" s="129"/>
      <c r="B32" s="123" t="s">
        <v>2867</v>
      </c>
      <c r="C32" s="123"/>
      <c r="D32" s="123"/>
      <c r="E32" s="123"/>
      <c r="F32" s="123"/>
      <c r="G32" s="123"/>
      <c r="H32" s="123"/>
      <c r="I32" s="143">
        <v>45187</v>
      </c>
    </row>
    <row r="33" spans="1:9" x14ac:dyDescent="0.25">
      <c r="A33" s="247" t="s">
        <v>2868</v>
      </c>
      <c r="B33" s="247"/>
      <c r="C33" s="247"/>
      <c r="D33" s="247"/>
      <c r="E33" s="247"/>
      <c r="F33" s="247"/>
      <c r="G33" s="247"/>
      <c r="H33" s="247"/>
      <c r="I33" s="247"/>
    </row>
    <row r="34" spans="1:9" x14ac:dyDescent="0.25">
      <c r="A34" s="129" t="b">
        <v>1</v>
      </c>
      <c r="B34" s="123" t="s">
        <v>2869</v>
      </c>
      <c r="C34" s="123"/>
      <c r="D34" s="123"/>
      <c r="E34" s="129" t="b">
        <v>1</v>
      </c>
      <c r="F34" s="123" t="s">
        <v>2870</v>
      </c>
      <c r="G34" s="123"/>
      <c r="H34" s="123"/>
      <c r="I34" s="123"/>
    </row>
    <row r="35" spans="1:9" x14ac:dyDescent="0.25">
      <c r="A35" s="129" t="b">
        <v>1</v>
      </c>
      <c r="B35" s="123" t="s">
        <v>2872</v>
      </c>
      <c r="C35" s="123"/>
      <c r="D35" s="123"/>
      <c r="E35" s="129" t="b">
        <v>1</v>
      </c>
      <c r="F35" s="123" t="s">
        <v>2873</v>
      </c>
      <c r="G35" s="123"/>
      <c r="H35" s="123"/>
      <c r="I35" s="123"/>
    </row>
    <row r="36" spans="1:9" x14ac:dyDescent="0.25">
      <c r="A36" s="129" t="b">
        <v>1</v>
      </c>
      <c r="B36" s="123" t="s">
        <v>2875</v>
      </c>
      <c r="C36" s="123"/>
      <c r="D36" s="123"/>
      <c r="E36" s="129" t="b">
        <v>1</v>
      </c>
      <c r="F36" s="123" t="s">
        <v>2876</v>
      </c>
      <c r="G36" s="123"/>
      <c r="H36" s="123"/>
      <c r="I36" s="123"/>
    </row>
    <row r="37" spans="1:9" x14ac:dyDescent="0.25">
      <c r="A37" s="129" t="b">
        <v>1</v>
      </c>
      <c r="B37" s="123" t="s">
        <v>2878</v>
      </c>
      <c r="C37" s="123"/>
      <c r="D37" s="123"/>
      <c r="E37" s="129" t="b">
        <v>1</v>
      </c>
      <c r="F37" s="123" t="s">
        <v>3228</v>
      </c>
      <c r="G37" s="123"/>
      <c r="H37" s="123"/>
      <c r="I37" s="123"/>
    </row>
    <row r="38" spans="1:9" ht="15.75" thickBot="1" x14ac:dyDescent="0.3">
      <c r="A38" s="130" t="b">
        <v>0</v>
      </c>
      <c r="B38" s="131" t="s">
        <v>2881</v>
      </c>
      <c r="C38" s="131"/>
      <c r="D38" s="131"/>
      <c r="E38" s="131"/>
      <c r="F38" s="131"/>
      <c r="G38" s="131"/>
      <c r="H38" s="131"/>
      <c r="I38" s="144">
        <v>45187</v>
      </c>
    </row>
    <row r="39" spans="1:9" ht="15.75" thickTop="1" x14ac:dyDescent="0.25">
      <c r="A39" s="141"/>
      <c r="B39" s="142" t="s">
        <v>2882</v>
      </c>
      <c r="C39" s="142"/>
      <c r="D39" s="142"/>
      <c r="E39" s="142"/>
      <c r="F39" s="142"/>
      <c r="G39" s="142"/>
      <c r="H39" s="142"/>
      <c r="I39" s="145">
        <v>45251</v>
      </c>
    </row>
    <row r="40" spans="1:9" x14ac:dyDescent="0.25">
      <c r="A40" s="129"/>
      <c r="B40" s="123" t="s">
        <v>1726</v>
      </c>
      <c r="C40" s="123"/>
      <c r="D40" s="123"/>
      <c r="E40" s="123"/>
      <c r="F40" s="123"/>
      <c r="G40" s="123"/>
      <c r="H40" s="123"/>
      <c r="I40" s="143"/>
    </row>
    <row r="41" spans="1:9" x14ac:dyDescent="0.25">
      <c r="A41" s="129" t="b">
        <v>0</v>
      </c>
      <c r="B41" s="123" t="s">
        <v>3030</v>
      </c>
      <c r="C41" s="123"/>
      <c r="D41" s="123"/>
      <c r="E41" s="123"/>
      <c r="F41" s="123"/>
      <c r="G41" s="123"/>
      <c r="H41" s="123"/>
      <c r="I41" s="123"/>
    </row>
    <row r="42" spans="1:9" x14ac:dyDescent="0.25">
      <c r="A42" s="129"/>
      <c r="B42" s="123" t="s">
        <v>2884</v>
      </c>
      <c r="C42" s="123"/>
      <c r="D42" s="123"/>
      <c r="E42" s="123"/>
      <c r="F42" s="123"/>
      <c r="G42" s="123"/>
      <c r="H42" s="123"/>
      <c r="I42" s="143"/>
    </row>
    <row r="43" spans="1:9" x14ac:dyDescent="0.25">
      <c r="A43" s="129" t="b">
        <v>0</v>
      </c>
      <c r="B43" s="123" t="s">
        <v>2885</v>
      </c>
      <c r="C43" s="123"/>
      <c r="D43" s="123"/>
      <c r="E43" s="123"/>
      <c r="F43" s="123"/>
      <c r="G43" s="123"/>
      <c r="H43" s="123"/>
      <c r="I43" s="143"/>
    </row>
    <row r="44" spans="1:9" x14ac:dyDescent="0.25">
      <c r="A44" s="129"/>
      <c r="B44" s="123" t="s">
        <v>3017</v>
      </c>
      <c r="C44" s="123"/>
      <c r="D44" s="123"/>
      <c r="E44" s="123"/>
      <c r="F44" s="123"/>
      <c r="G44" s="123"/>
      <c r="H44" s="123"/>
      <c r="I44" s="123"/>
    </row>
    <row r="45" spans="1:9" x14ac:dyDescent="0.25">
      <c r="A45" s="129"/>
      <c r="B45" s="123" t="s">
        <v>3257</v>
      </c>
      <c r="C45" s="123"/>
      <c r="D45" s="123"/>
      <c r="E45" s="123"/>
      <c r="F45" s="123"/>
      <c r="G45" s="123"/>
      <c r="H45" s="123"/>
      <c r="I45" s="123"/>
    </row>
    <row r="46" spans="1:9" x14ac:dyDescent="0.25">
      <c r="A46" s="129"/>
      <c r="B46" s="123" t="s">
        <v>3031</v>
      </c>
      <c r="C46" s="123"/>
      <c r="D46" s="123"/>
      <c r="E46" s="123"/>
      <c r="F46" s="123"/>
      <c r="G46" s="123"/>
      <c r="H46" s="123"/>
      <c r="I46" s="123"/>
    </row>
    <row r="47" spans="1:9" x14ac:dyDescent="0.25">
      <c r="A47" s="129"/>
      <c r="B47" s="123" t="s">
        <v>2890</v>
      </c>
      <c r="C47" s="123"/>
      <c r="D47" s="123"/>
      <c r="E47" s="123"/>
      <c r="F47" s="123"/>
      <c r="G47" s="123"/>
      <c r="H47" s="123"/>
      <c r="I47" s="123"/>
    </row>
    <row r="48" spans="1:9" x14ac:dyDescent="0.25">
      <c r="A48" s="129"/>
      <c r="B48" s="123" t="s">
        <v>3019</v>
      </c>
      <c r="C48" s="123"/>
      <c r="D48" s="123"/>
      <c r="E48" s="123"/>
      <c r="F48" s="123"/>
      <c r="G48" s="123"/>
      <c r="H48" s="123"/>
      <c r="I48" s="123"/>
    </row>
    <row r="49" spans="1:9" x14ac:dyDescent="0.25">
      <c r="A49" s="129"/>
      <c r="B49" s="123" t="s">
        <v>2892</v>
      </c>
      <c r="C49" s="123"/>
      <c r="D49" s="123"/>
      <c r="E49" s="123"/>
      <c r="F49" s="123"/>
      <c r="G49" s="123"/>
      <c r="H49" s="123"/>
      <c r="I49" s="123"/>
    </row>
    <row r="50" spans="1:9" x14ac:dyDescent="0.25">
      <c r="A50" s="129"/>
      <c r="B50" s="123" t="s">
        <v>3020</v>
      </c>
      <c r="C50" s="123"/>
      <c r="D50" s="123"/>
      <c r="E50" s="123"/>
      <c r="F50" s="123"/>
      <c r="G50" s="123"/>
      <c r="H50" s="123"/>
      <c r="I50" s="123"/>
    </row>
    <row r="51" spans="1:9" x14ac:dyDescent="0.25">
      <c r="A51" s="122"/>
      <c r="B51" s="122"/>
      <c r="C51" s="122"/>
      <c r="D51" s="122"/>
      <c r="E51" s="122"/>
      <c r="F51" s="122"/>
      <c r="G51" s="122"/>
      <c r="H51" s="122"/>
      <c r="I51" s="122"/>
    </row>
  </sheetData>
  <mergeCells count="10">
    <mergeCell ref="A10:B10"/>
    <mergeCell ref="A11:B11"/>
    <mergeCell ref="D23:H23"/>
    <mergeCell ref="A33:I33"/>
    <mergeCell ref="A2:G3"/>
    <mergeCell ref="A5:B5"/>
    <mergeCell ref="A6:B6"/>
    <mergeCell ref="A7:B7"/>
    <mergeCell ref="A8:B8"/>
    <mergeCell ref="A9: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Check Box 1">
              <controlPr defaultSize="0" autoFill="0" autoLine="0" autoPict="0">
                <anchor moveWithCells="1">
                  <from>
                    <xdr:col>0</xdr:col>
                    <xdr:colOff>0</xdr:colOff>
                    <xdr:row>28</xdr:row>
                    <xdr:rowOff>0</xdr:rowOff>
                  </from>
                  <to>
                    <xdr:col>0</xdr:col>
                    <xdr:colOff>295275</xdr:colOff>
                    <xdr:row>29</xdr:row>
                    <xdr:rowOff>28575</xdr:rowOff>
                  </to>
                </anchor>
              </controlPr>
            </control>
          </mc:Choice>
        </mc:AlternateContent>
        <mc:AlternateContent xmlns:mc="http://schemas.openxmlformats.org/markup-compatibility/2006">
          <mc:Choice Requires="x14">
            <control shapeId="232450" r:id="rId5" name="Check Box 2">
              <controlPr defaultSize="0" autoFill="0" autoLine="0" autoPict="0">
                <anchor moveWithCells="1">
                  <from>
                    <xdr:col>0</xdr:col>
                    <xdr:colOff>0</xdr:colOff>
                    <xdr:row>29</xdr:row>
                    <xdr:rowOff>0</xdr:rowOff>
                  </from>
                  <to>
                    <xdr:col>0</xdr:col>
                    <xdr:colOff>295275</xdr:colOff>
                    <xdr:row>30</xdr:row>
                    <xdr:rowOff>28575</xdr:rowOff>
                  </to>
                </anchor>
              </controlPr>
            </control>
          </mc:Choice>
        </mc:AlternateContent>
        <mc:AlternateContent xmlns:mc="http://schemas.openxmlformats.org/markup-compatibility/2006">
          <mc:Choice Requires="x14">
            <control shapeId="232451" r:id="rId6" name="Check Box 3">
              <controlPr defaultSize="0" autoFill="0" autoLine="0" autoPict="0">
                <anchor moveWithCells="1">
                  <from>
                    <xdr:col>0</xdr:col>
                    <xdr:colOff>0</xdr:colOff>
                    <xdr:row>30</xdr:row>
                    <xdr:rowOff>0</xdr:rowOff>
                  </from>
                  <to>
                    <xdr:col>0</xdr:col>
                    <xdr:colOff>295275</xdr:colOff>
                    <xdr:row>31</xdr:row>
                    <xdr:rowOff>28575</xdr:rowOff>
                  </to>
                </anchor>
              </controlPr>
            </control>
          </mc:Choice>
        </mc:AlternateContent>
        <mc:AlternateContent xmlns:mc="http://schemas.openxmlformats.org/markup-compatibility/2006">
          <mc:Choice Requires="x14">
            <control shapeId="232452" r:id="rId7" name="Check Box 4">
              <controlPr defaultSize="0" autoFill="0" autoLine="0" autoPict="0">
                <anchor moveWithCells="1">
                  <from>
                    <xdr:col>0</xdr:col>
                    <xdr:colOff>0</xdr:colOff>
                    <xdr:row>31</xdr:row>
                    <xdr:rowOff>0</xdr:rowOff>
                  </from>
                  <to>
                    <xdr:col>0</xdr:col>
                    <xdr:colOff>295275</xdr:colOff>
                    <xdr:row>32</xdr:row>
                    <xdr:rowOff>28575</xdr:rowOff>
                  </to>
                </anchor>
              </controlPr>
            </control>
          </mc:Choice>
        </mc:AlternateContent>
        <mc:AlternateContent xmlns:mc="http://schemas.openxmlformats.org/markup-compatibility/2006">
          <mc:Choice Requires="x14">
            <control shapeId="232453" r:id="rId8" name="Check Box 5">
              <controlPr defaultSize="0" autoFill="0" autoLine="0" autoPict="0">
                <anchor moveWithCells="1">
                  <from>
                    <xdr:col>3</xdr:col>
                    <xdr:colOff>600075</xdr:colOff>
                    <xdr:row>27</xdr:row>
                    <xdr:rowOff>171450</xdr:rowOff>
                  </from>
                  <to>
                    <xdr:col>4</xdr:col>
                    <xdr:colOff>285750</xdr:colOff>
                    <xdr:row>29</xdr:row>
                    <xdr:rowOff>9525</xdr:rowOff>
                  </to>
                </anchor>
              </controlPr>
            </control>
          </mc:Choice>
        </mc:AlternateContent>
        <mc:AlternateContent xmlns:mc="http://schemas.openxmlformats.org/markup-compatibility/2006">
          <mc:Choice Requires="x14">
            <control shapeId="232454" r:id="rId9" name="Check Box 6">
              <controlPr defaultSize="0" autoFill="0" autoLine="0" autoPict="0">
                <anchor moveWithCells="1">
                  <from>
                    <xdr:col>3</xdr:col>
                    <xdr:colOff>600075</xdr:colOff>
                    <xdr:row>28</xdr:row>
                    <xdr:rowOff>171450</xdr:rowOff>
                  </from>
                  <to>
                    <xdr:col>4</xdr:col>
                    <xdr:colOff>285750</xdr:colOff>
                    <xdr:row>30</xdr:row>
                    <xdr:rowOff>9525</xdr:rowOff>
                  </to>
                </anchor>
              </controlPr>
            </control>
          </mc:Choice>
        </mc:AlternateContent>
        <mc:AlternateContent xmlns:mc="http://schemas.openxmlformats.org/markup-compatibility/2006">
          <mc:Choice Requires="x14">
            <control shapeId="232455" r:id="rId10" name="Check Box 7">
              <controlPr defaultSize="0" autoFill="0" autoLine="0" autoPict="0">
                <anchor moveWithCells="1">
                  <from>
                    <xdr:col>3</xdr:col>
                    <xdr:colOff>600075</xdr:colOff>
                    <xdr:row>29</xdr:row>
                    <xdr:rowOff>171450</xdr:rowOff>
                  </from>
                  <to>
                    <xdr:col>4</xdr:col>
                    <xdr:colOff>285750</xdr:colOff>
                    <xdr:row>31</xdr:row>
                    <xdr:rowOff>9525</xdr:rowOff>
                  </to>
                </anchor>
              </controlPr>
            </control>
          </mc:Choice>
        </mc:AlternateContent>
        <mc:AlternateContent xmlns:mc="http://schemas.openxmlformats.org/markup-compatibility/2006">
          <mc:Choice Requires="x14">
            <control shapeId="232456" r:id="rId11" name="Check Box 8">
              <controlPr defaultSize="0" autoFill="0" autoLine="0" autoPict="0">
                <anchor moveWithCells="1">
                  <from>
                    <xdr:col>0</xdr:col>
                    <xdr:colOff>0</xdr:colOff>
                    <xdr:row>33</xdr:row>
                    <xdr:rowOff>0</xdr:rowOff>
                  </from>
                  <to>
                    <xdr:col>0</xdr:col>
                    <xdr:colOff>295275</xdr:colOff>
                    <xdr:row>34</xdr:row>
                    <xdr:rowOff>28575</xdr:rowOff>
                  </to>
                </anchor>
              </controlPr>
            </control>
          </mc:Choice>
        </mc:AlternateContent>
        <mc:AlternateContent xmlns:mc="http://schemas.openxmlformats.org/markup-compatibility/2006">
          <mc:Choice Requires="x14">
            <control shapeId="232457" r:id="rId12" name="Check Box 9">
              <controlPr defaultSize="0" autoFill="0" autoLine="0" autoPict="0">
                <anchor moveWithCells="1">
                  <from>
                    <xdr:col>0</xdr:col>
                    <xdr:colOff>0</xdr:colOff>
                    <xdr:row>34</xdr:row>
                    <xdr:rowOff>0</xdr:rowOff>
                  </from>
                  <to>
                    <xdr:col>0</xdr:col>
                    <xdr:colOff>295275</xdr:colOff>
                    <xdr:row>35</xdr:row>
                    <xdr:rowOff>28575</xdr:rowOff>
                  </to>
                </anchor>
              </controlPr>
            </control>
          </mc:Choice>
        </mc:AlternateContent>
        <mc:AlternateContent xmlns:mc="http://schemas.openxmlformats.org/markup-compatibility/2006">
          <mc:Choice Requires="x14">
            <control shapeId="232458" r:id="rId13" name="Check Box 10">
              <controlPr defaultSize="0" autoFill="0" autoLine="0" autoPict="0">
                <anchor moveWithCells="1">
                  <from>
                    <xdr:col>0</xdr:col>
                    <xdr:colOff>0</xdr:colOff>
                    <xdr:row>35</xdr:row>
                    <xdr:rowOff>0</xdr:rowOff>
                  </from>
                  <to>
                    <xdr:col>0</xdr:col>
                    <xdr:colOff>295275</xdr:colOff>
                    <xdr:row>36</xdr:row>
                    <xdr:rowOff>28575</xdr:rowOff>
                  </to>
                </anchor>
              </controlPr>
            </control>
          </mc:Choice>
        </mc:AlternateContent>
        <mc:AlternateContent xmlns:mc="http://schemas.openxmlformats.org/markup-compatibility/2006">
          <mc:Choice Requires="x14">
            <control shapeId="232459" r:id="rId14" name="Check Box 11">
              <controlPr defaultSize="0" autoFill="0" autoLine="0" autoPict="0">
                <anchor moveWithCells="1">
                  <from>
                    <xdr:col>0</xdr:col>
                    <xdr:colOff>0</xdr:colOff>
                    <xdr:row>36</xdr:row>
                    <xdr:rowOff>0</xdr:rowOff>
                  </from>
                  <to>
                    <xdr:col>0</xdr:col>
                    <xdr:colOff>295275</xdr:colOff>
                    <xdr:row>37</xdr:row>
                    <xdr:rowOff>28575</xdr:rowOff>
                  </to>
                </anchor>
              </controlPr>
            </control>
          </mc:Choice>
        </mc:AlternateContent>
        <mc:AlternateContent xmlns:mc="http://schemas.openxmlformats.org/markup-compatibility/2006">
          <mc:Choice Requires="x14">
            <control shapeId="232460" r:id="rId15" name="Check Box 12">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232461" r:id="rId16" name="Check Box 13">
              <controlPr defaultSize="0" autoFill="0" autoLine="0" autoPict="0">
                <anchor moveWithCells="1">
                  <from>
                    <xdr:col>4</xdr:col>
                    <xdr:colOff>0</xdr:colOff>
                    <xdr:row>33</xdr:row>
                    <xdr:rowOff>0</xdr:rowOff>
                  </from>
                  <to>
                    <xdr:col>4</xdr:col>
                    <xdr:colOff>295275</xdr:colOff>
                    <xdr:row>34</xdr:row>
                    <xdr:rowOff>28575</xdr:rowOff>
                  </to>
                </anchor>
              </controlPr>
            </control>
          </mc:Choice>
        </mc:AlternateContent>
        <mc:AlternateContent xmlns:mc="http://schemas.openxmlformats.org/markup-compatibility/2006">
          <mc:Choice Requires="x14">
            <control shapeId="232462" r:id="rId17" name="Check Box 14">
              <controlPr defaultSize="0" autoFill="0" autoLine="0" autoPict="0">
                <anchor moveWithCells="1">
                  <from>
                    <xdr:col>4</xdr:col>
                    <xdr:colOff>0</xdr:colOff>
                    <xdr:row>34</xdr:row>
                    <xdr:rowOff>0</xdr:rowOff>
                  </from>
                  <to>
                    <xdr:col>4</xdr:col>
                    <xdr:colOff>295275</xdr:colOff>
                    <xdr:row>35</xdr:row>
                    <xdr:rowOff>28575</xdr:rowOff>
                  </to>
                </anchor>
              </controlPr>
            </control>
          </mc:Choice>
        </mc:AlternateContent>
        <mc:AlternateContent xmlns:mc="http://schemas.openxmlformats.org/markup-compatibility/2006">
          <mc:Choice Requires="x14">
            <control shapeId="232463" r:id="rId18" name="Check Box 15">
              <controlPr defaultSize="0" autoFill="0" autoLine="0" autoPict="0">
                <anchor moveWithCells="1">
                  <from>
                    <xdr:col>4</xdr:col>
                    <xdr:colOff>0</xdr:colOff>
                    <xdr:row>35</xdr:row>
                    <xdr:rowOff>0</xdr:rowOff>
                  </from>
                  <to>
                    <xdr:col>4</xdr:col>
                    <xdr:colOff>295275</xdr:colOff>
                    <xdr:row>36</xdr:row>
                    <xdr:rowOff>28575</xdr:rowOff>
                  </to>
                </anchor>
              </controlPr>
            </control>
          </mc:Choice>
        </mc:AlternateContent>
        <mc:AlternateContent xmlns:mc="http://schemas.openxmlformats.org/markup-compatibility/2006">
          <mc:Choice Requires="x14">
            <control shapeId="232464" r:id="rId19" name="Check Box 16">
              <controlPr defaultSize="0" autoFill="0" autoLine="0" autoPict="0">
                <anchor moveWithCells="1">
                  <from>
                    <xdr:col>4</xdr:col>
                    <xdr:colOff>0</xdr:colOff>
                    <xdr:row>36</xdr:row>
                    <xdr:rowOff>0</xdr:rowOff>
                  </from>
                  <to>
                    <xdr:col>4</xdr:col>
                    <xdr:colOff>295275</xdr:colOff>
                    <xdr:row>37</xdr:row>
                    <xdr:rowOff>28575</xdr:rowOff>
                  </to>
                </anchor>
              </controlPr>
            </control>
          </mc:Choice>
        </mc:AlternateContent>
        <mc:AlternateContent xmlns:mc="http://schemas.openxmlformats.org/markup-compatibility/2006">
          <mc:Choice Requires="x14">
            <control shapeId="232465" r:id="rId20" name="Check Box 17">
              <controlPr defaultSize="0" autoFill="0" autoLine="0" autoPict="0">
                <anchor moveWithCells="1">
                  <from>
                    <xdr:col>0</xdr:col>
                    <xdr:colOff>0</xdr:colOff>
                    <xdr:row>43</xdr:row>
                    <xdr:rowOff>0</xdr:rowOff>
                  </from>
                  <to>
                    <xdr:col>0</xdr:col>
                    <xdr:colOff>295275</xdr:colOff>
                    <xdr:row>44</xdr:row>
                    <xdr:rowOff>38100</xdr:rowOff>
                  </to>
                </anchor>
              </controlPr>
            </control>
          </mc:Choice>
        </mc:AlternateContent>
        <mc:AlternateContent xmlns:mc="http://schemas.openxmlformats.org/markup-compatibility/2006">
          <mc:Choice Requires="x14">
            <control shapeId="232466" r:id="rId21" name="Check Box 18">
              <controlPr defaultSize="0" autoFill="0" autoLine="0" autoPict="0">
                <anchor moveWithCells="1">
                  <from>
                    <xdr:col>0</xdr:col>
                    <xdr:colOff>0</xdr:colOff>
                    <xdr:row>44</xdr:row>
                    <xdr:rowOff>0</xdr:rowOff>
                  </from>
                  <to>
                    <xdr:col>0</xdr:col>
                    <xdr:colOff>295275</xdr:colOff>
                    <xdr:row>45</xdr:row>
                    <xdr:rowOff>28575</xdr:rowOff>
                  </to>
                </anchor>
              </controlPr>
            </control>
          </mc:Choice>
        </mc:AlternateContent>
        <mc:AlternateContent xmlns:mc="http://schemas.openxmlformats.org/markup-compatibility/2006">
          <mc:Choice Requires="x14">
            <control shapeId="232467" r:id="rId22" name="Check Box 19">
              <controlPr defaultSize="0" autoFill="0" autoLine="0" autoPict="0">
                <anchor moveWithCells="1">
                  <from>
                    <xdr:col>0</xdr:col>
                    <xdr:colOff>0</xdr:colOff>
                    <xdr:row>45</xdr:row>
                    <xdr:rowOff>0</xdr:rowOff>
                  </from>
                  <to>
                    <xdr:col>0</xdr:col>
                    <xdr:colOff>295275</xdr:colOff>
                    <xdr:row>46</xdr:row>
                    <xdr:rowOff>28575</xdr:rowOff>
                  </to>
                </anchor>
              </controlPr>
            </control>
          </mc:Choice>
        </mc:AlternateContent>
        <mc:AlternateContent xmlns:mc="http://schemas.openxmlformats.org/markup-compatibility/2006">
          <mc:Choice Requires="x14">
            <control shapeId="232468" r:id="rId23" name="Check Box 20">
              <controlPr defaultSize="0" autoFill="0" autoLine="0" autoPict="0">
                <anchor moveWithCells="1">
                  <from>
                    <xdr:col>0</xdr:col>
                    <xdr:colOff>0</xdr:colOff>
                    <xdr:row>46</xdr:row>
                    <xdr:rowOff>0</xdr:rowOff>
                  </from>
                  <to>
                    <xdr:col>0</xdr:col>
                    <xdr:colOff>295275</xdr:colOff>
                    <xdr:row>47</xdr:row>
                    <xdr:rowOff>28575</xdr:rowOff>
                  </to>
                </anchor>
              </controlPr>
            </control>
          </mc:Choice>
        </mc:AlternateContent>
        <mc:AlternateContent xmlns:mc="http://schemas.openxmlformats.org/markup-compatibility/2006">
          <mc:Choice Requires="x14">
            <control shapeId="232469" r:id="rId24" name="Check Box 21">
              <controlPr defaultSize="0" autoFill="0" autoLine="0" autoPict="0">
                <anchor moveWithCells="1">
                  <from>
                    <xdr:col>0</xdr:col>
                    <xdr:colOff>0</xdr:colOff>
                    <xdr:row>47</xdr:row>
                    <xdr:rowOff>0</xdr:rowOff>
                  </from>
                  <to>
                    <xdr:col>0</xdr:col>
                    <xdr:colOff>295275</xdr:colOff>
                    <xdr:row>48</xdr:row>
                    <xdr:rowOff>28575</xdr:rowOff>
                  </to>
                </anchor>
              </controlPr>
            </control>
          </mc:Choice>
        </mc:AlternateContent>
        <mc:AlternateContent xmlns:mc="http://schemas.openxmlformats.org/markup-compatibility/2006">
          <mc:Choice Requires="x14">
            <control shapeId="232470" r:id="rId25" name="Check Box 22">
              <controlPr defaultSize="0" autoFill="0" autoLine="0" autoPict="0">
                <anchor moveWithCells="1">
                  <from>
                    <xdr:col>0</xdr:col>
                    <xdr:colOff>0</xdr:colOff>
                    <xdr:row>48</xdr:row>
                    <xdr:rowOff>0</xdr:rowOff>
                  </from>
                  <to>
                    <xdr:col>0</xdr:col>
                    <xdr:colOff>295275</xdr:colOff>
                    <xdr:row>49</xdr:row>
                    <xdr:rowOff>28575</xdr:rowOff>
                  </to>
                </anchor>
              </controlPr>
            </control>
          </mc:Choice>
        </mc:AlternateContent>
        <mc:AlternateContent xmlns:mc="http://schemas.openxmlformats.org/markup-compatibility/2006">
          <mc:Choice Requires="x14">
            <control shapeId="232471" r:id="rId26" name="Check Box 23">
              <controlPr defaultSize="0" autoFill="0" autoLine="0" autoPict="0">
                <anchor moveWithCells="1">
                  <from>
                    <xdr:col>0</xdr:col>
                    <xdr:colOff>0</xdr:colOff>
                    <xdr:row>49</xdr:row>
                    <xdr:rowOff>0</xdr:rowOff>
                  </from>
                  <to>
                    <xdr:col>0</xdr:col>
                    <xdr:colOff>295275</xdr:colOff>
                    <xdr:row>50</xdr:row>
                    <xdr:rowOff>28575</xdr:rowOff>
                  </to>
                </anchor>
              </controlPr>
            </control>
          </mc:Choice>
        </mc:AlternateContent>
        <mc:AlternateContent xmlns:mc="http://schemas.openxmlformats.org/markup-compatibility/2006">
          <mc:Choice Requires="x14">
            <control shapeId="232472" r:id="rId27" name="Button 24">
              <controlPr defaultSize="0" print="0" autoFill="0" autoPict="0" macro="[0]!FillHistory">
                <anchor moveWithCells="1" sizeWithCells="1">
                  <from>
                    <xdr:col>7</xdr:col>
                    <xdr:colOff>66675</xdr:colOff>
                    <xdr:row>21</xdr:row>
                    <xdr:rowOff>57150</xdr:rowOff>
                  </from>
                  <to>
                    <xdr:col>8</xdr:col>
                    <xdr:colOff>533400</xdr:colOff>
                    <xdr:row>22</xdr:row>
                    <xdr:rowOff>161925</xdr:rowOff>
                  </to>
                </anchor>
              </controlPr>
            </control>
          </mc:Choice>
        </mc:AlternateContent>
        <mc:AlternateContent xmlns:mc="http://schemas.openxmlformats.org/markup-compatibility/2006">
          <mc:Choice Requires="x14">
            <control shapeId="232473" r:id="rId28" name="Button 25">
              <controlPr defaultSize="0" print="0" autoFill="0" autoPict="0" macro="[0]!BACK">
                <anchor moveWithCells="1" sizeWithCells="1">
                  <from>
                    <xdr:col>9</xdr:col>
                    <xdr:colOff>228600</xdr:colOff>
                    <xdr:row>0</xdr:row>
                    <xdr:rowOff>142875</xdr:rowOff>
                  </from>
                  <to>
                    <xdr:col>11</xdr:col>
                    <xdr:colOff>257175</xdr:colOff>
                    <xdr:row>3</xdr:row>
                    <xdr:rowOff>152400</xdr:rowOff>
                  </to>
                </anchor>
              </controlPr>
            </control>
          </mc:Choice>
        </mc:AlternateContent>
        <mc:AlternateContent xmlns:mc="http://schemas.openxmlformats.org/markup-compatibility/2006">
          <mc:Choice Requires="x14">
            <control shapeId="232474" r:id="rId29" name="Check Box 26">
              <controlPr defaultSize="0" autoFill="0" autoLine="0" autoPict="0">
                <anchor moveWithCells="1">
                  <from>
                    <xdr:col>0</xdr:col>
                    <xdr:colOff>0</xdr:colOff>
                    <xdr:row>39</xdr:row>
                    <xdr:rowOff>180975</xdr:rowOff>
                  </from>
                  <to>
                    <xdr:col>0</xdr:col>
                    <xdr:colOff>295275</xdr:colOff>
                    <xdr:row>41</xdr:row>
                    <xdr:rowOff>19050</xdr:rowOff>
                  </to>
                </anchor>
              </controlPr>
            </control>
          </mc:Choice>
        </mc:AlternateContent>
        <mc:AlternateContent xmlns:mc="http://schemas.openxmlformats.org/markup-compatibility/2006">
          <mc:Choice Requires="x14">
            <control shapeId="232475" r:id="rId30" name="Button 27">
              <controlPr defaultSize="0" print="0" autoFill="0" autoPict="0" macro="[0]!Submitted">
                <anchor moveWithCells="1" sizeWithCells="1">
                  <from>
                    <xdr:col>0</xdr:col>
                    <xdr:colOff>28575</xdr:colOff>
                    <xdr:row>38</xdr:row>
                    <xdr:rowOff>28575</xdr:rowOff>
                  </from>
                  <to>
                    <xdr:col>0</xdr:col>
                    <xdr:colOff>581025</xdr:colOff>
                    <xdr:row>38</xdr:row>
                    <xdr:rowOff>180975</xdr:rowOff>
                  </to>
                </anchor>
              </controlPr>
            </control>
          </mc:Choice>
        </mc:AlternateContent>
        <mc:AlternateContent xmlns:mc="http://schemas.openxmlformats.org/markup-compatibility/2006">
          <mc:Choice Requires="x14">
            <control shapeId="232476" r:id="rId31" name="Button 28">
              <controlPr defaultSize="0" print="0" autoFill="0" autoPict="0" macro="[0]!RFIActioned">
                <anchor moveWithCells="1" sizeWithCells="1">
                  <from>
                    <xdr:col>0</xdr:col>
                    <xdr:colOff>28575</xdr:colOff>
                    <xdr:row>39</xdr:row>
                    <xdr:rowOff>19050</xdr:rowOff>
                  </from>
                  <to>
                    <xdr:col>0</xdr:col>
                    <xdr:colOff>581025</xdr:colOff>
                    <xdr:row>39</xdr:row>
                    <xdr:rowOff>171450</xdr:rowOff>
                  </to>
                </anchor>
              </controlPr>
            </control>
          </mc:Choice>
        </mc:AlternateContent>
        <mc:AlternateContent xmlns:mc="http://schemas.openxmlformats.org/markup-compatibility/2006">
          <mc:Choice Requires="x14">
            <control shapeId="232477" r:id="rId32" name="Button 29">
              <controlPr defaultSize="0" print="0" autoFill="0" autoPict="0" macro="[0]!ContractSigned">
                <anchor moveWithCells="1" sizeWithCells="1">
                  <from>
                    <xdr:col>0</xdr:col>
                    <xdr:colOff>28575</xdr:colOff>
                    <xdr:row>41</xdr:row>
                    <xdr:rowOff>19050</xdr:rowOff>
                  </from>
                  <to>
                    <xdr:col>0</xdr:col>
                    <xdr:colOff>581025</xdr:colOff>
                    <xdr:row>41</xdr:row>
                    <xdr:rowOff>171450</xdr:rowOff>
                  </to>
                </anchor>
              </controlPr>
            </control>
          </mc:Choice>
        </mc:AlternateContent>
        <mc:AlternateContent xmlns:mc="http://schemas.openxmlformats.org/markup-compatibility/2006">
          <mc:Choice Requires="x14">
            <control shapeId="232478" r:id="rId33" name="Button 30">
              <controlPr defaultSize="0" print="0" autoFill="0" autoPict="0" macro="[0]!SiteplanCompleted">
                <anchor moveWithCells="1" sizeWithCells="1">
                  <from>
                    <xdr:col>4</xdr:col>
                    <xdr:colOff>28575</xdr:colOff>
                    <xdr:row>37</xdr:row>
                    <xdr:rowOff>19050</xdr:rowOff>
                  </from>
                  <to>
                    <xdr:col>4</xdr:col>
                    <xdr:colOff>581025</xdr:colOff>
                    <xdr:row>37</xdr:row>
                    <xdr:rowOff>171450</xdr:rowOff>
                  </to>
                </anchor>
              </controlPr>
            </control>
          </mc:Choice>
        </mc:AlternateContent>
        <mc:AlternateContent xmlns:mc="http://schemas.openxmlformats.org/markup-compatibility/2006">
          <mc:Choice Requires="x14">
            <control shapeId="232479" r:id="rId34" name="Button 31">
              <controlPr defaultSize="0" print="0" autoFill="0" autoPict="0" macro="[0]!DocumentCollection">
                <anchor moveWithCells="1" sizeWithCells="1">
                  <from>
                    <xdr:col>4</xdr:col>
                    <xdr:colOff>28575</xdr:colOff>
                    <xdr:row>31</xdr:row>
                    <xdr:rowOff>28575</xdr:rowOff>
                  </from>
                  <to>
                    <xdr:col>4</xdr:col>
                    <xdr:colOff>581025</xdr:colOff>
                    <xdr:row>31</xdr:row>
                    <xdr:rowOff>180975</xdr:rowOff>
                  </to>
                </anchor>
              </controlPr>
            </control>
          </mc:Choice>
        </mc:AlternateContent>
        <mc:AlternateContent xmlns:mc="http://schemas.openxmlformats.org/markup-compatibility/2006">
          <mc:Choice Requires="x14">
            <control shapeId="232480" r:id="rId35" name="Button 32">
              <controlPr defaultSize="0" print="0" autoFill="0" autoPict="0" macro="[0]!Approved">
                <anchor moveWithCells="1" sizeWithCells="1">
                  <from>
                    <xdr:col>0</xdr:col>
                    <xdr:colOff>28575</xdr:colOff>
                    <xdr:row>42</xdr:row>
                    <xdr:rowOff>19050</xdr:rowOff>
                  </from>
                  <to>
                    <xdr:col>0</xdr:col>
                    <xdr:colOff>581025</xdr:colOff>
                    <xdr:row>42</xdr:row>
                    <xdr:rowOff>171450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FDC471-2ABE-4B2C-A3B4-7CB0CEA058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127</vt:i4>
      </vt:variant>
      <vt:variant>
        <vt:lpstr>Named Ranges</vt:lpstr>
      </vt:variant>
      <vt:variant>
        <vt:i4>124</vt:i4>
      </vt:variant>
    </vt:vector>
  </HeadingPairs>
  <TitlesOfParts>
    <vt:vector size="251" baseType="lpstr">
      <vt:lpstr>Current</vt:lpstr>
      <vt:lpstr>Completed</vt:lpstr>
      <vt:lpstr>Active Permit Account Overview</vt:lpstr>
      <vt:lpstr>Accomplish</vt:lpstr>
      <vt:lpstr>Archived</vt:lpstr>
      <vt:lpstr>Job Template</vt:lpstr>
      <vt:lpstr>BPA0363</vt:lpstr>
      <vt:lpstr>BPA0362</vt:lpstr>
      <vt:lpstr>BPA0361</vt:lpstr>
      <vt:lpstr>BPA0360 </vt:lpstr>
      <vt:lpstr>BPA0359</vt:lpstr>
      <vt:lpstr>BPA0358 </vt:lpstr>
      <vt:lpstr>BPA0357</vt:lpstr>
      <vt:lpstr>BPA0356</vt:lpstr>
      <vt:lpstr>BPA0355</vt:lpstr>
      <vt:lpstr>BPA0354</vt:lpstr>
      <vt:lpstr>BPA0353</vt:lpstr>
      <vt:lpstr>BPA0352</vt:lpstr>
      <vt:lpstr>BPA0351</vt:lpstr>
      <vt:lpstr>BPA0350</vt:lpstr>
      <vt:lpstr>BPA0349</vt:lpstr>
      <vt:lpstr>BPA0348</vt:lpstr>
      <vt:lpstr>BPA0347</vt:lpstr>
      <vt:lpstr>BPA0346</vt:lpstr>
      <vt:lpstr>BPA0345</vt:lpstr>
      <vt:lpstr>BPA0344 </vt:lpstr>
      <vt:lpstr>E10013</vt:lpstr>
      <vt:lpstr>BPA0343 </vt:lpstr>
      <vt:lpstr>BPA0342 </vt:lpstr>
      <vt:lpstr>BPA0341</vt:lpstr>
      <vt:lpstr>BPA0339</vt:lpstr>
      <vt:lpstr>BPA0337</vt:lpstr>
      <vt:lpstr>BPA0336</vt:lpstr>
      <vt:lpstr>BPA0335</vt:lpstr>
      <vt:lpstr>BPA0334</vt:lpstr>
      <vt:lpstr>BPA0333</vt:lpstr>
      <vt:lpstr>BPA0332</vt:lpstr>
      <vt:lpstr>BPA0331</vt:lpstr>
      <vt:lpstr>BPA0330</vt:lpstr>
      <vt:lpstr>BPA0329</vt:lpstr>
      <vt:lpstr>E10021</vt:lpstr>
      <vt:lpstr>BPA0328</vt:lpstr>
      <vt:lpstr>BPA0327</vt:lpstr>
      <vt:lpstr>BPA0326</vt:lpstr>
      <vt:lpstr>BPA0325</vt:lpstr>
      <vt:lpstr>E10020</vt:lpstr>
      <vt:lpstr>BPA0324</vt:lpstr>
      <vt:lpstr>BPA0323</vt:lpstr>
      <vt:lpstr>E10018</vt:lpstr>
      <vt:lpstr>BPA0320</vt:lpstr>
      <vt:lpstr>BPA0318</vt:lpstr>
      <vt:lpstr>BPA0316</vt:lpstr>
      <vt:lpstr>BPA0315</vt:lpstr>
      <vt:lpstr>BPA0314</vt:lpstr>
      <vt:lpstr>BPA0311</vt:lpstr>
      <vt:lpstr>BPA0310</vt:lpstr>
      <vt:lpstr>BPA0309</vt:lpstr>
      <vt:lpstr>BPA0308</vt:lpstr>
      <vt:lpstr>BPA0304</vt:lpstr>
      <vt:lpstr>BPA0303</vt:lpstr>
      <vt:lpstr>BPA0302</vt:lpstr>
      <vt:lpstr>BPA0299</vt:lpstr>
      <vt:lpstr>BPA0298</vt:lpstr>
      <vt:lpstr>BPA0297</vt:lpstr>
      <vt:lpstr>BPA0296</vt:lpstr>
      <vt:lpstr>BPA0295</vt:lpstr>
      <vt:lpstr>BPA0294</vt:lpstr>
      <vt:lpstr>BPA0293</vt:lpstr>
      <vt:lpstr>BPA0291</vt:lpstr>
      <vt:lpstr>BPA0290</vt:lpstr>
      <vt:lpstr>BPA0289</vt:lpstr>
      <vt:lpstr>BPA0288</vt:lpstr>
      <vt:lpstr>BPA0285</vt:lpstr>
      <vt:lpstr>BPA0280</vt:lpstr>
      <vt:lpstr>E0020</vt:lpstr>
      <vt:lpstr>E0019</vt:lpstr>
      <vt:lpstr>E9346</vt:lpstr>
      <vt:lpstr>E0018</vt:lpstr>
      <vt:lpstr>BPA0275</vt:lpstr>
      <vt:lpstr>BPA0273</vt:lpstr>
      <vt:lpstr>BPA0272</vt:lpstr>
      <vt:lpstr>BPA0271</vt:lpstr>
      <vt:lpstr>BPA0267</vt:lpstr>
      <vt:lpstr>BPA0266</vt:lpstr>
      <vt:lpstr>BPA0265</vt:lpstr>
      <vt:lpstr>BPA0262</vt:lpstr>
      <vt:lpstr>BPA0260</vt:lpstr>
      <vt:lpstr>BPA0256</vt:lpstr>
      <vt:lpstr>E0007</vt:lpstr>
      <vt:lpstr>BPA0253</vt:lpstr>
      <vt:lpstr>BPA0250</vt:lpstr>
      <vt:lpstr>BPA0249</vt:lpstr>
      <vt:lpstr>BPA0245</vt:lpstr>
      <vt:lpstr>BPA0243</vt:lpstr>
      <vt:lpstr>E0009</vt:lpstr>
      <vt:lpstr>BPA0236</vt:lpstr>
      <vt:lpstr>BPA0233</vt:lpstr>
      <vt:lpstr>BPA0232</vt:lpstr>
      <vt:lpstr>BPA0227</vt:lpstr>
      <vt:lpstr>BPA0226</vt:lpstr>
      <vt:lpstr>BPA0219</vt:lpstr>
      <vt:lpstr>BPA0216</vt:lpstr>
      <vt:lpstr>BPA0212</vt:lpstr>
      <vt:lpstr>BPA0209</vt:lpstr>
      <vt:lpstr>E0004</vt:lpstr>
      <vt:lpstr>BPA0193</vt:lpstr>
      <vt:lpstr>BPA0189</vt:lpstr>
      <vt:lpstr>E0373</vt:lpstr>
      <vt:lpstr>BPA0184</vt:lpstr>
      <vt:lpstr>BPA0181</vt:lpstr>
      <vt:lpstr>BPA0167</vt:lpstr>
      <vt:lpstr>BPA0165</vt:lpstr>
      <vt:lpstr>BPA0161</vt:lpstr>
      <vt:lpstr>BPA0155</vt:lpstr>
      <vt:lpstr>BPA0145</vt:lpstr>
      <vt:lpstr>BPA0143</vt:lpstr>
      <vt:lpstr>BPA0138</vt:lpstr>
      <vt:lpstr>BPA0121</vt:lpstr>
      <vt:lpstr>BPA0092</vt:lpstr>
      <vt:lpstr>BPA0087</vt:lpstr>
      <vt:lpstr>BPA0080</vt:lpstr>
      <vt:lpstr>BPA0077</vt:lpstr>
      <vt:lpstr>BPA0076</vt:lpstr>
      <vt:lpstr>BPA0068</vt:lpstr>
      <vt:lpstr>BPA0022</vt:lpstr>
      <vt:lpstr>BPA0062</vt:lpstr>
      <vt:lpstr>BPA0046</vt:lpstr>
      <vt:lpstr>'BPA0022'!Print_Area</vt:lpstr>
      <vt:lpstr>'BPA0046'!Print_Area</vt:lpstr>
      <vt:lpstr>'BPA0062'!Print_Area</vt:lpstr>
      <vt:lpstr>'BPA0068'!Print_Area</vt:lpstr>
      <vt:lpstr>'BPA0076'!Print_Area</vt:lpstr>
      <vt:lpstr>'BPA0077'!Print_Area</vt:lpstr>
      <vt:lpstr>'BPA0080'!Print_Area</vt:lpstr>
      <vt:lpstr>'BPA0087'!Print_Area</vt:lpstr>
      <vt:lpstr>'BPA0092'!Print_Area</vt:lpstr>
      <vt:lpstr>'BPA0121'!Print_Area</vt:lpstr>
      <vt:lpstr>'BPA0138'!Print_Area</vt:lpstr>
      <vt:lpstr>'BPA0143'!Print_Area</vt:lpstr>
      <vt:lpstr>'BPA0145'!Print_Area</vt:lpstr>
      <vt:lpstr>'BPA0155'!Print_Area</vt:lpstr>
      <vt:lpstr>'BPA0161'!Print_Area</vt:lpstr>
      <vt:lpstr>'BPA0165'!Print_Area</vt:lpstr>
      <vt:lpstr>'BPA0167'!Print_Area</vt:lpstr>
      <vt:lpstr>'BPA0181'!Print_Area</vt:lpstr>
      <vt:lpstr>'BPA0184'!Print_Area</vt:lpstr>
      <vt:lpstr>'BPA0189'!Print_Area</vt:lpstr>
      <vt:lpstr>'BPA0193'!Print_Area</vt:lpstr>
      <vt:lpstr>'BPA0209'!Print_Area</vt:lpstr>
      <vt:lpstr>'BPA0212'!Print_Area</vt:lpstr>
      <vt:lpstr>'BPA0216'!Print_Area</vt:lpstr>
      <vt:lpstr>'BPA0219'!Print_Area</vt:lpstr>
      <vt:lpstr>'BPA0226'!Print_Area</vt:lpstr>
      <vt:lpstr>'BPA0227'!Print_Area</vt:lpstr>
      <vt:lpstr>'BPA0232'!Print_Area</vt:lpstr>
      <vt:lpstr>'BPA0233'!Print_Area</vt:lpstr>
      <vt:lpstr>'BPA0236'!Print_Area</vt:lpstr>
      <vt:lpstr>'BPA0243'!Print_Area</vt:lpstr>
      <vt:lpstr>'BPA0245'!Print_Area</vt:lpstr>
      <vt:lpstr>'BPA0249'!Print_Area</vt:lpstr>
      <vt:lpstr>'BPA0250'!Print_Area</vt:lpstr>
      <vt:lpstr>'BPA0253'!Print_Area</vt:lpstr>
      <vt:lpstr>'BPA0256'!Print_Area</vt:lpstr>
      <vt:lpstr>'BPA0260'!Print_Area</vt:lpstr>
      <vt:lpstr>'BPA0262'!Print_Area</vt:lpstr>
      <vt:lpstr>'BPA0265'!Print_Area</vt:lpstr>
      <vt:lpstr>'BPA0266'!Print_Area</vt:lpstr>
      <vt:lpstr>'BPA0267'!Print_Area</vt:lpstr>
      <vt:lpstr>'BPA0271'!Print_Area</vt:lpstr>
      <vt:lpstr>'BPA0272'!Print_Area</vt:lpstr>
      <vt:lpstr>'BPA0273'!Print_Area</vt:lpstr>
      <vt:lpstr>'BPA0275'!Print_Area</vt:lpstr>
      <vt:lpstr>'BPA0280'!Print_Area</vt:lpstr>
      <vt:lpstr>'BPA0285'!Print_Area</vt:lpstr>
      <vt:lpstr>'BPA0288'!Print_Area</vt:lpstr>
      <vt:lpstr>'BPA0289'!Print_Area</vt:lpstr>
      <vt:lpstr>'BPA0290'!Print_Area</vt:lpstr>
      <vt:lpstr>'BPA0291'!Print_Area</vt:lpstr>
      <vt:lpstr>'BPA0293'!Print_Area</vt:lpstr>
      <vt:lpstr>'BPA0294'!Print_Area</vt:lpstr>
      <vt:lpstr>'BPA0295'!Print_Area</vt:lpstr>
      <vt:lpstr>'BPA0296'!Print_Area</vt:lpstr>
      <vt:lpstr>'BPA0297'!Print_Area</vt:lpstr>
      <vt:lpstr>'BPA0298'!Print_Area</vt:lpstr>
      <vt:lpstr>'BPA0299'!Print_Area</vt:lpstr>
      <vt:lpstr>'BPA0302'!Print_Area</vt:lpstr>
      <vt:lpstr>'BPA0303'!Print_Area</vt:lpstr>
      <vt:lpstr>'BPA0304'!Print_Area</vt:lpstr>
      <vt:lpstr>'BPA0308'!Print_Area</vt:lpstr>
      <vt:lpstr>'BPA0309'!Print_Area</vt:lpstr>
      <vt:lpstr>'BPA0310'!Print_Area</vt:lpstr>
      <vt:lpstr>'BPA0311'!Print_Area</vt:lpstr>
      <vt:lpstr>'BPA0314'!Print_Area</vt:lpstr>
      <vt:lpstr>'BPA0315'!Print_Area</vt:lpstr>
      <vt:lpstr>'BPA0316'!Print_Area</vt:lpstr>
      <vt:lpstr>'BPA0318'!Print_Area</vt:lpstr>
      <vt:lpstr>'BPA0320'!Print_Area</vt:lpstr>
      <vt:lpstr>'BPA0323'!Print_Area</vt:lpstr>
      <vt:lpstr>'BPA0324'!Print_Area</vt:lpstr>
      <vt:lpstr>'BPA0325'!Print_Area</vt:lpstr>
      <vt:lpstr>'BPA0326'!Print_Area</vt:lpstr>
      <vt:lpstr>'BPA0327'!Print_Area</vt:lpstr>
      <vt:lpstr>'BPA0328'!Print_Area</vt:lpstr>
      <vt:lpstr>'BPA0329'!Print_Area</vt:lpstr>
      <vt:lpstr>'BPA0330'!Print_Area</vt:lpstr>
      <vt:lpstr>'BPA0331'!Print_Area</vt:lpstr>
      <vt:lpstr>'BPA0332'!Print_Area</vt:lpstr>
      <vt:lpstr>'BPA0333'!Print_Area</vt:lpstr>
      <vt:lpstr>'BPA0334'!Print_Area</vt:lpstr>
      <vt:lpstr>'BPA0335'!Print_Area</vt:lpstr>
      <vt:lpstr>'BPA0336'!Print_Area</vt:lpstr>
      <vt:lpstr>'BPA0337'!Print_Area</vt:lpstr>
      <vt:lpstr>'BPA0339'!Print_Area</vt:lpstr>
      <vt:lpstr>'BPA0341'!Print_Area</vt:lpstr>
      <vt:lpstr>'BPA0342 '!Print_Area</vt:lpstr>
      <vt:lpstr>'BPA0343 '!Print_Area</vt:lpstr>
      <vt:lpstr>'BPA0344 '!Print_Area</vt:lpstr>
      <vt:lpstr>'BPA0345'!Print_Area</vt:lpstr>
      <vt:lpstr>'BPA0346'!Print_Area</vt:lpstr>
      <vt:lpstr>'BPA0347'!Print_Area</vt:lpstr>
      <vt:lpstr>'BPA0348'!Print_Area</vt:lpstr>
      <vt:lpstr>'BPA0349'!Print_Area</vt:lpstr>
      <vt:lpstr>'BPA0350'!Print_Area</vt:lpstr>
      <vt:lpstr>'BPA0351'!Print_Area</vt:lpstr>
      <vt:lpstr>'BPA0352'!Print_Area</vt:lpstr>
      <vt:lpstr>'BPA0353'!Print_Area</vt:lpstr>
      <vt:lpstr>'BPA0354'!Print_Area</vt:lpstr>
      <vt:lpstr>'BPA0355'!Print_Area</vt:lpstr>
      <vt:lpstr>'BPA0356'!Print_Area</vt:lpstr>
      <vt:lpstr>'BPA0357'!Print_Area</vt:lpstr>
      <vt:lpstr>'BPA0358 '!Print_Area</vt:lpstr>
      <vt:lpstr>'BPA0359'!Print_Area</vt:lpstr>
      <vt:lpstr>'BPA0360 '!Print_Area</vt:lpstr>
      <vt:lpstr>'BPA0361'!Print_Area</vt:lpstr>
      <vt:lpstr>'BPA0362'!Print_Area</vt:lpstr>
      <vt:lpstr>'BPA0363'!Print_Area</vt:lpstr>
      <vt:lpstr>Completed!Print_Area</vt:lpstr>
      <vt:lpstr>Current!Print_Area</vt:lpstr>
      <vt:lpstr>'E0004'!Print_Area</vt:lpstr>
      <vt:lpstr>'E0007'!Print_Area</vt:lpstr>
      <vt:lpstr>'E0009'!Print_Area</vt:lpstr>
      <vt:lpstr>'E0018'!Print_Area</vt:lpstr>
      <vt:lpstr>'E0019'!Print_Area</vt:lpstr>
      <vt:lpstr>'E0020'!Print_Area</vt:lpstr>
      <vt:lpstr>'E0373'!Print_Area</vt:lpstr>
      <vt:lpstr>'E10013'!Print_Area</vt:lpstr>
      <vt:lpstr>'E10018'!Print_Area</vt:lpstr>
      <vt:lpstr>'E10020'!Print_Area</vt:lpstr>
      <vt:lpstr>'E10021'!Print_Area</vt:lpstr>
      <vt:lpstr>'E9346'!Print_Area</vt:lpstr>
      <vt:lpstr>'Job Template'!Print_Area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Amandah Downie</dc:creator>
  <cp:keywords/>
  <dc:description/>
  <cp:lastModifiedBy>Alex Smith</cp:lastModifiedBy>
  <cp:revision/>
  <cp:lastPrinted>2025-08-29T04:26:18Z</cp:lastPrinted>
  <dcterms:created xsi:type="dcterms:W3CDTF">2020-09-30T02:53:42Z</dcterms:created>
  <dcterms:modified xsi:type="dcterms:W3CDTF">2025-09-01T06:37:46Z</dcterms:modified>
  <cp:category/>
  <cp:contentStatus/>
</cp:coreProperties>
</file>