
<file path=[Content_Types].xml><?xml version="1.0" encoding="utf-8"?>
<Types xmlns="http://schemas.openxmlformats.org/package/2006/content-types">
  <Default Extension="xml" ContentType="application/xml"/>
  <Default Extension="bin" ContentType="application/vnd.ms-office.vbaProject"/>
  <Default Extension="vml" ContentType="application/vnd.openxmlformats-officedocument.vmlDrawing"/>
  <Default Extension="rels" ContentType="application/vnd.openxmlformats-package.relationships+xml"/>
  <Override PartName="/xl/workbook.xml" ContentType="application/vnd.ms-excel.sheet.macroEnabled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8705" codeName="{B7FE6334-C1A2-E50D-BD3D-5F4D41BBC2E3}"/>
  <workbookPr codeName="ThisWorkbook" autoCompressPictures="0"/>
  <bookViews>
    <workbookView xWindow="2620" yWindow="6860" windowWidth="29220" windowHeight="17840" activeTab="1"/>
  </bookViews>
  <sheets>
    <sheet name="3D View" sheetId="5" r:id="rId1"/>
    <sheet name="DATA" sheetId="3" r:id="rId2"/>
    <sheet name="config" sheetId="6" r:id="rId3"/>
  </sheets>
  <definedNames>
    <definedName name="_RMX1">'3D View'!$AC$6</definedName>
    <definedName name="_RMX2">'3D View'!$AC$7</definedName>
    <definedName name="_RMX3">'3D View'!$AC$8</definedName>
    <definedName name="_RMY1">'3D View'!$AD$6</definedName>
    <definedName name="_RMY2">'3D View'!$AD$7</definedName>
    <definedName name="_RMY3">'3D View'!$AD$8</definedName>
    <definedName name="_RMZ1">'3D View'!$AE$6</definedName>
    <definedName name="_RMZ2">'3D View'!$AE$7</definedName>
    <definedName name="_RMZ3">'3D View'!$AE$8</definedName>
    <definedName name="firstLabel">#REF!</definedName>
    <definedName name="firstZ">#REF!</definedName>
    <definedName name="Inputparams">DATA!$S$14:$X$14</definedName>
    <definedName name="LEN_1">DATA!$S$7</definedName>
    <definedName name="LEN_2">DATA!$S$8</definedName>
    <definedName name="NrPoints">#REF!</definedName>
    <definedName name="PD">DATA!$S$6</definedName>
    <definedName name="PHIL">DATA!$S$2</definedName>
    <definedName name="_xlnm.Print_Area" localSheetId="1">DATA!$B$1:$Y$55</definedName>
    <definedName name="RD">DATA!$S$5</definedName>
    <definedName name="THETA_B">DATA!$S$4</definedName>
    <definedName name="THETA_P">DATA!$S$4</definedName>
    <definedName name="THETA_R">DATA!$S$2</definedName>
    <definedName name="THETA_S">DATA!$S$3</definedName>
    <definedName name="XCOS">'3D View'!$AC$3</definedName>
    <definedName name="XROTATE">'3D View'!$H$5</definedName>
    <definedName name="XSIN">'3D View'!$AC$2</definedName>
    <definedName name="YCOS">'3D View'!$AD$3</definedName>
    <definedName name="YROTATE">'3D View'!$H$6</definedName>
    <definedName name="YSIN">'3D View'!$AD$2</definedName>
    <definedName name="Z_HOME">DATA!$S$9</definedName>
    <definedName name="ZCOS">'3D View'!$AE$3</definedName>
    <definedName name="ZROTATE">'3D View'!$H$7</definedName>
    <definedName name="ZSIN">'3D View'!$AE$2</definedName>
  </definedName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X10" i="3" l="1"/>
  <c r="V10" i="3"/>
  <c r="I5" i="3"/>
  <c r="I15" i="3"/>
  <c r="J5" i="3"/>
  <c r="J15" i="3"/>
  <c r="K5" i="3"/>
  <c r="K15" i="3"/>
  <c r="E24" i="3"/>
  <c r="I24" i="3"/>
  <c r="K24" i="3"/>
  <c r="J24" i="3"/>
  <c r="F24" i="3"/>
  <c r="I6" i="3"/>
  <c r="I16" i="3"/>
  <c r="J6" i="3"/>
  <c r="J16" i="3"/>
  <c r="K6" i="3"/>
  <c r="K16" i="3"/>
  <c r="E25" i="3"/>
  <c r="I25" i="3"/>
  <c r="K25" i="3"/>
  <c r="J25" i="3"/>
  <c r="F25" i="3"/>
  <c r="I7" i="3"/>
  <c r="I17" i="3"/>
  <c r="J7" i="3"/>
  <c r="J17" i="3"/>
  <c r="K7" i="3"/>
  <c r="K17" i="3"/>
  <c r="E26" i="3"/>
  <c r="I26" i="3"/>
  <c r="K26" i="3"/>
  <c r="J26" i="3"/>
  <c r="F26" i="3"/>
  <c r="I8" i="3"/>
  <c r="I18" i="3"/>
  <c r="J8" i="3"/>
  <c r="J18" i="3"/>
  <c r="K8" i="3"/>
  <c r="K18" i="3"/>
  <c r="E27" i="3"/>
  <c r="I27" i="3"/>
  <c r="K27" i="3"/>
  <c r="J27" i="3"/>
  <c r="F27" i="3"/>
  <c r="I9" i="3"/>
  <c r="I19" i="3"/>
  <c r="J9" i="3"/>
  <c r="J19" i="3"/>
  <c r="K9" i="3"/>
  <c r="K19" i="3"/>
  <c r="E28" i="3"/>
  <c r="I28" i="3"/>
  <c r="K28" i="3"/>
  <c r="J28" i="3"/>
  <c r="F28" i="3"/>
  <c r="I4" i="3"/>
  <c r="I14" i="3"/>
  <c r="J4" i="3"/>
  <c r="J14" i="3"/>
  <c r="K4" i="3"/>
  <c r="K14" i="3"/>
  <c r="E23" i="3"/>
  <c r="I23" i="3"/>
  <c r="J23" i="3"/>
  <c r="K23" i="3"/>
  <c r="F23" i="3"/>
  <c r="C10" i="3"/>
  <c r="D10" i="3"/>
  <c r="C9" i="3"/>
  <c r="D9" i="3"/>
  <c r="C8" i="3"/>
  <c r="D8" i="3"/>
  <c r="C7" i="3"/>
  <c r="D7" i="3"/>
  <c r="C6" i="3"/>
  <c r="D6" i="3"/>
  <c r="C5" i="3"/>
  <c r="D5" i="3"/>
  <c r="I18" i="6"/>
  <c r="H18" i="6"/>
  <c r="G18" i="6"/>
  <c r="F18" i="6"/>
  <c r="E18" i="6"/>
  <c r="D18" i="6"/>
  <c r="I12" i="6"/>
  <c r="H12" i="6"/>
  <c r="G12" i="6"/>
  <c r="F12" i="6"/>
  <c r="E12" i="6"/>
  <c r="D12" i="6"/>
  <c r="I39" i="6"/>
  <c r="H39" i="6"/>
  <c r="G39" i="6"/>
  <c r="F39" i="6"/>
  <c r="E39" i="6"/>
  <c r="D39" i="6"/>
  <c r="E10" i="3"/>
  <c r="F10" i="3"/>
  <c r="S10" i="3"/>
  <c r="W10" i="3"/>
  <c r="T10" i="3"/>
  <c r="B19" i="3"/>
  <c r="C19" i="3"/>
  <c r="D19" i="3"/>
  <c r="E19" i="3"/>
  <c r="F19" i="3"/>
  <c r="E9" i="3"/>
  <c r="F9" i="3"/>
  <c r="B18" i="3"/>
  <c r="C18" i="3"/>
  <c r="D18" i="3"/>
  <c r="E18" i="3"/>
  <c r="F18" i="3"/>
  <c r="E8" i="3"/>
  <c r="F8" i="3"/>
  <c r="B17" i="3"/>
  <c r="C17" i="3"/>
  <c r="D17" i="3"/>
  <c r="E17" i="3"/>
  <c r="F17" i="3"/>
  <c r="E7" i="3"/>
  <c r="F7" i="3"/>
  <c r="B16" i="3"/>
  <c r="C16" i="3"/>
  <c r="D16" i="3"/>
  <c r="E16" i="3"/>
  <c r="F16" i="3"/>
  <c r="E6" i="3"/>
  <c r="F6" i="3"/>
  <c r="B15" i="3"/>
  <c r="C15" i="3"/>
  <c r="D15" i="3"/>
  <c r="E15" i="3"/>
  <c r="F15" i="3"/>
  <c r="U10" i="3"/>
  <c r="E5" i="3"/>
  <c r="F5" i="3"/>
  <c r="B14" i="3"/>
  <c r="C14" i="3"/>
  <c r="D14" i="3"/>
  <c r="E14" i="3"/>
  <c r="F14" i="3"/>
  <c r="N25" i="3"/>
  <c r="N26" i="3"/>
  <c r="I60" i="6"/>
  <c r="H60" i="6"/>
  <c r="G60" i="6"/>
  <c r="F60" i="6"/>
  <c r="E60" i="6"/>
  <c r="D60" i="6"/>
  <c r="I54" i="6"/>
  <c r="H54" i="6"/>
  <c r="G54" i="6"/>
  <c r="F54" i="6"/>
  <c r="E54" i="6"/>
  <c r="D54" i="6"/>
  <c r="I33" i="6"/>
  <c r="H33" i="6"/>
  <c r="G33" i="6"/>
  <c r="F33" i="6"/>
  <c r="E33" i="6"/>
  <c r="D33" i="6"/>
  <c r="AA5" i="3"/>
  <c r="AB5" i="3"/>
  <c r="N23" i="3"/>
  <c r="AA6" i="3"/>
  <c r="AB6" i="3"/>
  <c r="N24" i="3"/>
  <c r="AA7" i="3"/>
  <c r="AB7" i="3"/>
  <c r="AA8" i="3"/>
  <c r="AB8" i="3"/>
  <c r="AA9" i="3"/>
  <c r="AB9" i="3"/>
  <c r="N27" i="3"/>
  <c r="AA10" i="3"/>
  <c r="AB10" i="3"/>
  <c r="N28" i="3"/>
  <c r="O23" i="3"/>
  <c r="O24" i="3"/>
  <c r="O25" i="3"/>
  <c r="O26" i="3"/>
  <c r="O27" i="3"/>
  <c r="O28" i="3"/>
  <c r="X16" i="3"/>
  <c r="W16" i="3"/>
  <c r="V16" i="3"/>
  <c r="U16" i="3"/>
  <c r="S16" i="3"/>
  <c r="B10" i="3"/>
  <c r="B9" i="3"/>
  <c r="B8" i="3"/>
  <c r="B6" i="3"/>
  <c r="B7" i="3"/>
  <c r="B5" i="3"/>
  <c r="T16" i="3"/>
  <c r="I10" i="3"/>
  <c r="J10" i="3"/>
  <c r="C24" i="3"/>
  <c r="C25" i="3"/>
  <c r="C26" i="3"/>
  <c r="C27" i="3"/>
  <c r="C28" i="3"/>
  <c r="C23" i="3"/>
  <c r="D24" i="3"/>
  <c r="D25" i="3"/>
  <c r="D26" i="3"/>
  <c r="D27" i="3"/>
  <c r="D28" i="3"/>
  <c r="D23" i="3"/>
  <c r="AC19" i="3"/>
  <c r="AC18" i="3"/>
  <c r="AC17" i="3"/>
  <c r="AC16" i="3"/>
  <c r="AC15" i="3"/>
  <c r="AC14" i="3"/>
  <c r="AB19" i="3"/>
  <c r="AB18" i="3"/>
  <c r="AB17" i="3"/>
  <c r="AB16" i="3"/>
  <c r="AB15" i="3"/>
  <c r="AB14" i="3"/>
  <c r="AA19" i="3"/>
  <c r="AA18" i="3"/>
  <c r="AA17" i="3"/>
  <c r="AA16" i="3"/>
  <c r="AA15" i="3"/>
  <c r="AA14" i="3"/>
  <c r="V37" i="5"/>
  <c r="V36" i="5"/>
  <c r="V35" i="5"/>
  <c r="V34" i="5"/>
  <c r="V33" i="5"/>
  <c r="V32" i="5"/>
  <c r="U37" i="5"/>
  <c r="U36" i="5"/>
  <c r="U35" i="5"/>
  <c r="U34" i="5"/>
  <c r="U33" i="5"/>
  <c r="U32" i="5"/>
  <c r="T37" i="5"/>
  <c r="T36" i="5"/>
  <c r="T35" i="5"/>
  <c r="T34" i="5"/>
  <c r="T33" i="5"/>
  <c r="T32" i="5"/>
  <c r="V13" i="5"/>
  <c r="V82" i="5"/>
  <c r="V12" i="5"/>
  <c r="V81" i="5"/>
  <c r="V11" i="5"/>
  <c r="V10" i="5"/>
  <c r="V79" i="5"/>
  <c r="V9" i="5"/>
  <c r="V78" i="5"/>
  <c r="V8" i="5"/>
  <c r="V77" i="5"/>
  <c r="V83" i="5"/>
  <c r="L13" i="5"/>
  <c r="K13" i="5"/>
  <c r="J13" i="5"/>
  <c r="AC2" i="5"/>
  <c r="AD2" i="5"/>
  <c r="AE2" i="5"/>
  <c r="AC3" i="5"/>
  <c r="AD3" i="5"/>
  <c r="AE3" i="5"/>
  <c r="T101" i="5"/>
  <c r="U101" i="5"/>
  <c r="V101" i="5"/>
  <c r="V96" i="5"/>
  <c r="T90" i="5"/>
  <c r="U93" i="5"/>
  <c r="U109" i="5"/>
  <c r="U108" i="5"/>
  <c r="U104" i="5"/>
  <c r="U103" i="5"/>
  <c r="V110" i="5"/>
  <c r="V109" i="5"/>
  <c r="V108" i="5"/>
  <c r="V107" i="5"/>
  <c r="V106" i="5"/>
  <c r="V112" i="5"/>
  <c r="U113" i="5"/>
  <c r="U112" i="5"/>
  <c r="U115" i="5"/>
  <c r="V116" i="5"/>
  <c r="U116" i="5"/>
  <c r="V118" i="5"/>
  <c r="T119" i="5"/>
  <c r="T118" i="5"/>
  <c r="T116" i="5"/>
  <c r="T115" i="5"/>
  <c r="T108" i="5"/>
  <c r="T107" i="5"/>
  <c r="T103" i="5"/>
  <c r="T102" i="5"/>
  <c r="T113" i="5"/>
  <c r="T112" i="5"/>
  <c r="T110" i="5"/>
  <c r="T109" i="5"/>
  <c r="T106" i="5"/>
  <c r="T105" i="5"/>
  <c r="T104" i="5"/>
  <c r="V113" i="5"/>
  <c r="V115" i="5"/>
  <c r="V119" i="5"/>
  <c r="U119" i="5"/>
  <c r="U118" i="5"/>
  <c r="U110" i="5"/>
  <c r="U107" i="5"/>
  <c r="U106" i="5"/>
  <c r="U105" i="5"/>
  <c r="V105" i="5"/>
  <c r="V104" i="5"/>
  <c r="V103" i="5"/>
  <c r="V102" i="5"/>
  <c r="U102" i="5"/>
  <c r="V95" i="5"/>
  <c r="U92" i="5"/>
  <c r="T89" i="5"/>
  <c r="V46" i="5"/>
  <c r="V80" i="5"/>
  <c r="V23" i="5"/>
  <c r="V25" i="5"/>
  <c r="V48" i="5"/>
  <c r="V21" i="5"/>
  <c r="V44" i="5"/>
  <c r="V17" i="5"/>
  <c r="V40" i="5"/>
  <c r="V19" i="5"/>
  <c r="V42" i="5"/>
  <c r="V27" i="5"/>
  <c r="V50" i="5"/>
  <c r="AE7" i="5"/>
  <c r="AD6" i="5"/>
  <c r="AC8" i="5"/>
  <c r="AC7" i="5"/>
  <c r="AE8" i="5"/>
  <c r="AD8" i="5"/>
  <c r="AE6" i="5"/>
  <c r="AD7" i="5"/>
  <c r="AC6" i="5"/>
  <c r="I13" i="5"/>
  <c r="H13" i="5"/>
  <c r="G13" i="5"/>
  <c r="Y92" i="5"/>
  <c r="Y93" i="5"/>
  <c r="Y94" i="5"/>
  <c r="Y90" i="5"/>
  <c r="Y89" i="5"/>
  <c r="Y91" i="5"/>
  <c r="Z89" i="5"/>
  <c r="Z101" i="5"/>
  <c r="Y101" i="5"/>
  <c r="Z109" i="5"/>
  <c r="Z113" i="5"/>
  <c r="Z112" i="5"/>
  <c r="Z104" i="5"/>
  <c r="Z92" i="5"/>
  <c r="Y119" i="5"/>
  <c r="Y116" i="5"/>
  <c r="Y113" i="5"/>
  <c r="Y110" i="5"/>
  <c r="Y108" i="5"/>
  <c r="Y106" i="5"/>
  <c r="Y104" i="5"/>
  <c r="Y102" i="5"/>
  <c r="Y96" i="5"/>
  <c r="Y118" i="5"/>
  <c r="Y115" i="5"/>
  <c r="Y112" i="5"/>
  <c r="Y109" i="5"/>
  <c r="Y107" i="5"/>
  <c r="Y105" i="5"/>
  <c r="Y103" i="5"/>
  <c r="Y95" i="5"/>
  <c r="Z90" i="5"/>
  <c r="Z102" i="5"/>
  <c r="Z110" i="5"/>
  <c r="Z95" i="5"/>
  <c r="Z107" i="5"/>
  <c r="Z118" i="5"/>
  <c r="Z96" i="5"/>
  <c r="Z108" i="5"/>
  <c r="Z119" i="5"/>
  <c r="Z93" i="5"/>
  <c r="Z105" i="5"/>
  <c r="Z115" i="5"/>
  <c r="Z94" i="5"/>
  <c r="Z106" i="5"/>
  <c r="Z116" i="5"/>
  <c r="Z91" i="5"/>
  <c r="Z103" i="5"/>
  <c r="U8" i="5"/>
  <c r="U77" i="5"/>
  <c r="U83" i="5"/>
  <c r="U9" i="5"/>
  <c r="U78" i="5"/>
  <c r="U11" i="5"/>
  <c r="U80" i="5"/>
  <c r="U13" i="5"/>
  <c r="U82" i="5"/>
  <c r="U12" i="5"/>
  <c r="U81" i="5"/>
  <c r="U10" i="5"/>
  <c r="U79" i="5"/>
  <c r="T12" i="5"/>
  <c r="T81" i="5"/>
  <c r="Z81" i="5"/>
  <c r="T11" i="5"/>
  <c r="T80" i="5"/>
  <c r="Z80" i="5"/>
  <c r="T13" i="5"/>
  <c r="T82" i="5"/>
  <c r="Z82" i="5"/>
  <c r="T10" i="5"/>
  <c r="T79" i="5"/>
  <c r="Z79" i="5"/>
  <c r="U3" i="5"/>
  <c r="U4" i="5"/>
  <c r="V7" i="5"/>
  <c r="V6" i="5"/>
  <c r="U5" i="5"/>
  <c r="V5" i="5"/>
  <c r="U17" i="5"/>
  <c r="U40" i="5"/>
  <c r="U21" i="5"/>
  <c r="U44" i="5"/>
  <c r="U27" i="5"/>
  <c r="U50" i="5"/>
  <c r="U19" i="5"/>
  <c r="U42" i="5"/>
  <c r="U25" i="5"/>
  <c r="U48" i="5"/>
  <c r="U23" i="5"/>
  <c r="U46" i="5"/>
  <c r="T8" i="5"/>
  <c r="T77" i="5"/>
  <c r="T9" i="5"/>
  <c r="T78" i="5"/>
  <c r="U7" i="5"/>
  <c r="U6" i="5"/>
  <c r="Y80" i="5"/>
  <c r="T46" i="5"/>
  <c r="Z46" i="5"/>
  <c r="T23" i="5"/>
  <c r="Z23" i="5"/>
  <c r="T21" i="5"/>
  <c r="Y21" i="5"/>
  <c r="T44" i="5"/>
  <c r="Z44" i="5"/>
  <c r="Y79" i="5"/>
  <c r="T27" i="5"/>
  <c r="Z27" i="5"/>
  <c r="T25" i="5"/>
  <c r="Y25" i="5"/>
  <c r="Y81" i="5"/>
  <c r="T50" i="5"/>
  <c r="Z50" i="5"/>
  <c r="T48" i="5"/>
  <c r="Z48" i="5"/>
  <c r="Y82" i="5"/>
  <c r="T3" i="5"/>
  <c r="T70" i="5"/>
  <c r="T2" i="5"/>
  <c r="U2" i="5"/>
  <c r="U69" i="5"/>
  <c r="U75" i="5"/>
  <c r="T83" i="5"/>
  <c r="Y77" i="5"/>
  <c r="Z77" i="5"/>
  <c r="Y78" i="5"/>
  <c r="Z78" i="5"/>
  <c r="U26" i="5"/>
  <c r="U64" i="5"/>
  <c r="U74" i="5"/>
  <c r="U20" i="5"/>
  <c r="U58" i="5"/>
  <c r="U71" i="5"/>
  <c r="U24" i="5"/>
  <c r="U62" i="5"/>
  <c r="U73" i="5"/>
  <c r="U18" i="5"/>
  <c r="U56" i="5"/>
  <c r="U70" i="5"/>
  <c r="U22" i="5"/>
  <c r="U60" i="5"/>
  <c r="U72" i="5"/>
  <c r="V22" i="5"/>
  <c r="V60" i="5"/>
  <c r="V72" i="5"/>
  <c r="V24" i="5"/>
  <c r="V62" i="5"/>
  <c r="V73" i="5"/>
  <c r="V26" i="5"/>
  <c r="V64" i="5"/>
  <c r="V74" i="5"/>
  <c r="T4" i="5"/>
  <c r="V4" i="5"/>
  <c r="V3" i="5"/>
  <c r="T17" i="5"/>
  <c r="Z17" i="5"/>
  <c r="T40" i="5"/>
  <c r="T19" i="5"/>
  <c r="Z19" i="5"/>
  <c r="T42" i="5"/>
  <c r="V2" i="5"/>
  <c r="T5" i="5"/>
  <c r="T7" i="5"/>
  <c r="T6" i="5"/>
  <c r="Y8" i="5"/>
  <c r="Z13" i="5"/>
  <c r="Y9" i="5"/>
  <c r="Y11" i="5"/>
  <c r="Y12" i="5"/>
  <c r="Z25" i="5"/>
  <c r="Y27" i="5"/>
  <c r="Y44" i="5"/>
  <c r="Z21" i="5"/>
  <c r="Y23" i="5"/>
  <c r="Y46" i="5"/>
  <c r="Y48" i="5"/>
  <c r="Y50" i="5"/>
  <c r="T18" i="5"/>
  <c r="T56" i="5"/>
  <c r="U16" i="5"/>
  <c r="U54" i="5"/>
  <c r="Y19" i="5"/>
  <c r="Y83" i="5"/>
  <c r="Z83" i="5"/>
  <c r="T26" i="5"/>
  <c r="T64" i="5"/>
  <c r="T74" i="5"/>
  <c r="Y74" i="5"/>
  <c r="T20" i="5"/>
  <c r="T58" i="5"/>
  <c r="T71" i="5"/>
  <c r="T16" i="5"/>
  <c r="T54" i="5"/>
  <c r="T69" i="5"/>
  <c r="T75" i="5"/>
  <c r="T24" i="5"/>
  <c r="Z24" i="5"/>
  <c r="T73" i="5"/>
  <c r="Y73" i="5"/>
  <c r="T22" i="5"/>
  <c r="Z22" i="5"/>
  <c r="T72" i="5"/>
  <c r="Z72" i="5"/>
  <c r="V16" i="5"/>
  <c r="V54" i="5"/>
  <c r="V69" i="5"/>
  <c r="V18" i="5"/>
  <c r="V56" i="5"/>
  <c r="V70" i="5"/>
  <c r="V20" i="5"/>
  <c r="V58" i="5"/>
  <c r="V71" i="5"/>
  <c r="Z40" i="5"/>
  <c r="Y40" i="5"/>
  <c r="Z42" i="5"/>
  <c r="Y42" i="5"/>
  <c r="Y17" i="5"/>
  <c r="Z9" i="5"/>
  <c r="Z11" i="5"/>
  <c r="Z8" i="5"/>
  <c r="Y13" i="5"/>
  <c r="Y10" i="5"/>
  <c r="Z10" i="5"/>
  <c r="Z12" i="5"/>
  <c r="Y56" i="5"/>
  <c r="Z74" i="5"/>
  <c r="T62" i="5"/>
  <c r="Y62" i="5"/>
  <c r="Y24" i="5"/>
  <c r="Y26" i="5"/>
  <c r="Y58" i="5"/>
  <c r="Z73" i="5"/>
  <c r="Z26" i="5"/>
  <c r="Y22" i="5"/>
  <c r="Y72" i="5"/>
  <c r="Y54" i="5"/>
  <c r="T60" i="5"/>
  <c r="Y60" i="5"/>
  <c r="Z58" i="5"/>
  <c r="Z54" i="5"/>
  <c r="Y20" i="5"/>
  <c r="Z20" i="5"/>
  <c r="Z70" i="5"/>
  <c r="Y70" i="5"/>
  <c r="V75" i="5"/>
  <c r="Y69" i="5"/>
  <c r="Z69" i="5"/>
  <c r="Z71" i="5"/>
  <c r="Y71" i="5"/>
  <c r="Z16" i="5"/>
  <c r="Y16" i="5"/>
  <c r="Y18" i="5"/>
  <c r="Z18" i="5"/>
  <c r="Z56" i="5"/>
  <c r="Z64" i="5"/>
  <c r="Y64" i="5"/>
  <c r="Z2" i="5"/>
  <c r="Y2" i="5"/>
  <c r="Z4" i="5"/>
  <c r="Y4" i="5"/>
  <c r="Y7" i="5"/>
  <c r="Y3" i="5"/>
  <c r="Z62" i="5"/>
  <c r="Z60" i="5"/>
  <c r="Z75" i="5"/>
  <c r="Y75" i="5"/>
  <c r="N6" i="5"/>
  <c r="N7" i="5"/>
  <c r="Z3" i="5"/>
  <c r="Y5" i="5"/>
  <c r="Z5" i="5"/>
  <c r="Y6" i="5"/>
  <c r="Z6" i="5"/>
  <c r="Z7" i="5"/>
  <c r="T47" i="5"/>
  <c r="T61" i="5"/>
  <c r="U47" i="5"/>
  <c r="U61" i="5"/>
  <c r="T45" i="5"/>
  <c r="T59" i="5"/>
  <c r="U45" i="5"/>
  <c r="U59" i="5"/>
  <c r="V45" i="5"/>
  <c r="V59" i="5"/>
  <c r="V47" i="5"/>
  <c r="V61" i="5"/>
  <c r="N8" i="5"/>
  <c r="N5" i="5"/>
  <c r="N9" i="5"/>
  <c r="T51" i="5"/>
  <c r="T65" i="5"/>
  <c r="U51" i="5"/>
  <c r="U65" i="5"/>
  <c r="T49" i="5"/>
  <c r="T63" i="5"/>
  <c r="U49" i="5"/>
  <c r="U63" i="5"/>
  <c r="T43" i="5"/>
  <c r="T57" i="5"/>
  <c r="U43" i="5"/>
  <c r="U57" i="5"/>
  <c r="Y61" i="5"/>
  <c r="Z61" i="5"/>
  <c r="Z59" i="5"/>
  <c r="Y59" i="5"/>
  <c r="Y45" i="5"/>
  <c r="Z47" i="5"/>
  <c r="Y47" i="5"/>
  <c r="Z45" i="5"/>
  <c r="V43" i="5"/>
  <c r="V57" i="5"/>
  <c r="V51" i="5"/>
  <c r="V65" i="5"/>
  <c r="V49" i="5"/>
  <c r="V63" i="5"/>
  <c r="N4" i="5"/>
  <c r="Y63" i="5"/>
  <c r="Y65" i="5"/>
  <c r="Z57" i="5"/>
  <c r="Z65" i="5"/>
  <c r="Y57" i="5"/>
  <c r="Z63" i="5"/>
  <c r="Z51" i="5"/>
  <c r="Y51" i="5"/>
  <c r="Y49" i="5"/>
  <c r="Y43" i="5"/>
  <c r="Z43" i="5"/>
  <c r="Z49" i="5"/>
  <c r="T41" i="5"/>
  <c r="T55" i="5"/>
  <c r="U41" i="5"/>
  <c r="U55" i="5"/>
  <c r="V41" i="5"/>
  <c r="V55" i="5"/>
  <c r="Y55" i="5"/>
  <c r="Y41" i="5"/>
  <c r="Z55" i="5"/>
  <c r="Z41" i="5"/>
</calcChain>
</file>

<file path=xl/sharedStrings.xml><?xml version="1.0" encoding="utf-8"?>
<sst xmlns="http://schemas.openxmlformats.org/spreadsheetml/2006/main" count="232" uniqueCount="124">
  <si>
    <t>Theta_R</t>
  </si>
  <si>
    <t>Theta_S</t>
  </si>
  <si>
    <t>Theta_P</t>
  </si>
  <si>
    <t>RD</t>
  </si>
  <si>
    <t>PD</t>
  </si>
  <si>
    <t>L1</t>
  </si>
  <si>
    <t>L2</t>
  </si>
  <si>
    <t>Z_Home</t>
  </si>
  <si>
    <t>default z height with servo arms horizontal</t>
  </si>
  <si>
    <t>sway, surge, heave, pitch, roll, yaw</t>
  </si>
  <si>
    <t>X</t>
  </si>
  <si>
    <t>Y</t>
  </si>
  <si>
    <t>Z</t>
  </si>
  <si>
    <t>pe</t>
  </si>
  <si>
    <t>Platform Coords</t>
  </si>
  <si>
    <t>Base Coords</t>
  </si>
  <si>
    <t>Original</t>
  </si>
  <si>
    <t>Xcoord</t>
  </si>
  <si>
    <t>Ycoord</t>
  </si>
  <si>
    <t>Zcoord</t>
  </si>
  <si>
    <t>Dervied</t>
  </si>
  <si>
    <t>Calculated Angles</t>
  </si>
  <si>
    <t>Sin values</t>
  </si>
  <si>
    <t>Cos values</t>
  </si>
  <si>
    <t>Rotation Matrix</t>
  </si>
  <si>
    <t>Angle of rotation for chart</t>
  </si>
  <si>
    <t>X Angle</t>
  </si>
  <si>
    <t>Y Angle</t>
  </si>
  <si>
    <t>Z Angle</t>
  </si>
  <si>
    <t>Axes</t>
  </si>
  <si>
    <t>Cage</t>
  </si>
  <si>
    <t>Cage Zoom</t>
  </si>
  <si>
    <t>B1</t>
  </si>
  <si>
    <t>B2</t>
  </si>
  <si>
    <t>B3</t>
  </si>
  <si>
    <t>B4</t>
  </si>
  <si>
    <t>B5</t>
  </si>
  <si>
    <t>B6</t>
  </si>
  <si>
    <t>P1</t>
  </si>
  <si>
    <t>P2</t>
  </si>
  <si>
    <t>P3</t>
  </si>
  <si>
    <t>P4</t>
  </si>
  <si>
    <t>P5</t>
  </si>
  <si>
    <t>P6</t>
  </si>
  <si>
    <t>L</t>
  </si>
  <si>
    <t>M</t>
  </si>
  <si>
    <t>Pitch X</t>
  </si>
  <si>
    <t>Roll Y</t>
  </si>
  <si>
    <t>Yaw Z</t>
  </si>
  <si>
    <t>About Z</t>
  </si>
  <si>
    <t>about X</t>
  </si>
  <si>
    <t>About Y</t>
  </si>
  <si>
    <t>ISO</t>
  </si>
  <si>
    <t>Eff Leg1</t>
  </si>
  <si>
    <t>Eff Leg2</t>
  </si>
  <si>
    <t>Eff Leg3</t>
  </si>
  <si>
    <t>Eff Leg4</t>
  </si>
  <si>
    <t>Eff Leg5</t>
  </si>
  <si>
    <t>Eff Leg6</t>
  </si>
  <si>
    <t>Bottompivot points</t>
  </si>
  <si>
    <t>Base rotation (q)</t>
  </si>
  <si>
    <t>Platform pivots(r)</t>
  </si>
  <si>
    <t>delta L</t>
  </si>
  <si>
    <t>Servo arm 1</t>
  </si>
  <si>
    <t>Servo arm 2</t>
  </si>
  <si>
    <t>Servo arm 3</t>
  </si>
  <si>
    <t>Servo arm 4</t>
  </si>
  <si>
    <t>Servo arm 5</t>
  </si>
  <si>
    <t>Servo arm 6</t>
  </si>
  <si>
    <t>Conrod 1</t>
  </si>
  <si>
    <t>Conrod 2</t>
  </si>
  <si>
    <t>Conrod 3</t>
  </si>
  <si>
    <t>Conrod 4</t>
  </si>
  <si>
    <t>Conrod 5</t>
  </si>
  <si>
    <t>Conrod 6</t>
  </si>
  <si>
    <t>Platform ring</t>
  </si>
  <si>
    <t>Base Ring</t>
  </si>
  <si>
    <t>Axis ERROR</t>
  </si>
  <si>
    <t>Graph display settings</t>
  </si>
  <si>
    <t>Base Radius</t>
  </si>
  <si>
    <t>Platform Radius</t>
  </si>
  <si>
    <t>Base Servo Joint Angle (α)</t>
  </si>
  <si>
    <t xml:space="preserve">Platform Joint Angle (β) </t>
  </si>
  <si>
    <t>Servo arm length</t>
  </si>
  <si>
    <t>Connecting arm length</t>
  </si>
  <si>
    <t>Please use this file for personal use only, published on as is basis. I take no responsibility for any injury, damages or losses that occur as a result of using this calculator. Donations welcome :)</t>
    <phoneticPr fontId="12"/>
  </si>
  <si>
    <t>dmwaters1982@gmail.com</t>
    <phoneticPr fontId="12"/>
  </si>
  <si>
    <t>K</t>
  </si>
  <si>
    <t>Inputs</t>
  </si>
  <si>
    <t>Outputs</t>
  </si>
  <si>
    <t>Config</t>
  </si>
  <si>
    <t>MIN</t>
  </si>
  <si>
    <t>MAX</t>
  </si>
  <si>
    <t>MID</t>
  </si>
  <si>
    <t>axisAngle</t>
  </si>
  <si>
    <t>coordX</t>
  </si>
  <si>
    <t>coordY</t>
  </si>
  <si>
    <t>axisOffsetAbs</t>
  </si>
  <si>
    <t>Chart stuff. Not relevant to actual IK calculation</t>
  </si>
  <si>
    <t>OverExtended</t>
  </si>
  <si>
    <t>KLM</t>
  </si>
  <si>
    <t>Geometry Shenanigans</t>
  </si>
  <si>
    <t>Illegal Input Values by Servo</t>
  </si>
  <si>
    <t>*Note that alternating servos will need to be reversed 
(take the negative of the proposed angle above)</t>
  </si>
  <si>
    <t>Sway(x)</t>
  </si>
  <si>
    <t>Surge(y)</t>
  </si>
  <si>
    <t>Heave(z)</t>
  </si>
  <si>
    <t>Chart support.</t>
  </si>
  <si>
    <t>Radians</t>
  </si>
  <si>
    <t>Degrees</t>
  </si>
  <si>
    <t>Servo angles*</t>
  </si>
  <si>
    <t>Angle at which the servo arm lies(Degrees from X axis)</t>
  </si>
  <si>
    <t>Pitch (deg.)</t>
  </si>
  <si>
    <t>Roll (deg.)</t>
  </si>
  <si>
    <t>Yaw (deg.)</t>
  </si>
  <si>
    <t>Original config</t>
  </si>
  <si>
    <t>Small platform</t>
  </si>
  <si>
    <t>Large platform</t>
  </si>
  <si>
    <r>
      <t>Theta_</t>
    </r>
    <r>
      <rPr>
        <sz val="12"/>
        <color theme="1"/>
        <rFont val="Calibri"/>
        <family val="2"/>
        <charset val="134"/>
        <scheme val="minor"/>
      </rPr>
      <t>P</t>
    </r>
  </si>
  <si>
    <r>
      <t>Theta_</t>
    </r>
    <r>
      <rPr>
        <sz val="12"/>
        <color theme="1"/>
        <rFont val="Calibri"/>
        <family val="2"/>
        <charset val="134"/>
        <scheme val="minor"/>
      </rPr>
      <t>B</t>
    </r>
  </si>
  <si>
    <t>P_Rad</t>
  </si>
  <si>
    <t>B_Rad</t>
  </si>
  <si>
    <t>ARM_LENGTH</t>
  </si>
  <si>
    <t>ROD_LENGTH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</si>
</sst>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 * #,##0.00_ ;_ * \-#,##0.00_ ;_ * &quot;-&quot;??_ ;_ @_ "/>
  </numFmts>
  <fonts count="16" x14ac:knownFonts="1">
    <font>
      <sz val="10"/>
      <color theme="1"/>
      <name val="MetaPlusLF"/>
      <family val="2"/>
    </font>
    <font>
      <sz val="12"/>
      <color theme="1"/>
      <name val="Calibri"/>
      <family val="2"/>
      <charset val="134"/>
      <scheme val="minor"/>
    </font>
    <font>
      <sz val="12"/>
      <color theme="1"/>
      <name val="Calibri"/>
      <family val="2"/>
      <charset val="134"/>
      <scheme val="minor"/>
    </font>
    <font>
      <sz val="12"/>
      <color theme="1"/>
      <name val="Calibri"/>
      <family val="2"/>
      <charset val="134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MetaPlusLF"/>
      <family val="2"/>
    </font>
    <font>
      <sz val="10"/>
      <name val="Verdana"/>
      <family val="2"/>
    </font>
    <font>
      <sz val="10"/>
      <name val="Arial"/>
      <family val="2"/>
    </font>
    <font>
      <sz val="10"/>
      <color rgb="FF000000"/>
      <name val="MetaPlusLF"/>
    </font>
    <font>
      <b/>
      <u/>
      <sz val="10"/>
      <name val="Arial"/>
      <family val="2"/>
    </font>
    <font>
      <sz val="6"/>
      <name val="HGGothicE"/>
      <family val="3"/>
      <charset val="128"/>
    </font>
    <font>
      <u/>
      <sz val="10"/>
      <color theme="10"/>
      <name val="MetaPlusLF"/>
    </font>
    <font>
      <u/>
      <sz val="10"/>
      <color theme="11"/>
      <name val="MetaPlusLF"/>
      <family val="2"/>
    </font>
    <font>
      <sz val="12"/>
      <color rgb="FF006100"/>
      <name val="Calibri"/>
      <family val="2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rgb="FFC6EFCE"/>
      </patternFill>
    </fill>
  </fills>
  <borders count="24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</borders>
  <cellStyleXfs count="72">
    <xf numFmtId="0" fontId="0" fillId="0" borderId="0"/>
    <xf numFmtId="164" fontId="7" fillId="0" borderId="0" applyFont="0" applyFill="0" applyBorder="0" applyAlignment="0" applyProtection="0"/>
    <xf numFmtId="0" fontId="8" fillId="0" borderId="0"/>
    <xf numFmtId="0" fontId="9" fillId="0" borderId="0"/>
    <xf numFmtId="0" fontId="13" fillId="0" borderId="0" applyNumberFormat="0" applyFill="0" applyBorder="0" applyAlignment="0" applyProtection="0">
      <alignment vertical="top"/>
      <protection locked="0"/>
    </xf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5" fillId="7" borderId="0" applyNumberFormat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8" borderId="0" applyNumberFormat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</cellStyleXfs>
  <cellXfs count="131">
    <xf numFmtId="0" fontId="0" fillId="0" borderId="0" xfId="0"/>
    <xf numFmtId="0" fontId="9" fillId="0" borderId="0" xfId="3"/>
    <xf numFmtId="0" fontId="9" fillId="0" borderId="0" xfId="3" applyFill="1" applyBorder="1"/>
    <xf numFmtId="0" fontId="9" fillId="0" borderId="2" xfId="3" applyBorder="1"/>
    <xf numFmtId="0" fontId="9" fillId="0" borderId="3" xfId="3" applyBorder="1"/>
    <xf numFmtId="0" fontId="9" fillId="0" borderId="4" xfId="3" applyBorder="1"/>
    <xf numFmtId="0" fontId="9" fillId="3" borderId="2" xfId="3" applyFill="1" applyBorder="1"/>
    <xf numFmtId="0" fontId="9" fillId="3" borderId="3" xfId="3" applyFill="1" applyBorder="1"/>
    <xf numFmtId="0" fontId="9" fillId="3" borderId="4" xfId="3" applyFill="1" applyBorder="1"/>
    <xf numFmtId="0" fontId="9" fillId="0" borderId="1" xfId="3" applyBorder="1"/>
    <xf numFmtId="0" fontId="9" fillId="0" borderId="0" xfId="3" applyBorder="1"/>
    <xf numFmtId="0" fontId="9" fillId="0" borderId="5" xfId="3" applyBorder="1"/>
    <xf numFmtId="0" fontId="9" fillId="3" borderId="6" xfId="3" applyFill="1" applyBorder="1"/>
    <xf numFmtId="0" fontId="9" fillId="3" borderId="7" xfId="3" applyFill="1" applyBorder="1"/>
    <xf numFmtId="0" fontId="9" fillId="3" borderId="8" xfId="3" applyFill="1" applyBorder="1"/>
    <xf numFmtId="0" fontId="9" fillId="3" borderId="1" xfId="3" applyFill="1" applyBorder="1"/>
    <xf numFmtId="0" fontId="9" fillId="3" borderId="0" xfId="3" applyFill="1" applyBorder="1"/>
    <xf numFmtId="0" fontId="9" fillId="3" borderId="5" xfId="3" applyFill="1" applyBorder="1"/>
    <xf numFmtId="0" fontId="9" fillId="0" borderId="6" xfId="3" applyBorder="1"/>
    <xf numFmtId="0" fontId="9" fillId="0" borderId="7" xfId="3" applyBorder="1"/>
    <xf numFmtId="0" fontId="9" fillId="0" borderId="8" xfId="3" applyBorder="1"/>
    <xf numFmtId="0" fontId="9" fillId="3" borderId="9" xfId="3" applyFill="1" applyBorder="1"/>
    <xf numFmtId="15" fontId="9" fillId="0" borderId="0" xfId="3" applyNumberFormat="1"/>
    <xf numFmtId="0" fontId="0" fillId="0" borderId="13" xfId="0" applyBorder="1"/>
    <xf numFmtId="0" fontId="0" fillId="0" borderId="14" xfId="0" applyBorder="1"/>
    <xf numFmtId="0" fontId="0" fillId="0" borderId="15" xfId="0" applyBorder="1"/>
    <xf numFmtId="164" fontId="0" fillId="0" borderId="17" xfId="1" applyFont="1" applyBorder="1"/>
    <xf numFmtId="0" fontId="9" fillId="0" borderId="13" xfId="3" applyBorder="1"/>
    <xf numFmtId="0" fontId="9" fillId="0" borderId="15" xfId="3" applyBorder="1"/>
    <xf numFmtId="0" fontId="9" fillId="0" borderId="16" xfId="3" applyBorder="1"/>
    <xf numFmtId="0" fontId="9" fillId="0" borderId="18" xfId="3" applyBorder="1"/>
    <xf numFmtId="164" fontId="0" fillId="0" borderId="20" xfId="1" applyFont="1" applyBorder="1"/>
    <xf numFmtId="0" fontId="11" fillId="0" borderId="0" xfId="3" applyFont="1"/>
    <xf numFmtId="0" fontId="9" fillId="0" borderId="17" xfId="3" applyBorder="1"/>
    <xf numFmtId="0" fontId="9" fillId="0" borderId="19" xfId="3" applyBorder="1"/>
    <xf numFmtId="0" fontId="9" fillId="0" borderId="20" xfId="3" applyBorder="1"/>
    <xf numFmtId="0" fontId="9" fillId="0" borderId="14" xfId="3" applyBorder="1"/>
    <xf numFmtId="0" fontId="13" fillId="0" borderId="0" xfId="4" applyAlignment="1" applyProtection="1"/>
    <xf numFmtId="0" fontId="5" fillId="7" borderId="13" xfId="8" applyFont="1" applyBorder="1"/>
    <xf numFmtId="0" fontId="5" fillId="7" borderId="14" xfId="8" applyFont="1" applyBorder="1"/>
    <xf numFmtId="0" fontId="5" fillId="7" borderId="15" xfId="8" applyFont="1" applyBorder="1"/>
    <xf numFmtId="0" fontId="5" fillId="7" borderId="16" xfId="8" applyFont="1" applyBorder="1"/>
    <xf numFmtId="0" fontId="5" fillId="7" borderId="0" xfId="8" applyFont="1" applyBorder="1"/>
    <xf numFmtId="164" fontId="5" fillId="7" borderId="0" xfId="8" applyNumberFormat="1" applyFont="1" applyBorder="1"/>
    <xf numFmtId="164" fontId="5" fillId="7" borderId="17" xfId="8" applyNumberFormat="1" applyFont="1" applyBorder="1"/>
    <xf numFmtId="0" fontId="5" fillId="7" borderId="18" xfId="8" applyFont="1" applyBorder="1"/>
    <xf numFmtId="0" fontId="5" fillId="7" borderId="19" xfId="8" applyFont="1" applyBorder="1"/>
    <xf numFmtId="0" fontId="5" fillId="7" borderId="20" xfId="8" applyFont="1" applyBorder="1"/>
    <xf numFmtId="0" fontId="5" fillId="0" borderId="0" xfId="0" applyFont="1" applyBorder="1"/>
    <xf numFmtId="0" fontId="5" fillId="0" borderId="0" xfId="0" applyFont="1"/>
    <xf numFmtId="0" fontId="5" fillId="0" borderId="0" xfId="0" applyFont="1" applyFill="1"/>
    <xf numFmtId="0" fontId="5" fillId="0" borderId="13" xfId="0" applyFont="1" applyBorder="1"/>
    <xf numFmtId="0" fontId="5" fillId="0" borderId="14" xfId="0" applyFont="1" applyBorder="1"/>
    <xf numFmtId="0" fontId="5" fillId="0" borderId="15" xfId="0" applyFont="1" applyBorder="1"/>
    <xf numFmtId="0" fontId="5" fillId="0" borderId="13" xfId="0" applyFont="1" applyFill="1" applyBorder="1"/>
    <xf numFmtId="0" fontId="5" fillId="0" borderId="15" xfId="0" applyFont="1" applyFill="1" applyBorder="1"/>
    <xf numFmtId="0" fontId="5" fillId="6" borderId="11" xfId="7" applyFont="1" applyBorder="1"/>
    <xf numFmtId="0" fontId="5" fillId="4" borderId="22" xfId="5" applyFont="1" applyBorder="1"/>
    <xf numFmtId="0" fontId="5" fillId="0" borderId="16" xfId="0" applyFont="1" applyBorder="1"/>
    <xf numFmtId="0" fontId="5" fillId="0" borderId="17" xfId="0" applyFont="1" applyBorder="1"/>
    <xf numFmtId="0" fontId="5" fillId="0" borderId="0" xfId="0" applyFont="1" applyFill="1" applyBorder="1"/>
    <xf numFmtId="0" fontId="5" fillId="0" borderId="17" xfId="0" applyFont="1" applyFill="1" applyBorder="1"/>
    <xf numFmtId="0" fontId="5" fillId="5" borderId="12" xfId="6" applyFont="1" applyBorder="1"/>
    <xf numFmtId="0" fontId="5" fillId="4" borderId="1" xfId="5" applyFont="1" applyBorder="1"/>
    <xf numFmtId="0" fontId="5" fillId="4" borderId="21" xfId="5" applyFont="1" applyBorder="1"/>
    <xf numFmtId="0" fontId="5" fillId="4" borderId="23" xfId="5" applyFont="1" applyBorder="1"/>
    <xf numFmtId="0" fontId="5" fillId="0" borderId="16" xfId="0" applyFont="1" applyFill="1" applyBorder="1"/>
    <xf numFmtId="2" fontId="5" fillId="0" borderId="0" xfId="0" applyNumberFormat="1" applyFont="1" applyFill="1" applyBorder="1"/>
    <xf numFmtId="2" fontId="5" fillId="0" borderId="17" xfId="0" applyNumberFormat="1" applyFont="1" applyFill="1" applyBorder="1"/>
    <xf numFmtId="2" fontId="5" fillId="0" borderId="0" xfId="0" applyNumberFormat="1" applyFont="1" applyFill="1"/>
    <xf numFmtId="0" fontId="5" fillId="4" borderId="12" xfId="5" applyFont="1" applyBorder="1"/>
    <xf numFmtId="0" fontId="5" fillId="7" borderId="10" xfId="8" applyFont="1" applyBorder="1"/>
    <xf numFmtId="0" fontId="5" fillId="0" borderId="18" xfId="0" applyFont="1" applyFill="1" applyBorder="1"/>
    <xf numFmtId="2" fontId="5" fillId="0" borderId="19" xfId="0" applyNumberFormat="1" applyFont="1" applyFill="1" applyBorder="1"/>
    <xf numFmtId="2" fontId="5" fillId="0" borderId="20" xfId="0" applyNumberFormat="1" applyFont="1" applyFill="1" applyBorder="1"/>
    <xf numFmtId="0" fontId="5" fillId="4" borderId="10" xfId="5" applyFont="1" applyBorder="1"/>
    <xf numFmtId="0" fontId="5" fillId="0" borderId="18" xfId="0" applyFont="1" applyBorder="1"/>
    <xf numFmtId="0" fontId="5" fillId="0" borderId="19" xfId="0" applyFont="1" applyBorder="1"/>
    <xf numFmtId="0" fontId="5" fillId="2" borderId="0" xfId="0" applyFont="1" applyFill="1" applyBorder="1"/>
    <xf numFmtId="164" fontId="5" fillId="0" borderId="19" xfId="1" applyFont="1" applyBorder="1"/>
    <xf numFmtId="164" fontId="5" fillId="0" borderId="20" xfId="1" applyFont="1" applyBorder="1"/>
    <xf numFmtId="2" fontId="5" fillId="0" borderId="14" xfId="0" applyNumberFormat="1" applyFont="1" applyBorder="1"/>
    <xf numFmtId="2" fontId="5" fillId="0" borderId="15" xfId="0" applyNumberFormat="1" applyFont="1" applyFill="1" applyBorder="1"/>
    <xf numFmtId="0" fontId="5" fillId="6" borderId="18" xfId="7" applyFont="1" applyBorder="1"/>
    <xf numFmtId="0" fontId="5" fillId="6" borderId="19" xfId="7" applyFont="1" applyBorder="1"/>
    <xf numFmtId="0" fontId="5" fillId="6" borderId="20" xfId="7" applyFont="1" applyBorder="1"/>
    <xf numFmtId="0" fontId="5" fillId="0" borderId="0" xfId="0" applyFont="1" applyBorder="1" applyAlignment="1">
      <alignment horizontal="right"/>
    </xf>
    <xf numFmtId="2" fontId="5" fillId="0" borderId="0" xfId="0" applyNumberFormat="1" applyFont="1" applyBorder="1"/>
    <xf numFmtId="2" fontId="5" fillId="0" borderId="17" xfId="0" applyNumberFormat="1" applyFont="1" applyBorder="1"/>
    <xf numFmtId="2" fontId="5" fillId="0" borderId="0" xfId="1" applyNumberFormat="1" applyFont="1" applyFill="1" applyBorder="1"/>
    <xf numFmtId="2" fontId="5" fillId="5" borderId="17" xfId="6" applyNumberFormat="1" applyFont="1" applyBorder="1"/>
    <xf numFmtId="2" fontId="5" fillId="0" borderId="19" xfId="1" applyNumberFormat="1" applyFont="1" applyFill="1" applyBorder="1"/>
    <xf numFmtId="2" fontId="5" fillId="5" borderId="20" xfId="6" applyNumberFormat="1" applyFont="1" applyBorder="1"/>
    <xf numFmtId="0" fontId="5" fillId="0" borderId="19" xfId="0" applyFont="1" applyFill="1" applyBorder="1"/>
    <xf numFmtId="0" fontId="5" fillId="0" borderId="20" xfId="0" applyFont="1" applyFill="1" applyBorder="1"/>
    <xf numFmtId="43" fontId="5" fillId="0" borderId="0" xfId="0" applyNumberFormat="1" applyFont="1" applyFill="1"/>
    <xf numFmtId="164" fontId="5" fillId="0" borderId="0" xfId="1" applyFont="1" applyFill="1"/>
    <xf numFmtId="164" fontId="5" fillId="0" borderId="0" xfId="1" applyFont="1"/>
    <xf numFmtId="2" fontId="5" fillId="0" borderId="19" xfId="0" applyNumberFormat="1" applyFont="1" applyBorder="1"/>
    <xf numFmtId="2" fontId="5" fillId="0" borderId="20" xfId="0" applyNumberFormat="1" applyFont="1" applyBorder="1"/>
    <xf numFmtId="2" fontId="5" fillId="7" borderId="0" xfId="8" applyNumberFormat="1" applyFont="1" applyBorder="1"/>
    <xf numFmtId="2" fontId="6" fillId="5" borderId="0" xfId="6" applyNumberFormat="1" applyBorder="1"/>
    <xf numFmtId="2" fontId="6" fillId="5" borderId="19" xfId="6" applyNumberFormat="1" applyBorder="1"/>
    <xf numFmtId="2" fontId="5" fillId="0" borderId="17" xfId="1" applyNumberFormat="1" applyFont="1" applyFill="1" applyBorder="1"/>
    <xf numFmtId="2" fontId="5" fillId="0" borderId="20" xfId="1" applyNumberFormat="1" applyFont="1" applyFill="1" applyBorder="1"/>
    <xf numFmtId="2" fontId="4" fillId="0" borderId="0" xfId="0" applyNumberFormat="1" applyFont="1" applyFill="1"/>
    <xf numFmtId="0" fontId="4" fillId="0" borderId="14" xfId="0" applyFont="1" applyBorder="1"/>
    <xf numFmtId="0" fontId="4" fillId="0" borderId="15" xfId="0" applyFont="1" applyBorder="1"/>
    <xf numFmtId="0" fontId="5" fillId="2" borderId="17" xfId="0" applyFont="1" applyFill="1" applyBorder="1"/>
    <xf numFmtId="0" fontId="5" fillId="7" borderId="0" xfId="8"/>
    <xf numFmtId="0" fontId="5" fillId="7" borderId="11" xfId="8" applyBorder="1"/>
    <xf numFmtId="0" fontId="5" fillId="7" borderId="2" xfId="8" applyBorder="1"/>
    <xf numFmtId="0" fontId="5" fillId="7" borderId="3" xfId="8" applyBorder="1"/>
    <xf numFmtId="0" fontId="5" fillId="7" borderId="4" xfId="8" applyBorder="1"/>
    <xf numFmtId="0" fontId="5" fillId="7" borderId="12" xfId="8" applyBorder="1"/>
    <xf numFmtId="0" fontId="5" fillId="7" borderId="1" xfId="8" applyBorder="1"/>
    <xf numFmtId="0" fontId="5" fillId="7" borderId="0" xfId="8" applyBorder="1"/>
    <xf numFmtId="0" fontId="5" fillId="7" borderId="5" xfId="8" applyBorder="1"/>
    <xf numFmtId="0" fontId="5" fillId="7" borderId="10" xfId="8" applyBorder="1"/>
    <xf numFmtId="0" fontId="5" fillId="7" borderId="6" xfId="8" applyBorder="1"/>
    <xf numFmtId="0" fontId="5" fillId="7" borderId="7" xfId="8" applyBorder="1"/>
    <xf numFmtId="0" fontId="5" fillId="7" borderId="8" xfId="8" applyBorder="1"/>
    <xf numFmtId="164" fontId="5" fillId="7" borderId="0" xfId="8" applyNumberFormat="1" applyBorder="1"/>
    <xf numFmtId="164" fontId="5" fillId="7" borderId="17" xfId="8" applyNumberFormat="1" applyBorder="1"/>
    <xf numFmtId="164" fontId="5" fillId="7" borderId="7" xfId="8" applyNumberFormat="1" applyBorder="1"/>
    <xf numFmtId="0" fontId="15" fillId="8" borderId="0" xfId="41" applyBorder="1"/>
    <xf numFmtId="0" fontId="3" fillId="0" borderId="14" xfId="0" applyFont="1" applyBorder="1"/>
    <xf numFmtId="0" fontId="3" fillId="0" borderId="0" xfId="0" applyFont="1" applyBorder="1"/>
    <xf numFmtId="0" fontId="2" fillId="0" borderId="0" xfId="0" applyFont="1" applyBorder="1"/>
    <xf numFmtId="0" fontId="5" fillId="0" borderId="0" xfId="0" applyFont="1" applyBorder="1" applyAlignment="1">
      <alignment wrapText="1"/>
    </xf>
    <xf numFmtId="0" fontId="1" fillId="0" borderId="0" xfId="0" applyFont="1" applyBorder="1"/>
  </cellXfs>
  <cellStyles count="72">
    <cellStyle name="20% - Accent1" xfId="5" builtinId="30"/>
    <cellStyle name="20% - Accent2" xfId="6" builtinId="34"/>
    <cellStyle name="20% - Accent3" xfId="7" builtinId="38"/>
    <cellStyle name="20% - Accent4" xfId="8" builtinId="42"/>
    <cellStyle name="Comma" xfId="1" builtinId="3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Good" xfId="41" builtinId="26"/>
    <cellStyle name="Hyperlink" xfId="4" builtinId="8"/>
    <cellStyle name="Normal" xfId="0" builtinId="0"/>
    <cellStyle name="Normal 2" xfId="2"/>
    <cellStyle name="Normal 3" xfId="3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8" Type="http://schemas.microsoft.com/office/2006/relationships/vbaProject" Target="vbaProject.bin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"/>
          <c:y val="0.0"/>
          <c:w val="1.0"/>
          <c:h val="1.0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dLbl>
              <c:idx val="0"/>
              <c:tx>
                <c:strRef>
                  <c:f>'3D View'!$S$2</c:f>
                  <c:strCache>
                    <c:ptCount val="1"/>
                    <c:pt idx="0">
                      <c:v>P1</c:v>
                    </c:pt>
                  </c:strCache>
                </c:strRef>
              </c:tx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lang="ja-JP"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{29BFFCC9-5D1F-2F4A-B391-B9F5AF82F8B4}</c15:txfldGUID>
                      <c15:f>'3D View'!$S$2</c15:f>
                      <c15:dlblFieldTableCache>
                        <c:ptCount val="1"/>
                        <c:pt idx="0">
                          <c:v>P1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1"/>
              <c:tx>
                <c:strRef>
                  <c:f>'3D View'!$S$3</c:f>
                  <c:strCache>
                    <c:ptCount val="1"/>
                    <c:pt idx="0">
                      <c:v>P2</c:v>
                    </c:pt>
                  </c:strCache>
                </c:strRef>
              </c:tx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lang="ja-JP"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{3E094206-D0EA-9E48-AA2E-5ECEDC16C68F}</c15:txfldGUID>
                      <c15:f>'3D View'!$S$3</c15:f>
                      <c15:dlblFieldTableCache>
                        <c:ptCount val="1"/>
                        <c:pt idx="0">
                          <c:v>P2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2"/>
              <c:tx>
                <c:strRef>
                  <c:f>'3D View'!$S$4</c:f>
                  <c:strCache>
                    <c:ptCount val="1"/>
                    <c:pt idx="0">
                      <c:v>P3</c:v>
                    </c:pt>
                  </c:strCache>
                </c:strRef>
              </c:tx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lang="ja-JP"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{B47E99FB-5752-4B4B-8EA3-4D564BB9903C}</c15:txfldGUID>
                      <c15:f>'3D View'!$S$4</c15:f>
                      <c15:dlblFieldTableCache>
                        <c:ptCount val="1"/>
                        <c:pt idx="0">
                          <c:v>P3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3"/>
              <c:tx>
                <c:strRef>
                  <c:f>'3D View'!$S$5</c:f>
                  <c:strCache>
                    <c:ptCount val="1"/>
                    <c:pt idx="0">
                      <c:v>P4</c:v>
                    </c:pt>
                  </c:strCache>
                </c:strRef>
              </c:tx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lang="ja-JP"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{898925E2-3D93-7D40-A851-D54F7F969027}</c15:txfldGUID>
                      <c15:f>'3D View'!$S$5</c15:f>
                      <c15:dlblFieldTableCache>
                        <c:ptCount val="1"/>
                        <c:pt idx="0">
                          <c:v>P4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4"/>
              <c:tx>
                <c:strRef>
                  <c:f>'3D View'!$S$6</c:f>
                  <c:strCache>
                    <c:ptCount val="1"/>
                    <c:pt idx="0">
                      <c:v>P5</c:v>
                    </c:pt>
                  </c:strCache>
                </c:strRef>
              </c:tx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lang="ja-JP"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{CEDF5FC5-2743-E74F-A3FD-0AC5201DD088}</c15:txfldGUID>
                      <c15:f>'3D View'!$S$6</c15:f>
                      <c15:dlblFieldTableCache>
                        <c:ptCount val="1"/>
                        <c:pt idx="0">
                          <c:v>P5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5"/>
              <c:tx>
                <c:strRef>
                  <c:f>'3D View'!$S$7</c:f>
                  <c:strCache>
                    <c:ptCount val="1"/>
                    <c:pt idx="0">
                      <c:v>P6</c:v>
                    </c:pt>
                  </c:strCache>
                </c:strRef>
              </c:tx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lang="ja-JP"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{59631AEA-0413-9541-B65B-96099C4F4961}</c15:txfldGUID>
                      <c15:f>'3D View'!$S$7</c15:f>
                      <c15:dlblFieldTableCache>
                        <c:ptCount val="1"/>
                        <c:pt idx="0">
                          <c:v>P6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6"/>
              <c:tx>
                <c:strRef>
                  <c:f>'3D View'!$S$8</c:f>
                  <c:strCache>
                    <c:ptCount val="1"/>
                    <c:pt idx="0">
                      <c:v>B1</c:v>
                    </c:pt>
                  </c:strCache>
                </c:strRef>
              </c:tx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lang="ja-JP"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l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{716AD8D6-8586-D849-9C1C-ABD759F3FD44}</c15:txfldGUID>
                      <c15:f>'3D View'!$S$8</c15:f>
                      <c15:dlblFieldTableCache>
                        <c:ptCount val="1"/>
                        <c:pt idx="0">
                          <c:v>B1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7"/>
              <c:tx>
                <c:strRef>
                  <c:f>'3D View'!$S$9</c:f>
                  <c:strCache>
                    <c:ptCount val="1"/>
                    <c:pt idx="0">
                      <c:v>B2</c:v>
                    </c:pt>
                  </c:strCache>
                </c:strRef>
              </c:tx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lang="ja-JP"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{A1E19017-849C-E445-B8A0-30E18116381B}</c15:txfldGUID>
                      <c15:f>'3D View'!$S$9</c15:f>
                      <c15:dlblFieldTableCache>
                        <c:ptCount val="1"/>
                        <c:pt idx="0">
                          <c:v>B2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8"/>
              <c:tx>
                <c:strRef>
                  <c:f>'3D View'!$S$10</c:f>
                  <c:strCache>
                    <c:ptCount val="1"/>
                    <c:pt idx="0">
                      <c:v>B3</c:v>
                    </c:pt>
                  </c:strCache>
                </c:strRef>
              </c:tx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lang="ja-JP"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{61C24B1A-E171-0B4B-9FB9-F7A6E3375AC9}</c15:txfldGUID>
                      <c15:f>'3D View'!$S$10</c15:f>
                      <c15:dlblFieldTableCache>
                        <c:ptCount val="1"/>
                        <c:pt idx="0">
                          <c:v>B3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9"/>
              <c:tx>
                <c:strRef>
                  <c:f>'3D View'!$S$11</c:f>
                  <c:strCache>
                    <c:ptCount val="1"/>
                    <c:pt idx="0">
                      <c:v>B4</c:v>
                    </c:pt>
                  </c:strCache>
                </c:strRef>
              </c:tx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lang="ja-JP"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{3B79004D-669D-4E46-8B3D-7C1552E7FE0E}</c15:txfldGUID>
                      <c15:f>'3D View'!$S$11</c15:f>
                      <c15:dlblFieldTableCache>
                        <c:ptCount val="1"/>
                        <c:pt idx="0">
                          <c:v>B4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10"/>
              <c:tx>
                <c:strRef>
                  <c:f>'3D View'!$S$12</c:f>
                  <c:strCache>
                    <c:ptCount val="1"/>
                    <c:pt idx="0">
                      <c:v>B5</c:v>
                    </c:pt>
                  </c:strCache>
                </c:strRef>
              </c:tx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{8849EB13-5074-AB43-8621-2C6472B18197}</c15:txfldGUID>
                      <c15:f>'3D View'!$S$12</c15:f>
                      <c15:dlblFieldTableCache>
                        <c:ptCount val="1"/>
                        <c:pt idx="0">
                          <c:v>B5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11"/>
              <c:tx>
                <c:strRef>
                  <c:f>'3D View'!$S$13</c:f>
                  <c:strCache>
                    <c:ptCount val="1"/>
                    <c:pt idx="0">
                      <c:v>B6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{1B35A756-C222-9040-96E4-D282DA0DF043}</c15:txfldGUID>
                      <c15:f>'3D View'!$S$13</c15:f>
                      <c15:dlblFieldTableCache>
                        <c:ptCount val="1"/>
                        <c:pt idx="0">
                          <c:v>B6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numFmt formatCode="General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'3D View'!$Y$2:$Y$13</c:f>
              <c:numCache>
                <c:formatCode>General</c:formatCode>
                <c:ptCount val="12"/>
                <c:pt idx="0">
                  <c:v>-4.575080933170115</c:v>
                </c:pt>
                <c:pt idx="1">
                  <c:v>49.82827512488806</c:v>
                </c:pt>
                <c:pt idx="2">
                  <c:v>45.40715869125407</c:v>
                </c:pt>
                <c:pt idx="3">
                  <c:v>-21.32843699507292</c:v>
                </c:pt>
                <c:pt idx="4">
                  <c:v>-40.83207775808394</c:v>
                </c:pt>
                <c:pt idx="5">
                  <c:v>-28.49983812981515</c:v>
                </c:pt>
                <c:pt idx="6">
                  <c:v>21.43251776147622</c:v>
                </c:pt>
                <c:pt idx="7">
                  <c:v>72.38733980485883</c:v>
                </c:pt>
                <c:pt idx="8">
                  <c:v>56.21292299684805</c:v>
                </c:pt>
                <c:pt idx="9">
                  <c:v>-6.292419477373173</c:v>
                </c:pt>
                <c:pt idx="10">
                  <c:v>-77.64544075832426</c:v>
                </c:pt>
                <c:pt idx="11">
                  <c:v>-66.09492032748567</c:v>
                </c:pt>
              </c:numCache>
            </c:numRef>
          </c:xVal>
          <c:yVal>
            <c:numRef>
              <c:f>'3D View'!$Z$2:$Z$13</c:f>
              <c:numCache>
                <c:formatCode>General</c:formatCode>
                <c:ptCount val="12"/>
                <c:pt idx="0">
                  <c:v>133.2741077935611</c:v>
                </c:pt>
                <c:pt idx="1">
                  <c:v>98.30430459407623</c:v>
                </c:pt>
                <c:pt idx="2">
                  <c:v>79.09696795869803</c:v>
                </c:pt>
                <c:pt idx="3">
                  <c:v>60.4899243223236</c:v>
                </c:pt>
                <c:pt idx="4">
                  <c:v>73.02662294856439</c:v>
                </c:pt>
                <c:pt idx="5">
                  <c:v>126.6034697844238</c:v>
                </c:pt>
                <c:pt idx="6">
                  <c:v>59.20233706283516</c:v>
                </c:pt>
                <c:pt idx="7">
                  <c:v>26.44920879956627</c:v>
                </c:pt>
                <c:pt idx="8">
                  <c:v>-43.81979975875941</c:v>
                </c:pt>
                <c:pt idx="9">
                  <c:v>-61.24737529717106</c:v>
                </c:pt>
                <c:pt idx="10">
                  <c:v>-15.38253730407576</c:v>
                </c:pt>
                <c:pt idx="11">
                  <c:v>34.79816649760479</c:v>
                </c:pt>
              </c:numCache>
            </c:numRef>
          </c:yVal>
          <c:smooth val="1"/>
        </c:ser>
        <c:ser>
          <c:idx val="1"/>
          <c:order val="1"/>
          <c:tx>
            <c:v>Axis</c:v>
          </c:tx>
          <c:spPr>
            <a:ln w="12700">
              <a:solidFill>
                <a:srgbClr val="000000">
                  <a:alpha val="15000"/>
                </a:srgbClr>
              </a:solidFill>
              <a:prstDash val="solid"/>
            </a:ln>
          </c:spPr>
          <c:marker>
            <c:symbol val="none"/>
          </c:marker>
          <c:dLbls>
            <c:dLbl>
              <c:idx val="0"/>
              <c:layout>
                <c:manualLayout>
                  <c:x val="-0.0637828030108989"/>
                  <c:y val="0.0183610977334084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X Axis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0.00531522195864674"/>
                  <c:y val="0.0183610977334084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X Axis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YAxis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0.00885870326441123"/>
                  <c:y val="0.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Y Axis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 val="0.0"/>
                  <c:y val="0.044882683348332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-Z axis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layout>
                <c:manualLayout>
                  <c:x val="-0.00177174065288225"/>
                  <c:y val="-0.136688172015374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Z Axis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'3D View'!$Y$89:$Y$96</c:f>
              <c:numCache>
                <c:formatCode>General</c:formatCode>
                <c:ptCount val="8"/>
                <c:pt idx="0">
                  <c:v>-187.9385241571817</c:v>
                </c:pt>
                <c:pt idx="1">
                  <c:v>187.9385241571817</c:v>
                </c:pt>
                <c:pt idx="2">
                  <c:v>0.0</c:v>
                </c:pt>
                <c:pt idx="3">
                  <c:v>68.40402866513373</c:v>
                </c:pt>
                <c:pt idx="4">
                  <c:v>-68.40402866513373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xVal>
          <c:yVal>
            <c:numRef>
              <c:f>'3D View'!$Z$89:$Z$96</c:f>
              <c:numCache>
                <c:formatCode>General</c:formatCode>
                <c:ptCount val="8"/>
                <c:pt idx="0">
                  <c:v>-52.40052604587697</c:v>
                </c:pt>
                <c:pt idx="1">
                  <c:v>52.40052604587697</c:v>
                </c:pt>
                <c:pt idx="2">
                  <c:v>0.0</c:v>
                </c:pt>
                <c:pt idx="3">
                  <c:v>-143.9692620785908</c:v>
                </c:pt>
                <c:pt idx="4">
                  <c:v>143.9692620785908</c:v>
                </c:pt>
                <c:pt idx="5">
                  <c:v>0.0</c:v>
                </c:pt>
                <c:pt idx="6">
                  <c:v>-128.557521937308</c:v>
                </c:pt>
                <c:pt idx="7">
                  <c:v>128.557521937308</c:v>
                </c:pt>
              </c:numCache>
            </c:numRef>
          </c:yVal>
          <c:smooth val="0"/>
        </c:ser>
        <c:ser>
          <c:idx val="2"/>
          <c:order val="2"/>
          <c:tx>
            <c:v>Cage</c:v>
          </c:tx>
          <c:spPr>
            <a:ln w="3175">
              <a:noFill/>
              <a:prstDash val="solid"/>
            </a:ln>
          </c:spPr>
          <c:marker>
            <c:symbol val="none"/>
          </c:marker>
          <c:xVal>
            <c:numRef>
              <c:f>'3D View'!$Y$101:$Y$119</c:f>
              <c:numCache>
                <c:formatCode>General</c:formatCode>
                <c:ptCount val="19"/>
                <c:pt idx="0">
                  <c:v>-119.534495492048</c:v>
                </c:pt>
                <c:pt idx="1">
                  <c:v>256.3425528223154</c:v>
                </c:pt>
                <c:pt idx="2">
                  <c:v>119.534495492048</c:v>
                </c:pt>
                <c:pt idx="3">
                  <c:v>-256.3425528223154</c:v>
                </c:pt>
                <c:pt idx="4">
                  <c:v>-119.534495492048</c:v>
                </c:pt>
                <c:pt idx="5">
                  <c:v>-119.534495492048</c:v>
                </c:pt>
                <c:pt idx="6">
                  <c:v>256.3425528223154</c:v>
                </c:pt>
                <c:pt idx="7">
                  <c:v>119.534495492048</c:v>
                </c:pt>
                <c:pt idx="8">
                  <c:v>-256.3425528223154</c:v>
                </c:pt>
                <c:pt idx="9">
                  <c:v>-119.534495492048</c:v>
                </c:pt>
                <c:pt idx="11">
                  <c:v>-256.3425528223154</c:v>
                </c:pt>
                <c:pt idx="12">
                  <c:v>-256.3425528223154</c:v>
                </c:pt>
                <c:pt idx="14">
                  <c:v>119.534495492048</c:v>
                </c:pt>
                <c:pt idx="15">
                  <c:v>119.534495492048</c:v>
                </c:pt>
                <c:pt idx="17">
                  <c:v>256.3425528223154</c:v>
                </c:pt>
                <c:pt idx="18">
                  <c:v>256.3425528223154</c:v>
                </c:pt>
              </c:numCache>
            </c:numRef>
          </c:xVal>
          <c:yVal>
            <c:numRef>
              <c:f>'3D View'!$Z$101:$Z$119</c:f>
              <c:numCache>
                <c:formatCode>General</c:formatCode>
                <c:ptCount val="19"/>
                <c:pt idx="0">
                  <c:v>-324.9273100617756</c:v>
                </c:pt>
                <c:pt idx="1">
                  <c:v>-220.1262579700217</c:v>
                </c:pt>
                <c:pt idx="2">
                  <c:v>67.81226618715985</c:v>
                </c:pt>
                <c:pt idx="3">
                  <c:v>-36.9887859045941</c:v>
                </c:pt>
                <c:pt idx="4">
                  <c:v>-324.9273100617756</c:v>
                </c:pt>
                <c:pt idx="5">
                  <c:v>-67.81226618715985</c:v>
                </c:pt>
                <c:pt idx="6">
                  <c:v>36.9887859045941</c:v>
                </c:pt>
                <c:pt idx="7">
                  <c:v>324.9273100617756</c:v>
                </c:pt>
                <c:pt idx="8">
                  <c:v>220.1262579700217</c:v>
                </c:pt>
                <c:pt idx="9">
                  <c:v>-67.81226618715985</c:v>
                </c:pt>
                <c:pt idx="11">
                  <c:v>220.1262579700217</c:v>
                </c:pt>
                <c:pt idx="12">
                  <c:v>-36.9887859045941</c:v>
                </c:pt>
                <c:pt idx="14">
                  <c:v>67.81226618715985</c:v>
                </c:pt>
                <c:pt idx="15">
                  <c:v>324.9273100617756</c:v>
                </c:pt>
                <c:pt idx="17">
                  <c:v>36.9887859045941</c:v>
                </c:pt>
                <c:pt idx="18">
                  <c:v>-220.1262579700217</c:v>
                </c:pt>
              </c:numCache>
            </c:numRef>
          </c:yVal>
          <c:smooth val="0"/>
        </c:ser>
        <c:ser>
          <c:idx val="3"/>
          <c:order val="3"/>
          <c:tx>
            <c:v>line1</c:v>
          </c:tx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'3D View'!$Y$16:$Y$17</c:f>
              <c:numCache>
                <c:formatCode>General</c:formatCode>
                <c:ptCount val="2"/>
                <c:pt idx="0">
                  <c:v>-4.575080933170115</c:v>
                </c:pt>
                <c:pt idx="1">
                  <c:v>21.43251776147622</c:v>
                </c:pt>
              </c:numCache>
            </c:numRef>
          </c:xVal>
          <c:yVal>
            <c:numRef>
              <c:f>'3D View'!$Z$16:$Z$17</c:f>
              <c:numCache>
                <c:formatCode>General</c:formatCode>
                <c:ptCount val="2"/>
                <c:pt idx="0">
                  <c:v>133.2741077935611</c:v>
                </c:pt>
                <c:pt idx="1">
                  <c:v>59.20233706283516</c:v>
                </c:pt>
              </c:numCache>
            </c:numRef>
          </c:yVal>
          <c:smooth val="0"/>
        </c:ser>
        <c:ser>
          <c:idx val="4"/>
          <c:order val="4"/>
          <c:tx>
            <c:v>line2</c:v>
          </c:tx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'3D View'!$Y$18:$Y$19</c:f>
              <c:numCache>
                <c:formatCode>General</c:formatCode>
                <c:ptCount val="2"/>
                <c:pt idx="0">
                  <c:v>49.82827512488806</c:v>
                </c:pt>
                <c:pt idx="1">
                  <c:v>72.38733980485883</c:v>
                </c:pt>
              </c:numCache>
            </c:numRef>
          </c:xVal>
          <c:yVal>
            <c:numRef>
              <c:f>'3D View'!$Z$18:$Z$19</c:f>
              <c:numCache>
                <c:formatCode>General</c:formatCode>
                <c:ptCount val="2"/>
                <c:pt idx="0">
                  <c:v>98.30430459407623</c:v>
                </c:pt>
                <c:pt idx="1">
                  <c:v>26.44920879956627</c:v>
                </c:pt>
              </c:numCache>
            </c:numRef>
          </c:yVal>
          <c:smooth val="0"/>
        </c:ser>
        <c:ser>
          <c:idx val="5"/>
          <c:order val="5"/>
          <c:tx>
            <c:v>line3</c:v>
          </c:tx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'3D View'!$Y$20:$Y$21</c:f>
              <c:numCache>
                <c:formatCode>General</c:formatCode>
                <c:ptCount val="2"/>
                <c:pt idx="0">
                  <c:v>45.40715869125407</c:v>
                </c:pt>
                <c:pt idx="1">
                  <c:v>56.21292299684805</c:v>
                </c:pt>
              </c:numCache>
            </c:numRef>
          </c:xVal>
          <c:yVal>
            <c:numRef>
              <c:f>'3D View'!$Z$20:$Z$21</c:f>
              <c:numCache>
                <c:formatCode>General</c:formatCode>
                <c:ptCount val="2"/>
                <c:pt idx="0">
                  <c:v>79.09696795869803</c:v>
                </c:pt>
                <c:pt idx="1">
                  <c:v>-43.81979975875941</c:v>
                </c:pt>
              </c:numCache>
            </c:numRef>
          </c:yVal>
          <c:smooth val="0"/>
        </c:ser>
        <c:ser>
          <c:idx val="6"/>
          <c:order val="6"/>
          <c:tx>
            <c:v>line4</c:v>
          </c:tx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'3D View'!$Y$22:$Y$23</c:f>
              <c:numCache>
                <c:formatCode>General</c:formatCode>
                <c:ptCount val="2"/>
                <c:pt idx="0">
                  <c:v>-21.32843699507292</c:v>
                </c:pt>
                <c:pt idx="1">
                  <c:v>-6.292419477373173</c:v>
                </c:pt>
              </c:numCache>
            </c:numRef>
          </c:xVal>
          <c:yVal>
            <c:numRef>
              <c:f>'3D View'!$Z$22:$Z$23</c:f>
              <c:numCache>
                <c:formatCode>General</c:formatCode>
                <c:ptCount val="2"/>
                <c:pt idx="0">
                  <c:v>60.4899243223236</c:v>
                </c:pt>
                <c:pt idx="1">
                  <c:v>-61.24737529717106</c:v>
                </c:pt>
              </c:numCache>
            </c:numRef>
          </c:yVal>
          <c:smooth val="0"/>
        </c:ser>
        <c:ser>
          <c:idx val="7"/>
          <c:order val="7"/>
          <c:tx>
            <c:v>line5</c:v>
          </c:tx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'3D View'!$Y$24:$Y$25</c:f>
              <c:numCache>
                <c:formatCode>General</c:formatCode>
                <c:ptCount val="2"/>
                <c:pt idx="0">
                  <c:v>-40.83207775808394</c:v>
                </c:pt>
                <c:pt idx="1">
                  <c:v>-77.64544075832426</c:v>
                </c:pt>
              </c:numCache>
            </c:numRef>
          </c:xVal>
          <c:yVal>
            <c:numRef>
              <c:f>'3D View'!$Z$24:$Z$25</c:f>
              <c:numCache>
                <c:formatCode>General</c:formatCode>
                <c:ptCount val="2"/>
                <c:pt idx="0">
                  <c:v>73.02662294856439</c:v>
                </c:pt>
                <c:pt idx="1">
                  <c:v>-15.38253730407576</c:v>
                </c:pt>
              </c:numCache>
            </c:numRef>
          </c:yVal>
          <c:smooth val="0"/>
        </c:ser>
        <c:ser>
          <c:idx val="8"/>
          <c:order val="8"/>
          <c:tx>
            <c:v>line6</c:v>
          </c:tx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'3D View'!$Y$26:$Y$27</c:f>
              <c:numCache>
                <c:formatCode>General</c:formatCode>
                <c:ptCount val="2"/>
                <c:pt idx="0">
                  <c:v>-28.49983812981515</c:v>
                </c:pt>
                <c:pt idx="1">
                  <c:v>-66.09492032748567</c:v>
                </c:pt>
              </c:numCache>
            </c:numRef>
          </c:xVal>
          <c:yVal>
            <c:numRef>
              <c:f>'3D View'!$Z$26:$Z$27</c:f>
              <c:numCache>
                <c:formatCode>General</c:formatCode>
                <c:ptCount val="2"/>
                <c:pt idx="0">
                  <c:v>126.6034697844238</c:v>
                </c:pt>
                <c:pt idx="1">
                  <c:v>34.79816649760479</c:v>
                </c:pt>
              </c:numCache>
            </c:numRef>
          </c:yVal>
          <c:smooth val="0"/>
        </c:ser>
        <c:ser>
          <c:idx val="9"/>
          <c:order val="9"/>
          <c:tx>
            <c:v>servoarm1</c:v>
          </c:tx>
          <c:spPr>
            <a:ln w="28575">
              <a:solidFill>
                <a:srgbClr val="1F497D">
                  <a:lumMod val="60000"/>
                  <a:lumOff val="40000"/>
                </a:srgbClr>
              </a:solidFill>
            </a:ln>
          </c:spPr>
          <c:marker>
            <c:symbol val="none"/>
          </c:marker>
          <c:xVal>
            <c:numRef>
              <c:f>'3D View'!$Y$40:$Y$41</c:f>
              <c:numCache>
                <c:formatCode>General</c:formatCode>
                <c:ptCount val="2"/>
                <c:pt idx="0">
                  <c:v>21.43251776147622</c:v>
                </c:pt>
                <c:pt idx="1">
                  <c:v>40.58321246286536</c:v>
                </c:pt>
              </c:numCache>
            </c:numRef>
          </c:xVal>
          <c:yVal>
            <c:numRef>
              <c:f>'3D View'!$Z$40:$Z$41</c:f>
              <c:numCache>
                <c:formatCode>General</c:formatCode>
                <c:ptCount val="2"/>
                <c:pt idx="0">
                  <c:v>59.20233706283516</c:v>
                </c:pt>
                <c:pt idx="1">
                  <c:v>46.99847373425173</c:v>
                </c:pt>
              </c:numCache>
            </c:numRef>
          </c:yVal>
          <c:smooth val="0"/>
        </c:ser>
        <c:ser>
          <c:idx val="10"/>
          <c:order val="10"/>
          <c:tx>
            <c:v>servoarm2</c:v>
          </c:tx>
          <c:spPr>
            <a:ln w="28575">
              <a:solidFill>
                <a:srgbClr val="1F497D">
                  <a:lumMod val="60000"/>
                  <a:lumOff val="40000"/>
                </a:srgbClr>
              </a:solidFill>
            </a:ln>
          </c:spPr>
          <c:marker>
            <c:symbol val="none"/>
          </c:marker>
          <c:xVal>
            <c:numRef>
              <c:f>'3D View'!$Y$42:$Y$43</c:f>
              <c:numCache>
                <c:formatCode>General</c:formatCode>
                <c:ptCount val="2"/>
                <c:pt idx="0">
                  <c:v>72.38733980485883</c:v>
                </c:pt>
                <c:pt idx="1">
                  <c:v>53.2366451034697</c:v>
                </c:pt>
              </c:numCache>
            </c:numRef>
          </c:xVal>
          <c:yVal>
            <c:numRef>
              <c:f>'3D View'!$Z$42:$Z$43</c:f>
              <c:numCache>
                <c:formatCode>General</c:formatCode>
                <c:ptCount val="2"/>
                <c:pt idx="0">
                  <c:v>26.44920879956627</c:v>
                </c:pt>
                <c:pt idx="1">
                  <c:v>38.86500401286803</c:v>
                </c:pt>
              </c:numCache>
            </c:numRef>
          </c:yVal>
          <c:smooth val="0"/>
        </c:ser>
        <c:ser>
          <c:idx val="11"/>
          <c:order val="11"/>
          <c:tx>
            <c:v>servoarm3</c:v>
          </c:tx>
          <c:spPr>
            <a:ln w="28575">
              <a:solidFill>
                <a:srgbClr val="1F497D">
                  <a:lumMod val="60000"/>
                  <a:lumOff val="40000"/>
                </a:srgbClr>
              </a:solidFill>
            </a:ln>
          </c:spPr>
          <c:marker>
            <c:symbol val="none"/>
          </c:marker>
          <c:xVal>
            <c:numRef>
              <c:f>'3D View'!$Y$44:$Y$45</c:f>
              <c:numCache>
                <c:formatCode>General</c:formatCode>
                <c:ptCount val="2"/>
                <c:pt idx="0">
                  <c:v>56.21292299684805</c:v>
                </c:pt>
                <c:pt idx="1">
                  <c:v>32.72111823869492</c:v>
                </c:pt>
              </c:numCache>
            </c:numRef>
          </c:xVal>
          <c:yVal>
            <c:numRef>
              <c:f>'3D View'!$Z$44:$Z$45</c:f>
              <c:numCache>
                <c:formatCode>General</c:formatCode>
                <c:ptCount val="2"/>
                <c:pt idx="0">
                  <c:v>-43.81979975875941</c:v>
                </c:pt>
                <c:pt idx="1">
                  <c:v>-50.26375716295547</c:v>
                </c:pt>
              </c:numCache>
            </c:numRef>
          </c:yVal>
          <c:smooth val="0"/>
        </c:ser>
        <c:ser>
          <c:idx val="12"/>
          <c:order val="12"/>
          <c:tx>
            <c:v>servoarm4</c:v>
          </c:tx>
          <c:spPr>
            <a:ln w="28575"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'3D View'!$Y$46:$Y$47</c:f>
              <c:numCache>
                <c:formatCode>General</c:formatCode>
                <c:ptCount val="2"/>
                <c:pt idx="0">
                  <c:v>-6.292419477373173</c:v>
                </c:pt>
                <c:pt idx="1">
                  <c:v>17.19938528077996</c:v>
                </c:pt>
              </c:numCache>
            </c:numRef>
          </c:xVal>
          <c:yVal>
            <c:numRef>
              <c:f>'3D View'!$Z$46:$Z$47</c:f>
              <c:numCache>
                <c:formatCode>General</c:formatCode>
                <c:ptCount val="2"/>
                <c:pt idx="0">
                  <c:v>-61.24737529717106</c:v>
                </c:pt>
                <c:pt idx="1">
                  <c:v>-54.59148600825667</c:v>
                </c:pt>
              </c:numCache>
            </c:numRef>
          </c:yVal>
          <c:smooth val="0"/>
        </c:ser>
        <c:ser>
          <c:idx val="13"/>
          <c:order val="13"/>
          <c:tx>
            <c:v>servoarm5</c:v>
          </c:tx>
          <c:spPr>
            <a:ln w="28575">
              <a:solidFill>
                <a:srgbClr val="1F497D">
                  <a:lumMod val="60000"/>
                  <a:lumOff val="40000"/>
                </a:srgbClr>
              </a:solidFill>
            </a:ln>
          </c:spPr>
          <c:marker>
            <c:symbol val="none"/>
          </c:marker>
          <c:xVal>
            <c:numRef>
              <c:f>'3D View'!$Y$48:$Y$49</c:f>
              <c:numCache>
                <c:formatCode>General</c:formatCode>
                <c:ptCount val="2"/>
                <c:pt idx="0">
                  <c:v>-77.64544075832426</c:v>
                </c:pt>
                <c:pt idx="1">
                  <c:v>-73.30433070156026</c:v>
                </c:pt>
              </c:numCache>
            </c:numRef>
          </c:xVal>
          <c:yVal>
            <c:numRef>
              <c:f>'3D View'!$Z$48:$Z$49</c:f>
              <c:numCache>
                <c:formatCode>General</c:formatCode>
                <c:ptCount val="2"/>
                <c:pt idx="0">
                  <c:v>-15.38253730407576</c:v>
                </c:pt>
                <c:pt idx="1">
                  <c:v>3.583181255781231</c:v>
                </c:pt>
              </c:numCache>
            </c:numRef>
          </c:yVal>
          <c:smooth val="0"/>
        </c:ser>
        <c:ser>
          <c:idx val="14"/>
          <c:order val="14"/>
          <c:tx>
            <c:v>servoarm6</c:v>
          </c:tx>
          <c:spPr>
            <a:ln w="28575">
              <a:solidFill>
                <a:srgbClr val="1F497D">
                  <a:lumMod val="60000"/>
                  <a:lumOff val="40000"/>
                </a:srgbClr>
              </a:solidFill>
            </a:ln>
          </c:spPr>
          <c:marker>
            <c:symbol val="none"/>
          </c:marker>
          <c:xVal>
            <c:numRef>
              <c:f>'3D View'!$Y$50:$Y$51</c:f>
              <c:numCache>
                <c:formatCode>General</c:formatCode>
                <c:ptCount val="2"/>
                <c:pt idx="0">
                  <c:v>-66.09492032748567</c:v>
                </c:pt>
                <c:pt idx="1">
                  <c:v>-70.43603038424964</c:v>
                </c:pt>
              </c:numCache>
            </c:numRef>
          </c:xVal>
          <c:yVal>
            <c:numRef>
              <c:f>'3D View'!$Z$50:$Z$51</c:f>
              <c:numCache>
                <c:formatCode>General</c:formatCode>
                <c:ptCount val="2"/>
                <c:pt idx="0">
                  <c:v>34.79816649760479</c:v>
                </c:pt>
                <c:pt idx="1">
                  <c:v>16.04437982246612</c:v>
                </c:pt>
              </c:numCache>
            </c:numRef>
          </c:yVal>
          <c:smooth val="0"/>
        </c:ser>
        <c:ser>
          <c:idx val="15"/>
          <c:order val="15"/>
          <c:tx>
            <c:strRef>
              <c:f>'3D View'!$S$54</c:f>
              <c:strCache>
                <c:ptCount val="1"/>
                <c:pt idx="0">
                  <c:v>Conrod 1</c:v>
                </c:pt>
              </c:strCache>
            </c:strRef>
          </c:tx>
          <c:spPr>
            <a:ln w="28575">
              <a:solidFill>
                <a:srgbClr val="92D050"/>
              </a:solidFill>
            </a:ln>
          </c:spPr>
          <c:marker>
            <c:symbol val="none"/>
          </c:marker>
          <c:xVal>
            <c:numRef>
              <c:f>'3D View'!$Y$54:$Y$55</c:f>
              <c:numCache>
                <c:formatCode>General</c:formatCode>
                <c:ptCount val="2"/>
                <c:pt idx="0">
                  <c:v>-4.575080933170115</c:v>
                </c:pt>
                <c:pt idx="1">
                  <c:v>40.58321246286536</c:v>
                </c:pt>
              </c:numCache>
            </c:numRef>
          </c:xVal>
          <c:yVal>
            <c:numRef>
              <c:f>'3D View'!$Z$54:$Z$55</c:f>
              <c:numCache>
                <c:formatCode>General</c:formatCode>
                <c:ptCount val="2"/>
                <c:pt idx="0">
                  <c:v>133.2741077935611</c:v>
                </c:pt>
                <c:pt idx="1">
                  <c:v>46.99847373425173</c:v>
                </c:pt>
              </c:numCache>
            </c:numRef>
          </c:yVal>
          <c:smooth val="0"/>
        </c:ser>
        <c:ser>
          <c:idx val="16"/>
          <c:order val="16"/>
          <c:tx>
            <c:strRef>
              <c:f>'3D View'!$S$56</c:f>
              <c:strCache>
                <c:ptCount val="1"/>
                <c:pt idx="0">
                  <c:v>Conrod 2</c:v>
                </c:pt>
              </c:strCache>
            </c:strRef>
          </c:tx>
          <c:spPr>
            <a:ln w="28575">
              <a:solidFill>
                <a:srgbClr val="92D050"/>
              </a:solidFill>
            </a:ln>
          </c:spPr>
          <c:marker>
            <c:symbol val="none"/>
          </c:marker>
          <c:xVal>
            <c:numRef>
              <c:f>'3D View'!$Y$56:$Y$57</c:f>
              <c:numCache>
                <c:formatCode>General</c:formatCode>
                <c:ptCount val="2"/>
                <c:pt idx="0">
                  <c:v>49.82827512488806</c:v>
                </c:pt>
                <c:pt idx="1">
                  <c:v>53.2366451034697</c:v>
                </c:pt>
              </c:numCache>
            </c:numRef>
          </c:xVal>
          <c:yVal>
            <c:numRef>
              <c:f>'3D View'!$Z$56:$Z$57</c:f>
              <c:numCache>
                <c:formatCode>General</c:formatCode>
                <c:ptCount val="2"/>
                <c:pt idx="0">
                  <c:v>98.30430459407623</c:v>
                </c:pt>
                <c:pt idx="1">
                  <c:v>38.86500401286803</c:v>
                </c:pt>
              </c:numCache>
            </c:numRef>
          </c:yVal>
          <c:smooth val="0"/>
        </c:ser>
        <c:ser>
          <c:idx val="17"/>
          <c:order val="17"/>
          <c:tx>
            <c:strRef>
              <c:f>'3D View'!$S$58</c:f>
              <c:strCache>
                <c:ptCount val="1"/>
                <c:pt idx="0">
                  <c:v>Conrod 3</c:v>
                </c:pt>
              </c:strCache>
            </c:strRef>
          </c:tx>
          <c:spPr>
            <a:ln w="28575">
              <a:solidFill>
                <a:srgbClr val="92D050"/>
              </a:solidFill>
            </a:ln>
          </c:spPr>
          <c:marker>
            <c:symbol val="none"/>
          </c:marker>
          <c:xVal>
            <c:numRef>
              <c:f>'3D View'!$Y$58:$Y$59</c:f>
              <c:numCache>
                <c:formatCode>General</c:formatCode>
                <c:ptCount val="2"/>
                <c:pt idx="0">
                  <c:v>45.40715869125407</c:v>
                </c:pt>
                <c:pt idx="1">
                  <c:v>32.72111823869492</c:v>
                </c:pt>
              </c:numCache>
            </c:numRef>
          </c:xVal>
          <c:yVal>
            <c:numRef>
              <c:f>'3D View'!$Z$58:$Z$59</c:f>
              <c:numCache>
                <c:formatCode>General</c:formatCode>
                <c:ptCount val="2"/>
                <c:pt idx="0">
                  <c:v>79.09696795869803</c:v>
                </c:pt>
                <c:pt idx="1">
                  <c:v>-50.26375716295547</c:v>
                </c:pt>
              </c:numCache>
            </c:numRef>
          </c:yVal>
          <c:smooth val="0"/>
        </c:ser>
        <c:ser>
          <c:idx val="18"/>
          <c:order val="18"/>
          <c:tx>
            <c:strRef>
              <c:f>'3D View'!$S$60</c:f>
              <c:strCache>
                <c:ptCount val="1"/>
                <c:pt idx="0">
                  <c:v>Conrod 4</c:v>
                </c:pt>
              </c:strCache>
            </c:strRef>
          </c:tx>
          <c:spPr>
            <a:ln w="28575">
              <a:solidFill>
                <a:srgbClr val="92D050"/>
              </a:solidFill>
            </a:ln>
          </c:spPr>
          <c:marker>
            <c:symbol val="none"/>
          </c:marker>
          <c:xVal>
            <c:numRef>
              <c:f>'3D View'!$Y$60:$Y$61</c:f>
              <c:numCache>
                <c:formatCode>General</c:formatCode>
                <c:ptCount val="2"/>
                <c:pt idx="0">
                  <c:v>-21.32843699507292</c:v>
                </c:pt>
                <c:pt idx="1">
                  <c:v>17.19938528077996</c:v>
                </c:pt>
              </c:numCache>
            </c:numRef>
          </c:xVal>
          <c:yVal>
            <c:numRef>
              <c:f>'3D View'!$Z$60:$Z$61</c:f>
              <c:numCache>
                <c:formatCode>General</c:formatCode>
                <c:ptCount val="2"/>
                <c:pt idx="0">
                  <c:v>60.4899243223236</c:v>
                </c:pt>
                <c:pt idx="1">
                  <c:v>-54.59148600825667</c:v>
                </c:pt>
              </c:numCache>
            </c:numRef>
          </c:yVal>
          <c:smooth val="0"/>
        </c:ser>
        <c:ser>
          <c:idx val="19"/>
          <c:order val="19"/>
          <c:tx>
            <c:strRef>
              <c:f>'3D View'!$S$62</c:f>
              <c:strCache>
                <c:ptCount val="1"/>
                <c:pt idx="0">
                  <c:v>Conrod 5</c:v>
                </c:pt>
              </c:strCache>
            </c:strRef>
          </c:tx>
          <c:spPr>
            <a:ln w="28575">
              <a:solidFill>
                <a:srgbClr val="92D050"/>
              </a:solidFill>
            </a:ln>
          </c:spPr>
          <c:marker>
            <c:symbol val="none"/>
          </c:marker>
          <c:xVal>
            <c:numRef>
              <c:f>'3D View'!$Y$62:$Y$63</c:f>
              <c:numCache>
                <c:formatCode>General</c:formatCode>
                <c:ptCount val="2"/>
                <c:pt idx="0">
                  <c:v>-40.83207775808394</c:v>
                </c:pt>
                <c:pt idx="1">
                  <c:v>-73.30433070156026</c:v>
                </c:pt>
              </c:numCache>
            </c:numRef>
          </c:xVal>
          <c:yVal>
            <c:numRef>
              <c:f>'3D View'!$Z$62:$Z$63</c:f>
              <c:numCache>
                <c:formatCode>General</c:formatCode>
                <c:ptCount val="2"/>
                <c:pt idx="0">
                  <c:v>73.02662294856439</c:v>
                </c:pt>
                <c:pt idx="1">
                  <c:v>3.583181255781231</c:v>
                </c:pt>
              </c:numCache>
            </c:numRef>
          </c:yVal>
          <c:smooth val="0"/>
        </c:ser>
        <c:ser>
          <c:idx val="20"/>
          <c:order val="20"/>
          <c:tx>
            <c:strRef>
              <c:f>'3D View'!$S$64</c:f>
              <c:strCache>
                <c:ptCount val="1"/>
                <c:pt idx="0">
                  <c:v>Conrod 6</c:v>
                </c:pt>
              </c:strCache>
            </c:strRef>
          </c:tx>
          <c:spPr>
            <a:ln w="28575">
              <a:solidFill>
                <a:srgbClr val="92D050"/>
              </a:solidFill>
            </a:ln>
          </c:spPr>
          <c:marker>
            <c:symbol val="none"/>
          </c:marker>
          <c:xVal>
            <c:numRef>
              <c:f>'3D View'!$Y$64:$Y$65</c:f>
              <c:numCache>
                <c:formatCode>General</c:formatCode>
                <c:ptCount val="2"/>
                <c:pt idx="0">
                  <c:v>-28.49983812981515</c:v>
                </c:pt>
                <c:pt idx="1">
                  <c:v>-70.43603038424964</c:v>
                </c:pt>
              </c:numCache>
            </c:numRef>
          </c:xVal>
          <c:yVal>
            <c:numRef>
              <c:f>'3D View'!$Z$64:$Z$65</c:f>
              <c:numCache>
                <c:formatCode>General</c:formatCode>
                <c:ptCount val="2"/>
                <c:pt idx="0">
                  <c:v>126.6034697844238</c:v>
                </c:pt>
                <c:pt idx="1">
                  <c:v>16.04437982246612</c:v>
                </c:pt>
              </c:numCache>
            </c:numRef>
          </c:yVal>
          <c:smooth val="0"/>
        </c:ser>
        <c:ser>
          <c:idx val="21"/>
          <c:order val="21"/>
          <c:tx>
            <c:strRef>
              <c:f>'3D View'!$S$69</c:f>
              <c:strCache>
                <c:ptCount val="1"/>
                <c:pt idx="0">
                  <c:v>Platform ring</c:v>
                </c:pt>
              </c:strCache>
            </c:strRef>
          </c:tx>
          <c:spPr>
            <a:ln w="19050">
              <a:solidFill>
                <a:schemeClr val="tx1"/>
              </a:solidFill>
            </a:ln>
          </c:spPr>
          <c:xVal>
            <c:numRef>
              <c:f>'3D View'!$Y$69:$Y$75</c:f>
              <c:numCache>
                <c:formatCode>General</c:formatCode>
                <c:ptCount val="7"/>
                <c:pt idx="0">
                  <c:v>-4.575080933170115</c:v>
                </c:pt>
                <c:pt idx="1">
                  <c:v>49.82827512488806</c:v>
                </c:pt>
                <c:pt idx="2">
                  <c:v>45.40715869125407</c:v>
                </c:pt>
                <c:pt idx="3">
                  <c:v>-21.32843699507292</c:v>
                </c:pt>
                <c:pt idx="4">
                  <c:v>-40.83207775808394</c:v>
                </c:pt>
                <c:pt idx="5">
                  <c:v>-28.49983812981515</c:v>
                </c:pt>
                <c:pt idx="6">
                  <c:v>-4.575080933170115</c:v>
                </c:pt>
              </c:numCache>
            </c:numRef>
          </c:xVal>
          <c:yVal>
            <c:numRef>
              <c:f>'3D View'!$Z$69:$Z$75</c:f>
              <c:numCache>
                <c:formatCode>General</c:formatCode>
                <c:ptCount val="7"/>
                <c:pt idx="0">
                  <c:v>133.2741077935611</c:v>
                </c:pt>
                <c:pt idx="1">
                  <c:v>98.30430459407623</c:v>
                </c:pt>
                <c:pt idx="2">
                  <c:v>79.09696795869803</c:v>
                </c:pt>
                <c:pt idx="3">
                  <c:v>60.4899243223236</c:v>
                </c:pt>
                <c:pt idx="4">
                  <c:v>73.02662294856439</c:v>
                </c:pt>
                <c:pt idx="5">
                  <c:v>126.6034697844238</c:v>
                </c:pt>
                <c:pt idx="6">
                  <c:v>133.2741077935611</c:v>
                </c:pt>
              </c:numCache>
            </c:numRef>
          </c:yVal>
          <c:smooth val="0"/>
        </c:ser>
        <c:ser>
          <c:idx val="22"/>
          <c:order val="22"/>
          <c:tx>
            <c:strRef>
              <c:f>'3D View'!$S$77</c:f>
              <c:strCache>
                <c:ptCount val="1"/>
                <c:pt idx="0">
                  <c:v>Base Ring</c:v>
                </c:pt>
              </c:strCache>
            </c:strRef>
          </c:tx>
          <c:spPr>
            <a:ln w="19050">
              <a:solidFill>
                <a:prstClr val="black"/>
              </a:solidFill>
            </a:ln>
          </c:spPr>
          <c:xVal>
            <c:numRef>
              <c:f>'3D View'!$Y$77:$Y$83</c:f>
              <c:numCache>
                <c:formatCode>General</c:formatCode>
                <c:ptCount val="7"/>
                <c:pt idx="0">
                  <c:v>21.43251776147622</c:v>
                </c:pt>
                <c:pt idx="1">
                  <c:v>72.38733980485883</c:v>
                </c:pt>
                <c:pt idx="2">
                  <c:v>56.21292299684805</c:v>
                </c:pt>
                <c:pt idx="3">
                  <c:v>-6.292419477373173</c:v>
                </c:pt>
                <c:pt idx="4">
                  <c:v>-77.64544075832426</c:v>
                </c:pt>
                <c:pt idx="5">
                  <c:v>-66.09492032748567</c:v>
                </c:pt>
                <c:pt idx="6">
                  <c:v>21.43251776147622</c:v>
                </c:pt>
              </c:numCache>
            </c:numRef>
          </c:xVal>
          <c:yVal>
            <c:numRef>
              <c:f>'3D View'!$Z$77:$Z$83</c:f>
              <c:numCache>
                <c:formatCode>General</c:formatCode>
                <c:ptCount val="7"/>
                <c:pt idx="0">
                  <c:v>59.20233706283516</c:v>
                </c:pt>
                <c:pt idx="1">
                  <c:v>26.44920879956627</c:v>
                </c:pt>
                <c:pt idx="2">
                  <c:v>-43.81979975875941</c:v>
                </c:pt>
                <c:pt idx="3">
                  <c:v>-61.24737529717106</c:v>
                </c:pt>
                <c:pt idx="4">
                  <c:v>-15.38253730407576</c:v>
                </c:pt>
                <c:pt idx="5">
                  <c:v>34.79816649760479</c:v>
                </c:pt>
                <c:pt idx="6">
                  <c:v>59.20233706283516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9281096"/>
        <c:axId val="-2119278040"/>
      </c:scatterChart>
      <c:valAx>
        <c:axId val="-2119281096"/>
        <c:scaling>
          <c:orientation val="minMax"/>
          <c:max val="170.0"/>
          <c:min val="-170.0"/>
        </c:scaling>
        <c:delete val="0"/>
        <c:axPos val="b"/>
        <c:numFmt formatCode="General" sourceLinked="1"/>
        <c:majorTickMark val="out"/>
        <c:minorTickMark val="none"/>
        <c:tickLblPos val="none"/>
        <c:spPr>
          <a:noFill/>
          <a:ln>
            <a:noFill/>
          </a:ln>
        </c:spPr>
        <c:txPr>
          <a:bodyPr/>
          <a:lstStyle/>
          <a:p>
            <a:pPr>
              <a:defRPr lang="ja-JP"/>
            </a:pPr>
            <a:endParaRPr lang="en-US"/>
          </a:p>
        </c:txPr>
        <c:crossAx val="-2119278040"/>
        <c:crosses val="autoZero"/>
        <c:crossBetween val="midCat"/>
      </c:valAx>
      <c:valAx>
        <c:axId val="-2119278040"/>
        <c:scaling>
          <c:orientation val="minMax"/>
          <c:max val="170.0"/>
          <c:min val="-170.0"/>
        </c:scaling>
        <c:delete val="0"/>
        <c:axPos val="l"/>
        <c:numFmt formatCode="General" sourceLinked="1"/>
        <c:majorTickMark val="out"/>
        <c:minorTickMark val="none"/>
        <c:tickLblPos val="none"/>
        <c:spPr>
          <a:ln>
            <a:noFill/>
          </a:ln>
        </c:spPr>
        <c:txPr>
          <a:bodyPr/>
          <a:lstStyle/>
          <a:p>
            <a:pPr>
              <a:defRPr lang="ja-JP"/>
            </a:pPr>
            <a:endParaRPr lang="en-US"/>
          </a:p>
        </c:txPr>
        <c:crossAx val="-2119281096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.0" l="0.750000000000003" r="0.750000000000003" t="1.0" header="0.5" footer="0.5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18070723024155"/>
          <c:y val="0.345523369211877"/>
          <c:w val="0.325720049759588"/>
          <c:h val="0.609687495485084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DATA!$O$23:$O$28</c:f>
              <c:numCache>
                <c:formatCode>0.00</c:formatCode>
                <c:ptCount val="6"/>
                <c:pt idx="0">
                  <c:v>0.377819682827604</c:v>
                </c:pt>
                <c:pt idx="1">
                  <c:v>0.3778196828276</c:v>
                </c:pt>
                <c:pt idx="2">
                  <c:v>0.377819682827597</c:v>
                </c:pt>
                <c:pt idx="3">
                  <c:v>0.377819682827599</c:v>
                </c:pt>
                <c:pt idx="4">
                  <c:v>0.377819682827596</c:v>
                </c:pt>
                <c:pt idx="5">
                  <c:v>0.377819682827599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19204936"/>
        <c:axId val="-2119202024"/>
      </c:barChart>
      <c:catAx>
        <c:axId val="-2119204936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US"/>
          </a:p>
        </c:txPr>
        <c:crossAx val="-2119202024"/>
        <c:crosses val="autoZero"/>
        <c:auto val="1"/>
        <c:lblAlgn val="ctr"/>
        <c:lblOffset val="40"/>
        <c:noMultiLvlLbl val="0"/>
      </c:catAx>
      <c:valAx>
        <c:axId val="-2119202024"/>
        <c:scaling>
          <c:orientation val="minMax"/>
          <c:max val="65.0"/>
          <c:min val="-50.0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US"/>
          </a:p>
        </c:txPr>
        <c:crossAx val="-2119204936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lang="ja-JP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2" l="0.700000000000001" r="0.700000000000001" t="0.750000000000002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16956981575573"/>
          <c:y val="0.067515783517132"/>
          <c:w val="0.863209475691533"/>
          <c:h val="0.750677409514239"/>
        </c:manualLayout>
      </c:layout>
      <c:scatterChart>
        <c:scatterStyle val="lineMarker"/>
        <c:varyColors val="0"/>
        <c:ser>
          <c:idx val="2"/>
          <c:order val="0"/>
          <c:tx>
            <c:v>Servo Arm Pivots</c:v>
          </c:tx>
          <c:spPr>
            <a:ln w="28575">
              <a:noFill/>
            </a:ln>
          </c:spPr>
          <c:xVal>
            <c:numRef>
              <c:f>DATA!$AA$14:$AA$19</c:f>
              <c:numCache>
                <c:formatCode>_ * #,##0.00_ ;_ * \-#,##0.00_ ;_ * "-"??_ ;_ @_ </c:formatCode>
                <c:ptCount val="6"/>
                <c:pt idx="0">
                  <c:v>59.0721052775026</c:v>
                </c:pt>
                <c:pt idx="1">
                  <c:v>67.33104687956254</c:v>
                </c:pt>
                <c:pt idx="2">
                  <c:v>8.258941602059948</c:v>
                </c:pt>
                <c:pt idx="3">
                  <c:v>-8.258941602059948</c:v>
                </c:pt>
                <c:pt idx="4">
                  <c:v>-67.33104687956254</c:v>
                </c:pt>
                <c:pt idx="5">
                  <c:v>-59.07210527750259</c:v>
                </c:pt>
              </c:numCache>
            </c:numRef>
          </c:xVal>
          <c:yVal>
            <c:numRef>
              <c:f>DATA!$AB$14:$AB$19</c:f>
              <c:numCache>
                <c:formatCode>_ * #,##0.00_ ;_ * \-#,##0.00_ ;_ * "-"??_ ;_ @_ </c:formatCode>
                <c:ptCount val="6"/>
                <c:pt idx="0">
                  <c:v>43.64190019790544</c:v>
                </c:pt>
                <c:pt idx="1">
                  <c:v>29.33699372639332</c:v>
                </c:pt>
                <c:pt idx="2">
                  <c:v>-72.97889392429877</c:v>
                </c:pt>
                <c:pt idx="3">
                  <c:v>-72.97889392429877</c:v>
                </c:pt>
                <c:pt idx="4">
                  <c:v>29.33699372639332</c:v>
                </c:pt>
                <c:pt idx="5">
                  <c:v>43.64190019790544</c:v>
                </c:pt>
              </c:numCache>
            </c:numRef>
          </c:yVal>
          <c:smooth val="0"/>
        </c:ser>
        <c:ser>
          <c:idx val="0"/>
          <c:order val="1"/>
          <c:tx>
            <c:v>Servo Axis</c:v>
          </c:tx>
          <c:spPr>
            <a:ln w="28575">
              <a:noFill/>
            </a:ln>
          </c:spPr>
          <c:dLbls>
            <c:dLbl>
              <c:idx val="0"/>
              <c:layout/>
              <c:tx>
                <c:strRef>
                  <c:f>DATA!$Z$5</c:f>
                  <c:strCache>
                    <c:ptCount val="1"/>
                    <c:pt idx="0">
                      <c:v>1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{8DE155CE-9291-5147-BB61-1479B434AF59}</c15:txfldGUID>
                      <c15:f>DATA!$Z$5</c15:f>
                      <c15:dlblFieldTableCache>
                        <c:ptCount val="1"/>
                        <c:pt idx="0">
                          <c:v>1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1"/>
              <c:layout>
                <c:manualLayout>
                  <c:x val="-0.0148664332909777"/>
                  <c:y val="-0.0712788024632946"/>
                </c:manualLayout>
              </c:layout>
              <c:tx>
                <c:strRef>
                  <c:f>DATA!$Z$6</c:f>
                  <c:strCache>
                    <c:ptCount val="1"/>
                    <c:pt idx="0">
                      <c:v>2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{DFBEAAE3-E0A3-E246-99E2-ACB95A026763}</c15:txfldGUID>
                      <c15:f>DATA!$Z$6</c15:f>
                      <c15:dlblFieldTableCache>
                        <c:ptCount val="1"/>
                        <c:pt idx="0">
                          <c:v>2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2"/>
              <c:layout/>
              <c:tx>
                <c:strRef>
                  <c:f>DATA!$Z$7</c:f>
                  <c:strCache>
                    <c:ptCount val="1"/>
                    <c:pt idx="0">
                      <c:v>3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{5F4ACE36-77B0-2E4D-B340-A8AB27010908}</c15:txfldGUID>
                      <c15:f>DATA!$Z$7</c15:f>
                      <c15:dlblFieldTableCache>
                        <c:ptCount val="1"/>
                        <c:pt idx="0">
                          <c:v>3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3"/>
              <c:layout/>
              <c:tx>
                <c:strRef>
                  <c:f>DATA!$Z$8</c:f>
                  <c:strCache>
                    <c:ptCount val="1"/>
                    <c:pt idx="0">
                      <c:v>4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{E9D18248-E22C-494A-BE27-9148A3E778E8}</c15:txfldGUID>
                      <c15:f>DATA!$Z$8</c15:f>
                      <c15:dlblFieldTableCache>
                        <c:ptCount val="1"/>
                        <c:pt idx="0">
                          <c:v>4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4"/>
              <c:layout/>
              <c:tx>
                <c:strRef>
                  <c:f>DATA!$Z$9</c:f>
                  <c:strCache>
                    <c:ptCount val="1"/>
                    <c:pt idx="0">
                      <c:v>5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{64A32AD0-A7C4-574D-A9E8-5AC04AFCDFAF}</c15:txfldGUID>
                      <c15:f>DATA!$Z$9</c15:f>
                      <c15:dlblFieldTableCache>
                        <c:ptCount val="1"/>
                        <c:pt idx="0">
                          <c:v>5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5"/>
              <c:layout/>
              <c:tx>
                <c:strRef>
                  <c:f>DATA!$Z$10</c:f>
                  <c:strCache>
                    <c:ptCount val="1"/>
                    <c:pt idx="0">
                      <c:v>6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{40CAFC96-CF5A-C947-A586-6EBC4BFBC4D3}</c15:txfldGUID>
                      <c15:f>DATA!$Z$10</c15:f>
                      <c15:dlblFieldTableCache>
                        <c:ptCount val="1"/>
                        <c:pt idx="0">
                          <c:v>6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DATA!$E$14:$E$19</c:f>
              <c:numCache>
                <c:formatCode>0.00</c:formatCode>
                <c:ptCount val="6"/>
                <c:pt idx="0">
                  <c:v>46.57237704801738</c:v>
                </c:pt>
                <c:pt idx="1">
                  <c:v>79.83077510904775</c:v>
                </c:pt>
                <c:pt idx="2">
                  <c:v>33.25839806103038</c:v>
                </c:pt>
                <c:pt idx="3">
                  <c:v>-33.25839806103038</c:v>
                </c:pt>
                <c:pt idx="4">
                  <c:v>-79.83077510904775</c:v>
                </c:pt>
                <c:pt idx="5">
                  <c:v>-46.57237704801738</c:v>
                </c:pt>
              </c:numCache>
            </c:numRef>
          </c:xVal>
          <c:yVal>
            <c:numRef>
              <c:f>DATA!$F$14:$F$19</c:f>
              <c:numCache>
                <c:formatCode>0.00</c:formatCode>
                <c:ptCount val="6"/>
                <c:pt idx="0">
                  <c:v>65.2920645721768</c:v>
                </c:pt>
                <c:pt idx="1">
                  <c:v>7.686829352121961</c:v>
                </c:pt>
                <c:pt idx="2">
                  <c:v>-72.97889392429877</c:v>
                </c:pt>
                <c:pt idx="3">
                  <c:v>-72.97889392429877</c:v>
                </c:pt>
                <c:pt idx="4">
                  <c:v>7.686829352121961</c:v>
                </c:pt>
                <c:pt idx="5">
                  <c:v>65.2920645721768</c:v>
                </c:pt>
              </c:numCache>
            </c:numRef>
          </c:yVal>
          <c:smooth val="0"/>
        </c:ser>
        <c:ser>
          <c:idx val="1"/>
          <c:order val="2"/>
          <c:tx>
            <c:v>Platform Joints</c:v>
          </c:tx>
          <c:spPr>
            <a:ln w="28575">
              <a:noFill/>
            </a:ln>
          </c:spPr>
          <c:xVal>
            <c:numRef>
              <c:f>DATA!$E$5:$E$10</c:f>
              <c:numCache>
                <c:formatCode>0.00</c:formatCode>
                <c:ptCount val="6"/>
                <c:pt idx="0">
                  <c:v>12.73009741027638</c:v>
                </c:pt>
                <c:pt idx="1">
                  <c:v>48.23936619144065</c:v>
                </c:pt>
                <c:pt idx="2">
                  <c:v>35.50926878116427</c:v>
                </c:pt>
                <c:pt idx="3">
                  <c:v>-35.50926878116427</c:v>
                </c:pt>
                <c:pt idx="4">
                  <c:v>-48.23936619144065</c:v>
                </c:pt>
                <c:pt idx="5">
                  <c:v>-12.73009741027638</c:v>
                </c:pt>
              </c:numCache>
            </c:numRef>
          </c:xVal>
          <c:yVal>
            <c:numRef>
              <c:f>DATA!$F$5:$F$10</c:f>
              <c:numCache>
                <c:formatCode>0.00</c:formatCode>
                <c:ptCount val="6"/>
                <c:pt idx="0">
                  <c:v>48.35229694569716</c:v>
                </c:pt>
                <c:pt idx="1">
                  <c:v>-13.15156072289875</c:v>
                </c:pt>
                <c:pt idx="2">
                  <c:v>-35.20073622279841</c:v>
                </c:pt>
                <c:pt idx="3">
                  <c:v>-35.20073622279841</c:v>
                </c:pt>
                <c:pt idx="4">
                  <c:v>-13.15156072289875</c:v>
                </c:pt>
                <c:pt idx="5">
                  <c:v>48.35229694569716</c:v>
                </c:pt>
              </c:numCache>
            </c:numRef>
          </c:yVal>
          <c:smooth val="0"/>
        </c:ser>
        <c:ser>
          <c:idx val="3"/>
          <c:order val="3"/>
          <c:tx>
            <c:v>New Platform Joints</c:v>
          </c:tx>
          <c:spPr>
            <a:ln w="28575">
              <a:solidFill>
                <a:srgbClr val="4F81BD"/>
              </a:solidFill>
            </a:ln>
          </c:spPr>
          <c:xVal>
            <c:numRef>
              <c:f>DATA!$I$4:$I$10</c:f>
              <c:numCache>
                <c:formatCode>0.00</c:formatCode>
                <c:ptCount val="7"/>
                <c:pt idx="0">
                  <c:v>12.73009741027638</c:v>
                </c:pt>
                <c:pt idx="1">
                  <c:v>48.23936619144065</c:v>
                </c:pt>
                <c:pt idx="2">
                  <c:v>35.50926878116427</c:v>
                </c:pt>
                <c:pt idx="3">
                  <c:v>-35.50926878116427</c:v>
                </c:pt>
                <c:pt idx="4">
                  <c:v>-48.23936619144065</c:v>
                </c:pt>
                <c:pt idx="5">
                  <c:v>-12.73009741027638</c:v>
                </c:pt>
                <c:pt idx="6">
                  <c:v>12.73009741027638</c:v>
                </c:pt>
              </c:numCache>
            </c:numRef>
          </c:xVal>
          <c:yVal>
            <c:numRef>
              <c:f>DATA!$J$4:$J$10</c:f>
              <c:numCache>
                <c:formatCode>0.00</c:formatCode>
                <c:ptCount val="7"/>
                <c:pt idx="0">
                  <c:v>48.35229694569716</c:v>
                </c:pt>
                <c:pt idx="1">
                  <c:v>-13.15156072289875</c:v>
                </c:pt>
                <c:pt idx="2">
                  <c:v>-35.20073622279841</c:v>
                </c:pt>
                <c:pt idx="3">
                  <c:v>-35.20073622279841</c:v>
                </c:pt>
                <c:pt idx="4">
                  <c:v>-13.15156072289875</c:v>
                </c:pt>
                <c:pt idx="5">
                  <c:v>48.35229694569716</c:v>
                </c:pt>
                <c:pt idx="6">
                  <c:v>48.35229694569716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9824120"/>
        <c:axId val="-2119827400"/>
      </c:scatterChart>
      <c:valAx>
        <c:axId val="-2119824120"/>
        <c:scaling>
          <c:orientation val="minMax"/>
          <c:max val="100.0"/>
          <c:min val="-100.0"/>
        </c:scaling>
        <c:delete val="0"/>
        <c:axPos val="b"/>
        <c:numFmt formatCode="_ * #,##0.00_ ;_ * \-#,##0.00_ ;_ * &quot;-&quot;??_ ;_ @_ 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US"/>
          </a:p>
        </c:txPr>
        <c:crossAx val="-2119827400"/>
        <c:crosses val="autoZero"/>
        <c:crossBetween val="midCat"/>
      </c:valAx>
      <c:valAx>
        <c:axId val="-2119827400"/>
        <c:scaling>
          <c:orientation val="minMax"/>
        </c:scaling>
        <c:delete val="0"/>
        <c:axPos val="l"/>
        <c:numFmt formatCode="_ * #,##0.00_ ;_ * \-#,##0.00_ ;_ * &quot;-&quot;??_ ;_ @_ 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US"/>
          </a:p>
        </c:txPr>
        <c:crossAx val="-2119824120"/>
        <c:crosses val="autoZero"/>
        <c:crossBetween val="midCat"/>
      </c:valAx>
    </c:plotArea>
    <c:legend>
      <c:legendPos val="b"/>
      <c:layout/>
      <c:overlay val="0"/>
      <c:txPr>
        <a:bodyPr/>
        <a:lstStyle/>
        <a:p>
          <a:pPr>
            <a:defRPr lang="ja-JP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3" l="0.700000000000001" r="0.700000000000001" t="0.750000000000003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8070723024155"/>
          <c:y val="0.139313675065086"/>
          <c:w val="0.724210130500581"/>
          <c:h val="0.783753759234425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DATA!$O$23:$O$28</c:f>
              <c:numCache>
                <c:formatCode>0.00</c:formatCode>
                <c:ptCount val="6"/>
                <c:pt idx="0">
                  <c:v>0.377819682827604</c:v>
                </c:pt>
                <c:pt idx="1">
                  <c:v>0.3778196828276</c:v>
                </c:pt>
                <c:pt idx="2">
                  <c:v>0.377819682827597</c:v>
                </c:pt>
                <c:pt idx="3">
                  <c:v>0.377819682827599</c:v>
                </c:pt>
                <c:pt idx="4">
                  <c:v>0.377819682827596</c:v>
                </c:pt>
                <c:pt idx="5">
                  <c:v>0.377819682827599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19848872"/>
        <c:axId val="-2119851800"/>
      </c:barChart>
      <c:catAx>
        <c:axId val="-2119848872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US"/>
          </a:p>
        </c:txPr>
        <c:crossAx val="-2119851800"/>
        <c:crosses val="autoZero"/>
        <c:auto val="1"/>
        <c:lblAlgn val="ctr"/>
        <c:lblOffset val="40"/>
        <c:noMultiLvlLbl val="0"/>
      </c:catAx>
      <c:valAx>
        <c:axId val="-2119851800"/>
        <c:scaling>
          <c:orientation val="minMax"/>
          <c:max val="50.0"/>
          <c:min val="-50.0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US"/>
          </a:p>
        </c:txPr>
        <c:crossAx val="-2119848872"/>
        <c:crosses val="autoZero"/>
        <c:crossBetween val="between"/>
        <c:majorUnit val="25.0"/>
      </c:valAx>
    </c:plotArea>
    <c:plotVisOnly val="1"/>
    <c:dispBlanksAs val="gap"/>
    <c:showDLblsOverMax val="0"/>
  </c:chart>
  <c:printSettings>
    <c:headerFooter/>
    <c:pageMargins b="0.750000000000002" l="0.700000000000001" r="0.700000000000001" t="0.750000000000002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"/>
          <c:y val="0.0"/>
          <c:w val="1.0"/>
          <c:h val="1.0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dLbl>
              <c:idx val="0"/>
              <c:layout/>
              <c:tx>
                <c:strRef>
                  <c:f>'3D View'!$S$2</c:f>
                  <c:strCache>
                    <c:ptCount val="1"/>
                    <c:pt idx="0">
                      <c:v>P1</c:v>
                    </c:pt>
                  </c:strCache>
                </c:strRef>
              </c:tx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lang="ja-JP"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{46686BC7-C236-EA4E-8096-700E17BFC9A1}</c15:txfldGUID>
                      <c15:f>'3D View'!$S$2</c15:f>
                      <c15:dlblFieldTableCache>
                        <c:ptCount val="1"/>
                        <c:pt idx="0">
                          <c:v>P1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1"/>
              <c:layout/>
              <c:tx>
                <c:strRef>
                  <c:f>'3D View'!$S$3</c:f>
                  <c:strCache>
                    <c:ptCount val="1"/>
                    <c:pt idx="0">
                      <c:v>P2</c:v>
                    </c:pt>
                  </c:strCache>
                </c:strRef>
              </c:tx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lang="ja-JP"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{3F8A1A25-20EC-EF4D-A530-517EB8005CD0}</c15:txfldGUID>
                      <c15:f>'3D View'!$S$3</c15:f>
                      <c15:dlblFieldTableCache>
                        <c:ptCount val="1"/>
                        <c:pt idx="0">
                          <c:v>P2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2"/>
              <c:layout/>
              <c:tx>
                <c:strRef>
                  <c:f>'3D View'!$S$4</c:f>
                  <c:strCache>
                    <c:ptCount val="1"/>
                    <c:pt idx="0">
                      <c:v>P3</c:v>
                    </c:pt>
                  </c:strCache>
                </c:strRef>
              </c:tx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lang="ja-JP"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{3D79CAA4-6A5B-164B-BFAB-D5FE99456806}</c15:txfldGUID>
                      <c15:f>'3D View'!$S$4</c15:f>
                      <c15:dlblFieldTableCache>
                        <c:ptCount val="1"/>
                        <c:pt idx="0">
                          <c:v>P3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3"/>
              <c:layout/>
              <c:tx>
                <c:strRef>
                  <c:f>'3D View'!$S$5</c:f>
                  <c:strCache>
                    <c:ptCount val="1"/>
                    <c:pt idx="0">
                      <c:v>P4</c:v>
                    </c:pt>
                  </c:strCache>
                </c:strRef>
              </c:tx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lang="ja-JP"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{6B32304D-B978-D547-8F64-D301ECBDF170}</c15:txfldGUID>
                      <c15:f>'3D View'!$S$5</c15:f>
                      <c15:dlblFieldTableCache>
                        <c:ptCount val="1"/>
                        <c:pt idx="0">
                          <c:v>P4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4"/>
              <c:layout/>
              <c:tx>
                <c:strRef>
                  <c:f>'3D View'!$S$6</c:f>
                  <c:strCache>
                    <c:ptCount val="1"/>
                    <c:pt idx="0">
                      <c:v>P5</c:v>
                    </c:pt>
                  </c:strCache>
                </c:strRef>
              </c:tx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lang="ja-JP"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{7CFAD503-2017-FF4C-8196-72CE329F9FB7}</c15:txfldGUID>
                      <c15:f>'3D View'!$S$6</c15:f>
                      <c15:dlblFieldTableCache>
                        <c:ptCount val="1"/>
                        <c:pt idx="0">
                          <c:v>P5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5"/>
              <c:layout/>
              <c:tx>
                <c:strRef>
                  <c:f>'3D View'!$S$7</c:f>
                  <c:strCache>
                    <c:ptCount val="1"/>
                    <c:pt idx="0">
                      <c:v>P6</c:v>
                    </c:pt>
                  </c:strCache>
                </c:strRef>
              </c:tx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lang="ja-JP"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{1E808C5A-66C9-2E4C-905B-BCF58C9FBFC5}</c15:txfldGUID>
                      <c15:f>'3D View'!$S$7</c15:f>
                      <c15:dlblFieldTableCache>
                        <c:ptCount val="1"/>
                        <c:pt idx="0">
                          <c:v>P6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6"/>
              <c:layout/>
              <c:tx>
                <c:strRef>
                  <c:f>'3D View'!$S$8</c:f>
                  <c:strCache>
                    <c:ptCount val="1"/>
                    <c:pt idx="0">
                      <c:v>B1</c:v>
                    </c:pt>
                  </c:strCache>
                </c:strRef>
              </c:tx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lang="ja-JP"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l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{0A0E18F4-DE6D-6C40-917B-732AD1FCB31E}</c15:txfldGUID>
                      <c15:f>'3D View'!$S$8</c15:f>
                      <c15:dlblFieldTableCache>
                        <c:ptCount val="1"/>
                        <c:pt idx="0">
                          <c:v>B1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7"/>
              <c:layout/>
              <c:tx>
                <c:strRef>
                  <c:f>'3D View'!$S$9</c:f>
                  <c:strCache>
                    <c:ptCount val="1"/>
                    <c:pt idx="0">
                      <c:v>B2</c:v>
                    </c:pt>
                  </c:strCache>
                </c:strRef>
              </c:tx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lang="ja-JP"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{2EEFE621-F719-8B4B-855C-2EDB2C2993FF}</c15:txfldGUID>
                      <c15:f>'3D View'!$S$9</c15:f>
                      <c15:dlblFieldTableCache>
                        <c:ptCount val="1"/>
                        <c:pt idx="0">
                          <c:v>B2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8"/>
              <c:layout/>
              <c:tx>
                <c:strRef>
                  <c:f>'3D View'!$S$10</c:f>
                  <c:strCache>
                    <c:ptCount val="1"/>
                    <c:pt idx="0">
                      <c:v>B3</c:v>
                    </c:pt>
                  </c:strCache>
                </c:strRef>
              </c:tx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lang="ja-JP"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{B8B1F11F-0854-254C-8CC9-C5B04917E4C0}</c15:txfldGUID>
                      <c15:f>'3D View'!$S$10</c15:f>
                      <c15:dlblFieldTableCache>
                        <c:ptCount val="1"/>
                        <c:pt idx="0">
                          <c:v>B3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9"/>
              <c:layout/>
              <c:tx>
                <c:strRef>
                  <c:f>'3D View'!$S$11</c:f>
                  <c:strCache>
                    <c:ptCount val="1"/>
                    <c:pt idx="0">
                      <c:v>B4</c:v>
                    </c:pt>
                  </c:strCache>
                </c:strRef>
              </c:tx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lang="ja-JP"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{309918A5-6029-3440-A264-479CBE668EC4}</c15:txfldGUID>
                      <c15:f>'3D View'!$S$11</c15:f>
                      <c15:dlblFieldTableCache>
                        <c:ptCount val="1"/>
                        <c:pt idx="0">
                          <c:v>B4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10"/>
              <c:layout/>
              <c:tx>
                <c:strRef>
                  <c:f>'3D View'!$S$12</c:f>
                  <c:strCache>
                    <c:ptCount val="1"/>
                    <c:pt idx="0">
                      <c:v>B5</c:v>
                    </c:pt>
                  </c:strCache>
                </c:strRef>
              </c:tx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{F5B6A5D1-95DC-DE4A-81CB-6180BEA78E46}</c15:txfldGUID>
                      <c15:f>'3D View'!$S$12</c15:f>
                      <c15:dlblFieldTableCache>
                        <c:ptCount val="1"/>
                        <c:pt idx="0">
                          <c:v>B5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11"/>
              <c:layout/>
              <c:tx>
                <c:strRef>
                  <c:f>'3D View'!$S$13</c:f>
                  <c:strCache>
                    <c:ptCount val="1"/>
                    <c:pt idx="0">
                      <c:v>B6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{84C85CE0-01A1-CA44-9E60-58B984159F43}</c15:txfldGUID>
                      <c15:f>'3D View'!$S$13</c15:f>
                      <c15:dlblFieldTableCache>
                        <c:ptCount val="1"/>
                        <c:pt idx="0">
                          <c:v>B6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numFmt formatCode="General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'3D View'!$Y$2:$Y$13</c:f>
              <c:numCache>
                <c:formatCode>General</c:formatCode>
                <c:ptCount val="12"/>
                <c:pt idx="0">
                  <c:v>-4.575080933170115</c:v>
                </c:pt>
                <c:pt idx="1">
                  <c:v>49.82827512488806</c:v>
                </c:pt>
                <c:pt idx="2">
                  <c:v>45.40715869125407</c:v>
                </c:pt>
                <c:pt idx="3">
                  <c:v>-21.32843699507292</c:v>
                </c:pt>
                <c:pt idx="4">
                  <c:v>-40.83207775808394</c:v>
                </c:pt>
                <c:pt idx="5">
                  <c:v>-28.49983812981515</c:v>
                </c:pt>
                <c:pt idx="6">
                  <c:v>21.43251776147622</c:v>
                </c:pt>
                <c:pt idx="7">
                  <c:v>72.38733980485883</c:v>
                </c:pt>
                <c:pt idx="8">
                  <c:v>56.21292299684805</c:v>
                </c:pt>
                <c:pt idx="9">
                  <c:v>-6.292419477373173</c:v>
                </c:pt>
                <c:pt idx="10">
                  <c:v>-77.64544075832426</c:v>
                </c:pt>
                <c:pt idx="11">
                  <c:v>-66.09492032748567</c:v>
                </c:pt>
              </c:numCache>
            </c:numRef>
          </c:xVal>
          <c:yVal>
            <c:numRef>
              <c:f>'3D View'!$Z$2:$Z$13</c:f>
              <c:numCache>
                <c:formatCode>General</c:formatCode>
                <c:ptCount val="12"/>
                <c:pt idx="0">
                  <c:v>133.2741077935611</c:v>
                </c:pt>
                <c:pt idx="1">
                  <c:v>98.30430459407623</c:v>
                </c:pt>
                <c:pt idx="2">
                  <c:v>79.09696795869803</c:v>
                </c:pt>
                <c:pt idx="3">
                  <c:v>60.4899243223236</c:v>
                </c:pt>
                <c:pt idx="4">
                  <c:v>73.02662294856439</c:v>
                </c:pt>
                <c:pt idx="5">
                  <c:v>126.6034697844238</c:v>
                </c:pt>
                <c:pt idx="6">
                  <c:v>59.20233706283516</c:v>
                </c:pt>
                <c:pt idx="7">
                  <c:v>26.44920879956627</c:v>
                </c:pt>
                <c:pt idx="8">
                  <c:v>-43.81979975875941</c:v>
                </c:pt>
                <c:pt idx="9">
                  <c:v>-61.24737529717106</c:v>
                </c:pt>
                <c:pt idx="10">
                  <c:v>-15.38253730407576</c:v>
                </c:pt>
                <c:pt idx="11">
                  <c:v>34.79816649760479</c:v>
                </c:pt>
              </c:numCache>
            </c:numRef>
          </c:yVal>
          <c:smooth val="1"/>
        </c:ser>
        <c:ser>
          <c:idx val="1"/>
          <c:order val="1"/>
          <c:tx>
            <c:v>Axis</c:v>
          </c:tx>
          <c:spPr>
            <a:ln w="12700">
              <a:solidFill>
                <a:srgbClr val="000000">
                  <a:alpha val="15000"/>
                </a:srgbClr>
              </a:solidFill>
              <a:prstDash val="solid"/>
            </a:ln>
          </c:spPr>
          <c:marker>
            <c:symbol val="none"/>
          </c:marker>
          <c:dLbls>
            <c:dLbl>
              <c:idx val="0"/>
              <c:layout>
                <c:manualLayout>
                  <c:x val="-0.0637828030108989"/>
                  <c:y val="0.0183610977334084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X Axis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0.00531522195864674"/>
                  <c:y val="0.0183610977334084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X Axis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en-US"/>
                      <a:t>YAxis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0.00885870326441123"/>
                  <c:y val="0.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Y Axis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0.0"/>
                  <c:y val="0.044882683348332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-Z axis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>
                <c:manualLayout>
                  <c:x val="-0.00177174065288225"/>
                  <c:y val="-0.136688172015374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Z Axis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Ref>
              <c:f>'3D View'!$Y$89:$Y$96</c:f>
              <c:numCache>
                <c:formatCode>General</c:formatCode>
                <c:ptCount val="8"/>
                <c:pt idx="0">
                  <c:v>-187.9385241571817</c:v>
                </c:pt>
                <c:pt idx="1">
                  <c:v>187.9385241571817</c:v>
                </c:pt>
                <c:pt idx="2">
                  <c:v>0.0</c:v>
                </c:pt>
                <c:pt idx="3">
                  <c:v>68.40402866513373</c:v>
                </c:pt>
                <c:pt idx="4">
                  <c:v>-68.40402866513373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xVal>
          <c:yVal>
            <c:numRef>
              <c:f>'3D View'!$Z$89:$Z$96</c:f>
              <c:numCache>
                <c:formatCode>General</c:formatCode>
                <c:ptCount val="8"/>
                <c:pt idx="0">
                  <c:v>-52.40052604587697</c:v>
                </c:pt>
                <c:pt idx="1">
                  <c:v>52.40052604587697</c:v>
                </c:pt>
                <c:pt idx="2">
                  <c:v>0.0</c:v>
                </c:pt>
                <c:pt idx="3">
                  <c:v>-143.9692620785908</c:v>
                </c:pt>
                <c:pt idx="4">
                  <c:v>143.9692620785908</c:v>
                </c:pt>
                <c:pt idx="5">
                  <c:v>0.0</c:v>
                </c:pt>
                <c:pt idx="6">
                  <c:v>-128.557521937308</c:v>
                </c:pt>
                <c:pt idx="7">
                  <c:v>128.557521937308</c:v>
                </c:pt>
              </c:numCache>
            </c:numRef>
          </c:yVal>
          <c:smooth val="0"/>
        </c:ser>
        <c:ser>
          <c:idx val="2"/>
          <c:order val="2"/>
          <c:tx>
            <c:v>Cage</c:v>
          </c:tx>
          <c:spPr>
            <a:ln w="3175">
              <a:noFill/>
              <a:prstDash val="solid"/>
            </a:ln>
          </c:spPr>
          <c:marker>
            <c:symbol val="none"/>
          </c:marker>
          <c:xVal>
            <c:numRef>
              <c:f>'3D View'!$Y$101:$Y$119</c:f>
              <c:numCache>
                <c:formatCode>General</c:formatCode>
                <c:ptCount val="19"/>
                <c:pt idx="0">
                  <c:v>-119.534495492048</c:v>
                </c:pt>
                <c:pt idx="1">
                  <c:v>256.3425528223154</c:v>
                </c:pt>
                <c:pt idx="2">
                  <c:v>119.534495492048</c:v>
                </c:pt>
                <c:pt idx="3">
                  <c:v>-256.3425528223154</c:v>
                </c:pt>
                <c:pt idx="4">
                  <c:v>-119.534495492048</c:v>
                </c:pt>
                <c:pt idx="5">
                  <c:v>-119.534495492048</c:v>
                </c:pt>
                <c:pt idx="6">
                  <c:v>256.3425528223154</c:v>
                </c:pt>
                <c:pt idx="7">
                  <c:v>119.534495492048</c:v>
                </c:pt>
                <c:pt idx="8">
                  <c:v>-256.3425528223154</c:v>
                </c:pt>
                <c:pt idx="9">
                  <c:v>-119.534495492048</c:v>
                </c:pt>
                <c:pt idx="11">
                  <c:v>-256.3425528223154</c:v>
                </c:pt>
                <c:pt idx="12">
                  <c:v>-256.3425528223154</c:v>
                </c:pt>
                <c:pt idx="14">
                  <c:v>119.534495492048</c:v>
                </c:pt>
                <c:pt idx="15">
                  <c:v>119.534495492048</c:v>
                </c:pt>
                <c:pt idx="17">
                  <c:v>256.3425528223154</c:v>
                </c:pt>
                <c:pt idx="18">
                  <c:v>256.3425528223154</c:v>
                </c:pt>
              </c:numCache>
            </c:numRef>
          </c:xVal>
          <c:yVal>
            <c:numRef>
              <c:f>'3D View'!$Z$101:$Z$119</c:f>
              <c:numCache>
                <c:formatCode>General</c:formatCode>
                <c:ptCount val="19"/>
                <c:pt idx="0">
                  <c:v>-324.9273100617756</c:v>
                </c:pt>
                <c:pt idx="1">
                  <c:v>-220.1262579700217</c:v>
                </c:pt>
                <c:pt idx="2">
                  <c:v>67.81226618715985</c:v>
                </c:pt>
                <c:pt idx="3">
                  <c:v>-36.9887859045941</c:v>
                </c:pt>
                <c:pt idx="4">
                  <c:v>-324.9273100617756</c:v>
                </c:pt>
                <c:pt idx="5">
                  <c:v>-67.81226618715985</c:v>
                </c:pt>
                <c:pt idx="6">
                  <c:v>36.9887859045941</c:v>
                </c:pt>
                <c:pt idx="7">
                  <c:v>324.9273100617756</c:v>
                </c:pt>
                <c:pt idx="8">
                  <c:v>220.1262579700217</c:v>
                </c:pt>
                <c:pt idx="9">
                  <c:v>-67.81226618715985</c:v>
                </c:pt>
                <c:pt idx="11">
                  <c:v>220.1262579700217</c:v>
                </c:pt>
                <c:pt idx="12">
                  <c:v>-36.9887859045941</c:v>
                </c:pt>
                <c:pt idx="14">
                  <c:v>67.81226618715985</c:v>
                </c:pt>
                <c:pt idx="15">
                  <c:v>324.9273100617756</c:v>
                </c:pt>
                <c:pt idx="17">
                  <c:v>36.9887859045941</c:v>
                </c:pt>
                <c:pt idx="18">
                  <c:v>-220.1262579700217</c:v>
                </c:pt>
              </c:numCache>
            </c:numRef>
          </c:yVal>
          <c:smooth val="0"/>
        </c:ser>
        <c:ser>
          <c:idx val="3"/>
          <c:order val="3"/>
          <c:tx>
            <c:v>line1</c:v>
          </c:tx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'3D View'!$Y$16:$Y$17</c:f>
              <c:numCache>
                <c:formatCode>General</c:formatCode>
                <c:ptCount val="2"/>
                <c:pt idx="0">
                  <c:v>-4.575080933170115</c:v>
                </c:pt>
                <c:pt idx="1">
                  <c:v>21.43251776147622</c:v>
                </c:pt>
              </c:numCache>
            </c:numRef>
          </c:xVal>
          <c:yVal>
            <c:numRef>
              <c:f>'3D View'!$Z$16:$Z$17</c:f>
              <c:numCache>
                <c:formatCode>General</c:formatCode>
                <c:ptCount val="2"/>
                <c:pt idx="0">
                  <c:v>133.2741077935611</c:v>
                </c:pt>
                <c:pt idx="1">
                  <c:v>59.20233706283516</c:v>
                </c:pt>
              </c:numCache>
            </c:numRef>
          </c:yVal>
          <c:smooth val="0"/>
        </c:ser>
        <c:ser>
          <c:idx val="4"/>
          <c:order val="4"/>
          <c:tx>
            <c:v>line2</c:v>
          </c:tx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'3D View'!$Y$18:$Y$19</c:f>
              <c:numCache>
                <c:formatCode>General</c:formatCode>
                <c:ptCount val="2"/>
                <c:pt idx="0">
                  <c:v>49.82827512488806</c:v>
                </c:pt>
                <c:pt idx="1">
                  <c:v>72.38733980485883</c:v>
                </c:pt>
              </c:numCache>
            </c:numRef>
          </c:xVal>
          <c:yVal>
            <c:numRef>
              <c:f>'3D View'!$Z$18:$Z$19</c:f>
              <c:numCache>
                <c:formatCode>General</c:formatCode>
                <c:ptCount val="2"/>
                <c:pt idx="0">
                  <c:v>98.30430459407623</c:v>
                </c:pt>
                <c:pt idx="1">
                  <c:v>26.44920879956627</c:v>
                </c:pt>
              </c:numCache>
            </c:numRef>
          </c:yVal>
          <c:smooth val="0"/>
        </c:ser>
        <c:ser>
          <c:idx val="5"/>
          <c:order val="5"/>
          <c:tx>
            <c:v>line3</c:v>
          </c:tx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'3D View'!$Y$20:$Y$21</c:f>
              <c:numCache>
                <c:formatCode>General</c:formatCode>
                <c:ptCount val="2"/>
                <c:pt idx="0">
                  <c:v>45.40715869125407</c:v>
                </c:pt>
                <c:pt idx="1">
                  <c:v>56.21292299684805</c:v>
                </c:pt>
              </c:numCache>
            </c:numRef>
          </c:xVal>
          <c:yVal>
            <c:numRef>
              <c:f>'3D View'!$Z$20:$Z$21</c:f>
              <c:numCache>
                <c:formatCode>General</c:formatCode>
                <c:ptCount val="2"/>
                <c:pt idx="0">
                  <c:v>79.09696795869803</c:v>
                </c:pt>
                <c:pt idx="1">
                  <c:v>-43.81979975875941</c:v>
                </c:pt>
              </c:numCache>
            </c:numRef>
          </c:yVal>
          <c:smooth val="0"/>
        </c:ser>
        <c:ser>
          <c:idx val="6"/>
          <c:order val="6"/>
          <c:tx>
            <c:v>line4</c:v>
          </c:tx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'3D View'!$Y$22:$Y$23</c:f>
              <c:numCache>
                <c:formatCode>General</c:formatCode>
                <c:ptCount val="2"/>
                <c:pt idx="0">
                  <c:v>-21.32843699507292</c:v>
                </c:pt>
                <c:pt idx="1">
                  <c:v>-6.292419477373173</c:v>
                </c:pt>
              </c:numCache>
            </c:numRef>
          </c:xVal>
          <c:yVal>
            <c:numRef>
              <c:f>'3D View'!$Z$22:$Z$23</c:f>
              <c:numCache>
                <c:formatCode>General</c:formatCode>
                <c:ptCount val="2"/>
                <c:pt idx="0">
                  <c:v>60.4899243223236</c:v>
                </c:pt>
                <c:pt idx="1">
                  <c:v>-61.24737529717106</c:v>
                </c:pt>
              </c:numCache>
            </c:numRef>
          </c:yVal>
          <c:smooth val="0"/>
        </c:ser>
        <c:ser>
          <c:idx val="7"/>
          <c:order val="7"/>
          <c:tx>
            <c:v>line5</c:v>
          </c:tx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'3D View'!$Y$24:$Y$25</c:f>
              <c:numCache>
                <c:formatCode>General</c:formatCode>
                <c:ptCount val="2"/>
                <c:pt idx="0">
                  <c:v>-40.83207775808394</c:v>
                </c:pt>
                <c:pt idx="1">
                  <c:v>-77.64544075832426</c:v>
                </c:pt>
              </c:numCache>
            </c:numRef>
          </c:xVal>
          <c:yVal>
            <c:numRef>
              <c:f>'3D View'!$Z$24:$Z$25</c:f>
              <c:numCache>
                <c:formatCode>General</c:formatCode>
                <c:ptCount val="2"/>
                <c:pt idx="0">
                  <c:v>73.02662294856439</c:v>
                </c:pt>
                <c:pt idx="1">
                  <c:v>-15.38253730407576</c:v>
                </c:pt>
              </c:numCache>
            </c:numRef>
          </c:yVal>
          <c:smooth val="0"/>
        </c:ser>
        <c:ser>
          <c:idx val="8"/>
          <c:order val="8"/>
          <c:tx>
            <c:v>line6</c:v>
          </c:tx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'3D View'!$Y$26:$Y$27</c:f>
              <c:numCache>
                <c:formatCode>General</c:formatCode>
                <c:ptCount val="2"/>
                <c:pt idx="0">
                  <c:v>-28.49983812981515</c:v>
                </c:pt>
                <c:pt idx="1">
                  <c:v>-66.09492032748567</c:v>
                </c:pt>
              </c:numCache>
            </c:numRef>
          </c:xVal>
          <c:yVal>
            <c:numRef>
              <c:f>'3D View'!$Z$26:$Z$27</c:f>
              <c:numCache>
                <c:formatCode>General</c:formatCode>
                <c:ptCount val="2"/>
                <c:pt idx="0">
                  <c:v>126.6034697844238</c:v>
                </c:pt>
                <c:pt idx="1">
                  <c:v>34.79816649760479</c:v>
                </c:pt>
              </c:numCache>
            </c:numRef>
          </c:yVal>
          <c:smooth val="0"/>
        </c:ser>
        <c:ser>
          <c:idx val="9"/>
          <c:order val="9"/>
          <c:tx>
            <c:v>servoarm1</c:v>
          </c:tx>
          <c:spPr>
            <a:ln w="28575">
              <a:solidFill>
                <a:srgbClr val="1F497D">
                  <a:lumMod val="60000"/>
                  <a:lumOff val="40000"/>
                </a:srgbClr>
              </a:solidFill>
            </a:ln>
          </c:spPr>
          <c:marker>
            <c:symbol val="none"/>
          </c:marker>
          <c:xVal>
            <c:numRef>
              <c:f>'3D View'!$Y$40:$Y$41</c:f>
              <c:numCache>
                <c:formatCode>General</c:formatCode>
                <c:ptCount val="2"/>
                <c:pt idx="0">
                  <c:v>21.43251776147622</c:v>
                </c:pt>
                <c:pt idx="1">
                  <c:v>40.58321246286536</c:v>
                </c:pt>
              </c:numCache>
            </c:numRef>
          </c:xVal>
          <c:yVal>
            <c:numRef>
              <c:f>'3D View'!$Z$40:$Z$41</c:f>
              <c:numCache>
                <c:formatCode>General</c:formatCode>
                <c:ptCount val="2"/>
                <c:pt idx="0">
                  <c:v>59.20233706283516</c:v>
                </c:pt>
                <c:pt idx="1">
                  <c:v>46.99847373425173</c:v>
                </c:pt>
              </c:numCache>
            </c:numRef>
          </c:yVal>
          <c:smooth val="0"/>
        </c:ser>
        <c:ser>
          <c:idx val="10"/>
          <c:order val="10"/>
          <c:tx>
            <c:v>servoarm2</c:v>
          </c:tx>
          <c:spPr>
            <a:ln w="28575">
              <a:solidFill>
                <a:srgbClr val="1F497D">
                  <a:lumMod val="60000"/>
                  <a:lumOff val="40000"/>
                </a:srgbClr>
              </a:solidFill>
            </a:ln>
          </c:spPr>
          <c:marker>
            <c:symbol val="none"/>
          </c:marker>
          <c:xVal>
            <c:numRef>
              <c:f>'3D View'!$Y$42:$Y$43</c:f>
              <c:numCache>
                <c:formatCode>General</c:formatCode>
                <c:ptCount val="2"/>
                <c:pt idx="0">
                  <c:v>72.38733980485883</c:v>
                </c:pt>
                <c:pt idx="1">
                  <c:v>53.2366451034697</c:v>
                </c:pt>
              </c:numCache>
            </c:numRef>
          </c:xVal>
          <c:yVal>
            <c:numRef>
              <c:f>'3D View'!$Z$42:$Z$43</c:f>
              <c:numCache>
                <c:formatCode>General</c:formatCode>
                <c:ptCount val="2"/>
                <c:pt idx="0">
                  <c:v>26.44920879956627</c:v>
                </c:pt>
                <c:pt idx="1">
                  <c:v>38.86500401286803</c:v>
                </c:pt>
              </c:numCache>
            </c:numRef>
          </c:yVal>
          <c:smooth val="0"/>
        </c:ser>
        <c:ser>
          <c:idx val="11"/>
          <c:order val="11"/>
          <c:tx>
            <c:v>servoarm3</c:v>
          </c:tx>
          <c:spPr>
            <a:ln w="28575">
              <a:solidFill>
                <a:srgbClr val="1F497D">
                  <a:lumMod val="60000"/>
                  <a:lumOff val="40000"/>
                </a:srgbClr>
              </a:solidFill>
            </a:ln>
          </c:spPr>
          <c:marker>
            <c:symbol val="none"/>
          </c:marker>
          <c:xVal>
            <c:numRef>
              <c:f>'3D View'!$Y$44:$Y$45</c:f>
              <c:numCache>
                <c:formatCode>General</c:formatCode>
                <c:ptCount val="2"/>
                <c:pt idx="0">
                  <c:v>56.21292299684805</c:v>
                </c:pt>
                <c:pt idx="1">
                  <c:v>32.72111823869492</c:v>
                </c:pt>
              </c:numCache>
            </c:numRef>
          </c:xVal>
          <c:yVal>
            <c:numRef>
              <c:f>'3D View'!$Z$44:$Z$45</c:f>
              <c:numCache>
                <c:formatCode>General</c:formatCode>
                <c:ptCount val="2"/>
                <c:pt idx="0">
                  <c:v>-43.81979975875941</c:v>
                </c:pt>
                <c:pt idx="1">
                  <c:v>-50.26375716295547</c:v>
                </c:pt>
              </c:numCache>
            </c:numRef>
          </c:yVal>
          <c:smooth val="0"/>
        </c:ser>
        <c:ser>
          <c:idx val="12"/>
          <c:order val="12"/>
          <c:tx>
            <c:v>servoarm4</c:v>
          </c:tx>
          <c:spPr>
            <a:ln w="28575"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'3D View'!$Y$46:$Y$47</c:f>
              <c:numCache>
                <c:formatCode>General</c:formatCode>
                <c:ptCount val="2"/>
                <c:pt idx="0">
                  <c:v>-6.292419477373173</c:v>
                </c:pt>
                <c:pt idx="1">
                  <c:v>17.19938528077996</c:v>
                </c:pt>
              </c:numCache>
            </c:numRef>
          </c:xVal>
          <c:yVal>
            <c:numRef>
              <c:f>'3D View'!$Z$46:$Z$47</c:f>
              <c:numCache>
                <c:formatCode>General</c:formatCode>
                <c:ptCount val="2"/>
                <c:pt idx="0">
                  <c:v>-61.24737529717106</c:v>
                </c:pt>
                <c:pt idx="1">
                  <c:v>-54.59148600825667</c:v>
                </c:pt>
              </c:numCache>
            </c:numRef>
          </c:yVal>
          <c:smooth val="0"/>
        </c:ser>
        <c:ser>
          <c:idx val="13"/>
          <c:order val="13"/>
          <c:tx>
            <c:v>servoarm5</c:v>
          </c:tx>
          <c:spPr>
            <a:ln w="28575">
              <a:solidFill>
                <a:srgbClr val="1F497D">
                  <a:lumMod val="60000"/>
                  <a:lumOff val="40000"/>
                </a:srgbClr>
              </a:solidFill>
            </a:ln>
          </c:spPr>
          <c:marker>
            <c:symbol val="none"/>
          </c:marker>
          <c:xVal>
            <c:numRef>
              <c:f>'3D View'!$Y$48:$Y$49</c:f>
              <c:numCache>
                <c:formatCode>General</c:formatCode>
                <c:ptCount val="2"/>
                <c:pt idx="0">
                  <c:v>-77.64544075832426</c:v>
                </c:pt>
                <c:pt idx="1">
                  <c:v>-73.30433070156026</c:v>
                </c:pt>
              </c:numCache>
            </c:numRef>
          </c:xVal>
          <c:yVal>
            <c:numRef>
              <c:f>'3D View'!$Z$48:$Z$49</c:f>
              <c:numCache>
                <c:formatCode>General</c:formatCode>
                <c:ptCount val="2"/>
                <c:pt idx="0">
                  <c:v>-15.38253730407576</c:v>
                </c:pt>
                <c:pt idx="1">
                  <c:v>3.583181255781231</c:v>
                </c:pt>
              </c:numCache>
            </c:numRef>
          </c:yVal>
          <c:smooth val="0"/>
        </c:ser>
        <c:ser>
          <c:idx val="14"/>
          <c:order val="14"/>
          <c:tx>
            <c:v>servoarm6</c:v>
          </c:tx>
          <c:spPr>
            <a:ln w="28575">
              <a:solidFill>
                <a:srgbClr val="1F497D">
                  <a:lumMod val="60000"/>
                  <a:lumOff val="40000"/>
                </a:srgbClr>
              </a:solidFill>
            </a:ln>
          </c:spPr>
          <c:marker>
            <c:symbol val="none"/>
          </c:marker>
          <c:xVal>
            <c:numRef>
              <c:f>'3D View'!$Y$50:$Y$51</c:f>
              <c:numCache>
                <c:formatCode>General</c:formatCode>
                <c:ptCount val="2"/>
                <c:pt idx="0">
                  <c:v>-66.09492032748567</c:v>
                </c:pt>
                <c:pt idx="1">
                  <c:v>-70.43603038424964</c:v>
                </c:pt>
              </c:numCache>
            </c:numRef>
          </c:xVal>
          <c:yVal>
            <c:numRef>
              <c:f>'3D View'!$Z$50:$Z$51</c:f>
              <c:numCache>
                <c:formatCode>General</c:formatCode>
                <c:ptCount val="2"/>
                <c:pt idx="0">
                  <c:v>34.79816649760479</c:v>
                </c:pt>
                <c:pt idx="1">
                  <c:v>16.04437982246612</c:v>
                </c:pt>
              </c:numCache>
            </c:numRef>
          </c:yVal>
          <c:smooth val="0"/>
        </c:ser>
        <c:ser>
          <c:idx val="15"/>
          <c:order val="15"/>
          <c:tx>
            <c:strRef>
              <c:f>'3D View'!$S$54</c:f>
              <c:strCache>
                <c:ptCount val="1"/>
                <c:pt idx="0">
                  <c:v>Conrod 1</c:v>
                </c:pt>
              </c:strCache>
            </c:strRef>
          </c:tx>
          <c:spPr>
            <a:ln w="28575">
              <a:solidFill>
                <a:srgbClr val="92D050"/>
              </a:solidFill>
            </a:ln>
          </c:spPr>
          <c:marker>
            <c:symbol val="none"/>
          </c:marker>
          <c:xVal>
            <c:numRef>
              <c:f>'3D View'!$Y$54:$Y$55</c:f>
              <c:numCache>
                <c:formatCode>General</c:formatCode>
                <c:ptCount val="2"/>
                <c:pt idx="0">
                  <c:v>-4.575080933170115</c:v>
                </c:pt>
                <c:pt idx="1">
                  <c:v>40.58321246286536</c:v>
                </c:pt>
              </c:numCache>
            </c:numRef>
          </c:xVal>
          <c:yVal>
            <c:numRef>
              <c:f>'3D View'!$Z$54:$Z$55</c:f>
              <c:numCache>
                <c:formatCode>General</c:formatCode>
                <c:ptCount val="2"/>
                <c:pt idx="0">
                  <c:v>133.2741077935611</c:v>
                </c:pt>
                <c:pt idx="1">
                  <c:v>46.99847373425173</c:v>
                </c:pt>
              </c:numCache>
            </c:numRef>
          </c:yVal>
          <c:smooth val="0"/>
        </c:ser>
        <c:ser>
          <c:idx val="16"/>
          <c:order val="16"/>
          <c:tx>
            <c:strRef>
              <c:f>'3D View'!$S$56</c:f>
              <c:strCache>
                <c:ptCount val="1"/>
                <c:pt idx="0">
                  <c:v>Conrod 2</c:v>
                </c:pt>
              </c:strCache>
            </c:strRef>
          </c:tx>
          <c:spPr>
            <a:ln w="28575">
              <a:solidFill>
                <a:srgbClr val="92D050"/>
              </a:solidFill>
            </a:ln>
          </c:spPr>
          <c:marker>
            <c:symbol val="none"/>
          </c:marker>
          <c:xVal>
            <c:numRef>
              <c:f>'3D View'!$Y$56:$Y$57</c:f>
              <c:numCache>
                <c:formatCode>General</c:formatCode>
                <c:ptCount val="2"/>
                <c:pt idx="0">
                  <c:v>49.82827512488806</c:v>
                </c:pt>
                <c:pt idx="1">
                  <c:v>53.2366451034697</c:v>
                </c:pt>
              </c:numCache>
            </c:numRef>
          </c:xVal>
          <c:yVal>
            <c:numRef>
              <c:f>'3D View'!$Z$56:$Z$57</c:f>
              <c:numCache>
                <c:formatCode>General</c:formatCode>
                <c:ptCount val="2"/>
                <c:pt idx="0">
                  <c:v>98.30430459407623</c:v>
                </c:pt>
                <c:pt idx="1">
                  <c:v>38.86500401286803</c:v>
                </c:pt>
              </c:numCache>
            </c:numRef>
          </c:yVal>
          <c:smooth val="0"/>
        </c:ser>
        <c:ser>
          <c:idx val="17"/>
          <c:order val="17"/>
          <c:tx>
            <c:strRef>
              <c:f>'3D View'!$S$58</c:f>
              <c:strCache>
                <c:ptCount val="1"/>
                <c:pt idx="0">
                  <c:v>Conrod 3</c:v>
                </c:pt>
              </c:strCache>
            </c:strRef>
          </c:tx>
          <c:spPr>
            <a:ln w="28575">
              <a:solidFill>
                <a:srgbClr val="92D050"/>
              </a:solidFill>
            </a:ln>
          </c:spPr>
          <c:marker>
            <c:symbol val="none"/>
          </c:marker>
          <c:xVal>
            <c:numRef>
              <c:f>'3D View'!$Y$58:$Y$59</c:f>
              <c:numCache>
                <c:formatCode>General</c:formatCode>
                <c:ptCount val="2"/>
                <c:pt idx="0">
                  <c:v>45.40715869125407</c:v>
                </c:pt>
                <c:pt idx="1">
                  <c:v>32.72111823869492</c:v>
                </c:pt>
              </c:numCache>
            </c:numRef>
          </c:xVal>
          <c:yVal>
            <c:numRef>
              <c:f>'3D View'!$Z$58:$Z$59</c:f>
              <c:numCache>
                <c:formatCode>General</c:formatCode>
                <c:ptCount val="2"/>
                <c:pt idx="0">
                  <c:v>79.09696795869803</c:v>
                </c:pt>
                <c:pt idx="1">
                  <c:v>-50.26375716295547</c:v>
                </c:pt>
              </c:numCache>
            </c:numRef>
          </c:yVal>
          <c:smooth val="0"/>
        </c:ser>
        <c:ser>
          <c:idx val="18"/>
          <c:order val="18"/>
          <c:tx>
            <c:strRef>
              <c:f>'3D View'!$S$60</c:f>
              <c:strCache>
                <c:ptCount val="1"/>
                <c:pt idx="0">
                  <c:v>Conrod 4</c:v>
                </c:pt>
              </c:strCache>
            </c:strRef>
          </c:tx>
          <c:spPr>
            <a:ln w="28575">
              <a:solidFill>
                <a:srgbClr val="92D050"/>
              </a:solidFill>
            </a:ln>
          </c:spPr>
          <c:marker>
            <c:symbol val="none"/>
          </c:marker>
          <c:xVal>
            <c:numRef>
              <c:f>'3D View'!$Y$60:$Y$61</c:f>
              <c:numCache>
                <c:formatCode>General</c:formatCode>
                <c:ptCount val="2"/>
                <c:pt idx="0">
                  <c:v>-21.32843699507292</c:v>
                </c:pt>
                <c:pt idx="1">
                  <c:v>17.19938528077996</c:v>
                </c:pt>
              </c:numCache>
            </c:numRef>
          </c:xVal>
          <c:yVal>
            <c:numRef>
              <c:f>'3D View'!$Z$60:$Z$61</c:f>
              <c:numCache>
                <c:formatCode>General</c:formatCode>
                <c:ptCount val="2"/>
                <c:pt idx="0">
                  <c:v>60.4899243223236</c:v>
                </c:pt>
                <c:pt idx="1">
                  <c:v>-54.59148600825667</c:v>
                </c:pt>
              </c:numCache>
            </c:numRef>
          </c:yVal>
          <c:smooth val="0"/>
        </c:ser>
        <c:ser>
          <c:idx val="19"/>
          <c:order val="19"/>
          <c:tx>
            <c:strRef>
              <c:f>'3D View'!$S$62</c:f>
              <c:strCache>
                <c:ptCount val="1"/>
                <c:pt idx="0">
                  <c:v>Conrod 5</c:v>
                </c:pt>
              </c:strCache>
            </c:strRef>
          </c:tx>
          <c:spPr>
            <a:ln w="28575">
              <a:solidFill>
                <a:srgbClr val="92D050"/>
              </a:solidFill>
            </a:ln>
          </c:spPr>
          <c:marker>
            <c:symbol val="none"/>
          </c:marker>
          <c:xVal>
            <c:numRef>
              <c:f>'3D View'!$Y$62:$Y$63</c:f>
              <c:numCache>
                <c:formatCode>General</c:formatCode>
                <c:ptCount val="2"/>
                <c:pt idx="0">
                  <c:v>-40.83207775808394</c:v>
                </c:pt>
                <c:pt idx="1">
                  <c:v>-73.30433070156026</c:v>
                </c:pt>
              </c:numCache>
            </c:numRef>
          </c:xVal>
          <c:yVal>
            <c:numRef>
              <c:f>'3D View'!$Z$62:$Z$63</c:f>
              <c:numCache>
                <c:formatCode>General</c:formatCode>
                <c:ptCount val="2"/>
                <c:pt idx="0">
                  <c:v>73.02662294856439</c:v>
                </c:pt>
                <c:pt idx="1">
                  <c:v>3.583181255781231</c:v>
                </c:pt>
              </c:numCache>
            </c:numRef>
          </c:yVal>
          <c:smooth val="0"/>
        </c:ser>
        <c:ser>
          <c:idx val="20"/>
          <c:order val="20"/>
          <c:tx>
            <c:strRef>
              <c:f>'3D View'!$S$64</c:f>
              <c:strCache>
                <c:ptCount val="1"/>
                <c:pt idx="0">
                  <c:v>Conrod 6</c:v>
                </c:pt>
              </c:strCache>
            </c:strRef>
          </c:tx>
          <c:spPr>
            <a:ln w="28575">
              <a:solidFill>
                <a:srgbClr val="92D050"/>
              </a:solidFill>
            </a:ln>
          </c:spPr>
          <c:marker>
            <c:symbol val="none"/>
          </c:marker>
          <c:xVal>
            <c:numRef>
              <c:f>'3D View'!$Y$64:$Y$65</c:f>
              <c:numCache>
                <c:formatCode>General</c:formatCode>
                <c:ptCount val="2"/>
                <c:pt idx="0">
                  <c:v>-28.49983812981515</c:v>
                </c:pt>
                <c:pt idx="1">
                  <c:v>-70.43603038424964</c:v>
                </c:pt>
              </c:numCache>
            </c:numRef>
          </c:xVal>
          <c:yVal>
            <c:numRef>
              <c:f>'3D View'!$Z$64:$Z$65</c:f>
              <c:numCache>
                <c:formatCode>General</c:formatCode>
                <c:ptCount val="2"/>
                <c:pt idx="0">
                  <c:v>126.6034697844238</c:v>
                </c:pt>
                <c:pt idx="1">
                  <c:v>16.04437982246612</c:v>
                </c:pt>
              </c:numCache>
            </c:numRef>
          </c:yVal>
          <c:smooth val="0"/>
        </c:ser>
        <c:ser>
          <c:idx val="21"/>
          <c:order val="21"/>
          <c:tx>
            <c:strRef>
              <c:f>'3D View'!$S$69</c:f>
              <c:strCache>
                <c:ptCount val="1"/>
                <c:pt idx="0">
                  <c:v>Platform ring</c:v>
                </c:pt>
              </c:strCache>
            </c:strRef>
          </c:tx>
          <c:spPr>
            <a:ln w="19050">
              <a:solidFill>
                <a:schemeClr val="tx1"/>
              </a:solidFill>
            </a:ln>
          </c:spPr>
          <c:xVal>
            <c:numRef>
              <c:f>'3D View'!$Y$69:$Y$75</c:f>
              <c:numCache>
                <c:formatCode>General</c:formatCode>
                <c:ptCount val="7"/>
                <c:pt idx="0">
                  <c:v>-4.575080933170115</c:v>
                </c:pt>
                <c:pt idx="1">
                  <c:v>49.82827512488806</c:v>
                </c:pt>
                <c:pt idx="2">
                  <c:v>45.40715869125407</c:v>
                </c:pt>
                <c:pt idx="3">
                  <c:v>-21.32843699507292</c:v>
                </c:pt>
                <c:pt idx="4">
                  <c:v>-40.83207775808394</c:v>
                </c:pt>
                <c:pt idx="5">
                  <c:v>-28.49983812981515</c:v>
                </c:pt>
                <c:pt idx="6">
                  <c:v>-4.575080933170115</c:v>
                </c:pt>
              </c:numCache>
            </c:numRef>
          </c:xVal>
          <c:yVal>
            <c:numRef>
              <c:f>'3D View'!$Z$69:$Z$75</c:f>
              <c:numCache>
                <c:formatCode>General</c:formatCode>
                <c:ptCount val="7"/>
                <c:pt idx="0">
                  <c:v>133.2741077935611</c:v>
                </c:pt>
                <c:pt idx="1">
                  <c:v>98.30430459407623</c:v>
                </c:pt>
                <c:pt idx="2">
                  <c:v>79.09696795869803</c:v>
                </c:pt>
                <c:pt idx="3">
                  <c:v>60.4899243223236</c:v>
                </c:pt>
                <c:pt idx="4">
                  <c:v>73.02662294856439</c:v>
                </c:pt>
                <c:pt idx="5">
                  <c:v>126.6034697844238</c:v>
                </c:pt>
                <c:pt idx="6">
                  <c:v>133.2741077935611</c:v>
                </c:pt>
              </c:numCache>
            </c:numRef>
          </c:yVal>
          <c:smooth val="0"/>
        </c:ser>
        <c:ser>
          <c:idx val="22"/>
          <c:order val="22"/>
          <c:tx>
            <c:strRef>
              <c:f>'3D View'!$S$77</c:f>
              <c:strCache>
                <c:ptCount val="1"/>
                <c:pt idx="0">
                  <c:v>Base Ring</c:v>
                </c:pt>
              </c:strCache>
            </c:strRef>
          </c:tx>
          <c:spPr>
            <a:ln w="19050">
              <a:solidFill>
                <a:prstClr val="black"/>
              </a:solidFill>
            </a:ln>
          </c:spPr>
          <c:xVal>
            <c:numRef>
              <c:f>'3D View'!$Y$77:$Y$83</c:f>
              <c:numCache>
                <c:formatCode>General</c:formatCode>
                <c:ptCount val="7"/>
                <c:pt idx="0">
                  <c:v>21.43251776147622</c:v>
                </c:pt>
                <c:pt idx="1">
                  <c:v>72.38733980485883</c:v>
                </c:pt>
                <c:pt idx="2">
                  <c:v>56.21292299684805</c:v>
                </c:pt>
                <c:pt idx="3">
                  <c:v>-6.292419477373173</c:v>
                </c:pt>
                <c:pt idx="4">
                  <c:v>-77.64544075832426</c:v>
                </c:pt>
                <c:pt idx="5">
                  <c:v>-66.09492032748567</c:v>
                </c:pt>
                <c:pt idx="6">
                  <c:v>21.43251776147622</c:v>
                </c:pt>
              </c:numCache>
            </c:numRef>
          </c:xVal>
          <c:yVal>
            <c:numRef>
              <c:f>'3D View'!$Z$77:$Z$83</c:f>
              <c:numCache>
                <c:formatCode>General</c:formatCode>
                <c:ptCount val="7"/>
                <c:pt idx="0">
                  <c:v>59.20233706283516</c:v>
                </c:pt>
                <c:pt idx="1">
                  <c:v>26.44920879956627</c:v>
                </c:pt>
                <c:pt idx="2">
                  <c:v>-43.81979975875941</c:v>
                </c:pt>
                <c:pt idx="3">
                  <c:v>-61.24737529717106</c:v>
                </c:pt>
                <c:pt idx="4">
                  <c:v>-15.38253730407576</c:v>
                </c:pt>
                <c:pt idx="5">
                  <c:v>34.79816649760479</c:v>
                </c:pt>
                <c:pt idx="6">
                  <c:v>59.20233706283516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0072888"/>
        <c:axId val="-2120075944"/>
      </c:scatterChart>
      <c:valAx>
        <c:axId val="-2120072888"/>
        <c:scaling>
          <c:orientation val="minMax"/>
          <c:max val="170.0"/>
          <c:min val="-170.0"/>
        </c:scaling>
        <c:delete val="0"/>
        <c:axPos val="b"/>
        <c:numFmt formatCode="General" sourceLinked="1"/>
        <c:majorTickMark val="out"/>
        <c:minorTickMark val="none"/>
        <c:tickLblPos val="none"/>
        <c:spPr>
          <a:noFill/>
          <a:ln>
            <a:noFill/>
          </a:ln>
        </c:spPr>
        <c:txPr>
          <a:bodyPr/>
          <a:lstStyle/>
          <a:p>
            <a:pPr>
              <a:defRPr lang="ja-JP"/>
            </a:pPr>
            <a:endParaRPr lang="en-US"/>
          </a:p>
        </c:txPr>
        <c:crossAx val="-2120075944"/>
        <c:crosses val="autoZero"/>
        <c:crossBetween val="midCat"/>
      </c:valAx>
      <c:valAx>
        <c:axId val="-2120075944"/>
        <c:scaling>
          <c:orientation val="minMax"/>
          <c:max val="170.0"/>
          <c:min val="-170.0"/>
        </c:scaling>
        <c:delete val="0"/>
        <c:axPos val="l"/>
        <c:numFmt formatCode="General" sourceLinked="1"/>
        <c:majorTickMark val="out"/>
        <c:minorTickMark val="none"/>
        <c:tickLblPos val="none"/>
        <c:spPr>
          <a:ln>
            <a:noFill/>
          </a:ln>
        </c:spPr>
        <c:txPr>
          <a:bodyPr/>
          <a:lstStyle/>
          <a:p>
            <a:pPr>
              <a:defRPr lang="ja-JP"/>
            </a:pPr>
            <a:endParaRPr lang="en-US"/>
          </a:p>
        </c:txPr>
        <c:crossAx val="-212007288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.0" l="0.750000000000003" r="0.750000000000003" t="1.0" header="0.5" footer="0.5"/>
    <c:pageSetup paperSize="9" orientation="landscape"/>
  </c:printSettings>
</c:chartSpace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Relationship Id="rId3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296210</xdr:colOff>
      <xdr:row>4</xdr:row>
      <xdr:rowOff>72092</xdr:rowOff>
    </xdr:from>
    <xdr:to>
      <xdr:col>5</xdr:col>
      <xdr:colOff>3515659</xdr:colOff>
      <xdr:row>32</xdr:row>
      <xdr:rowOff>24466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441324</xdr:colOff>
      <xdr:row>21</xdr:row>
      <xdr:rowOff>98425</xdr:rowOff>
    </xdr:from>
    <xdr:to>
      <xdr:col>16</xdr:col>
      <xdr:colOff>400050</xdr:colOff>
      <xdr:row>32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139700</xdr:colOff>
          <xdr:row>17</xdr:row>
          <xdr:rowOff>127000</xdr:rowOff>
        </xdr:from>
        <xdr:to>
          <xdr:col>13</xdr:col>
          <xdr:colOff>723900</xdr:colOff>
          <xdr:row>19</xdr:row>
          <xdr:rowOff>177800</xdr:rowOff>
        </xdr:to>
        <xdr:sp macro="" textlink="">
          <xdr:nvSpPr>
            <xdr:cNvPr id="3083" name="Button 11" hidden="1">
              <a:extLst>
                <a:ext uri="{63B3BB69-23CF-44E3-9099-C40C66FF867C}">
                  <a14:compatExt spid="_x0000_s30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MetaPlusLF"/>
                  <a:ea typeface="MetaPlusLF"/>
                  <a:cs typeface="MetaPlusLF"/>
                </a:rPr>
                <a:t>SetZ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139700</xdr:colOff>
          <xdr:row>17</xdr:row>
          <xdr:rowOff>139700</xdr:rowOff>
        </xdr:from>
        <xdr:to>
          <xdr:col>14</xdr:col>
          <xdr:colOff>723900</xdr:colOff>
          <xdr:row>19</xdr:row>
          <xdr:rowOff>190500</xdr:rowOff>
        </xdr:to>
        <xdr:sp macro="" textlink="">
          <xdr:nvSpPr>
            <xdr:cNvPr id="3084" name="Button 12" hidden="1">
              <a:extLst>
                <a:ext uri="{63B3BB69-23CF-44E3-9099-C40C66FF867C}">
                  <a14:compatExt spid="_x0000_s30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MetaPlusLF"/>
                  <a:ea typeface="MetaPlusLF"/>
                  <a:cs typeface="MetaPlusLF"/>
                </a:rPr>
                <a:t>SetX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177800</xdr:colOff>
          <xdr:row>17</xdr:row>
          <xdr:rowOff>139700</xdr:rowOff>
        </xdr:from>
        <xdr:to>
          <xdr:col>15</xdr:col>
          <xdr:colOff>762000</xdr:colOff>
          <xdr:row>19</xdr:row>
          <xdr:rowOff>190500</xdr:rowOff>
        </xdr:to>
        <xdr:sp macro="" textlink="">
          <xdr:nvSpPr>
            <xdr:cNvPr id="3085" name="Button 13" hidden="1">
              <a:extLst>
                <a:ext uri="{63B3BB69-23CF-44E3-9099-C40C66FF867C}">
                  <a14:compatExt spid="_x0000_s30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MetaPlusLF"/>
                  <a:ea typeface="MetaPlusLF"/>
                  <a:cs typeface="MetaPlusLF"/>
                </a:rPr>
                <a:t>SetY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139700</xdr:colOff>
          <xdr:row>17</xdr:row>
          <xdr:rowOff>152400</xdr:rowOff>
        </xdr:from>
        <xdr:to>
          <xdr:col>16</xdr:col>
          <xdr:colOff>723900</xdr:colOff>
          <xdr:row>19</xdr:row>
          <xdr:rowOff>190500</xdr:rowOff>
        </xdr:to>
        <xdr:sp macro="" textlink="">
          <xdr:nvSpPr>
            <xdr:cNvPr id="3086" name="Button 14" hidden="1">
              <a:extLst>
                <a:ext uri="{63B3BB69-23CF-44E3-9099-C40C66FF867C}">
                  <a14:compatExt spid="_x0000_s30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MetaPlusLF"/>
                  <a:ea typeface="MetaPlusLF"/>
                  <a:cs typeface="MetaPlusLF"/>
                </a:rPr>
                <a:t>SetISO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990600</xdr:colOff>
          <xdr:row>31</xdr:row>
          <xdr:rowOff>152400</xdr:rowOff>
        </xdr:from>
        <xdr:to>
          <xdr:col>8</xdr:col>
          <xdr:colOff>152400</xdr:colOff>
          <xdr:row>34</xdr:row>
          <xdr:rowOff>50800</xdr:rowOff>
        </xdr:to>
        <xdr:sp macro="" textlink="">
          <xdr:nvSpPr>
            <xdr:cNvPr id="3087" name="Button 15" hidden="1">
              <a:extLst>
                <a:ext uri="{63B3BB69-23CF-44E3-9099-C40C66FF867C}">
                  <a14:compatExt spid="_x0000_s30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MetaPlusLF"/>
                  <a:ea typeface="MetaPlusLF"/>
                  <a:cs typeface="MetaPlusLF"/>
                </a:rPr>
                <a:t>Home Platform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12643</xdr:colOff>
      <xdr:row>33</xdr:row>
      <xdr:rowOff>138365</xdr:rowOff>
    </xdr:from>
    <xdr:to>
      <xdr:col>17</xdr:col>
      <xdr:colOff>972765</xdr:colOff>
      <xdr:row>58</xdr:row>
      <xdr:rowOff>146184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637121</xdr:colOff>
      <xdr:row>31</xdr:row>
      <xdr:rowOff>94575</xdr:rowOff>
    </xdr:from>
    <xdr:to>
      <xdr:col>14</xdr:col>
      <xdr:colOff>1459150</xdr:colOff>
      <xdr:row>47</xdr:row>
      <xdr:rowOff>134677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16</xdr:col>
      <xdr:colOff>13509</xdr:colOff>
      <xdr:row>12</xdr:row>
      <xdr:rowOff>27024</xdr:rowOff>
    </xdr:from>
    <xdr:to>
      <xdr:col>17</xdr:col>
      <xdr:colOff>972765</xdr:colOff>
      <xdr:row>31</xdr:row>
      <xdr:rowOff>1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4" Type="http://schemas.openxmlformats.org/officeDocument/2006/relationships/ctrlProp" Target="../ctrlProps/ctrlProp1.xml"/><Relationship Id="rId5" Type="http://schemas.openxmlformats.org/officeDocument/2006/relationships/ctrlProp" Target="../ctrlProps/ctrlProp2.xml"/><Relationship Id="rId6" Type="http://schemas.openxmlformats.org/officeDocument/2006/relationships/ctrlProp" Target="../ctrlProps/ctrlProp3.xml"/><Relationship Id="rId7" Type="http://schemas.openxmlformats.org/officeDocument/2006/relationships/ctrlProp" Target="../ctrlProps/ctrlProp4.xml"/><Relationship Id="rId8" Type="http://schemas.openxmlformats.org/officeDocument/2006/relationships/ctrlProp" Target="../ctrlProps/ctrlProp5.xml"/><Relationship Id="rId1" Type="http://schemas.openxmlformats.org/officeDocument/2006/relationships/hyperlink" Target="mailto:dmwaters1982@gmail.com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 enableFormatConditionsCalculation="0"/>
  <dimension ref="A1:AF119"/>
  <sheetViews>
    <sheetView zoomScale="85" zoomScaleNormal="85" zoomScalePageLayoutView="85" workbookViewId="0">
      <selection activeCell="AB20" sqref="AB20"/>
    </sheetView>
  </sheetViews>
  <sheetFormatPr baseColWidth="10" defaultColWidth="9" defaultRowHeight="12" x14ac:dyDescent="0"/>
  <cols>
    <col min="1" max="3" width="9" style="1"/>
    <col min="4" max="4" width="9" style="22"/>
    <col min="5" max="5" width="6.140625" style="1" customWidth="1"/>
    <col min="6" max="6" width="59.5703125" style="1" customWidth="1"/>
    <col min="7" max="7" width="14.5703125" style="1" customWidth="1"/>
    <col min="8" max="18" width="9" style="1"/>
    <col min="19" max="19" width="16.42578125" style="1" bestFit="1" customWidth="1"/>
    <col min="20" max="16384" width="9" style="1"/>
  </cols>
  <sheetData>
    <row r="1" spans="1:32" ht="15">
      <c r="A1" s="1" t="s">
        <v>85</v>
      </c>
      <c r="M1" s="37" t="s">
        <v>86</v>
      </c>
      <c r="S1" s="109" t="s">
        <v>16</v>
      </c>
      <c r="T1" s="109" t="s">
        <v>17</v>
      </c>
      <c r="U1" s="109" t="s">
        <v>18</v>
      </c>
      <c r="V1" s="109" t="s">
        <v>19</v>
      </c>
      <c r="W1" s="109"/>
      <c r="X1" s="109" t="s">
        <v>20</v>
      </c>
      <c r="Y1" s="109" t="s">
        <v>17</v>
      </c>
      <c r="Z1" s="109" t="s">
        <v>18</v>
      </c>
      <c r="AA1" s="2"/>
      <c r="AC1" s="1" t="s">
        <v>21</v>
      </c>
    </row>
    <row r="2" spans="1:32" ht="16" thickBot="1">
      <c r="G2" s="32" t="s">
        <v>78</v>
      </c>
      <c r="S2" s="110" t="s">
        <v>38</v>
      </c>
      <c r="T2" s="111">
        <f>DATA!I4</f>
        <v>12.730097410276381</v>
      </c>
      <c r="U2" s="112">
        <f>DATA!J4</f>
        <v>48.352296945697155</v>
      </c>
      <c r="V2" s="113">
        <f>DATA!K4</f>
        <v>148</v>
      </c>
      <c r="W2" s="109"/>
      <c r="X2" s="109"/>
      <c r="Y2" s="111">
        <f t="shared" ref="Y2:Y7" si="0">(T2*_RMX1)+(U2*_RMY1)+(V2*_RMZ1)</f>
        <v>-4.5750809331701152</v>
      </c>
      <c r="Z2" s="113">
        <f t="shared" ref="Z2:Z7" si="1">(T2*_RMX2)+(U2*_RMY2)+(V2*_RMZ2)</f>
        <v>133.27410779356114</v>
      </c>
      <c r="AA2" s="2"/>
      <c r="AB2" s="2"/>
      <c r="AC2" s="6">
        <f>SIN(RADIANS(XROTATE))</f>
        <v>-0.64278760968653958</v>
      </c>
      <c r="AD2" s="7">
        <f>SIN(RADIANS(YROTATE))</f>
        <v>0</v>
      </c>
      <c r="AE2" s="8">
        <f>SIN(RADIANS(ZROTATE))</f>
        <v>0.34202014332566871</v>
      </c>
      <c r="AF2" s="1" t="s">
        <v>22</v>
      </c>
    </row>
    <row r="3" spans="1:32" ht="15">
      <c r="G3" s="3" t="s">
        <v>25</v>
      </c>
      <c r="H3" s="4"/>
      <c r="I3" s="4"/>
      <c r="J3" s="4"/>
      <c r="K3" s="5"/>
      <c r="M3" s="27" t="s">
        <v>77</v>
      </c>
      <c r="N3" s="28"/>
      <c r="S3" s="114" t="s">
        <v>39</v>
      </c>
      <c r="T3" s="115">
        <f>DATA!I5</f>
        <v>48.239366191440645</v>
      </c>
      <c r="U3" s="116">
        <f>DATA!J5</f>
        <v>-13.151560722898745</v>
      </c>
      <c r="V3" s="117">
        <f>DATA!K5</f>
        <v>148</v>
      </c>
      <c r="W3" s="109"/>
      <c r="X3" s="109"/>
      <c r="Y3" s="115">
        <f t="shared" si="0"/>
        <v>49.828275124888066</v>
      </c>
      <c r="Z3" s="117">
        <f t="shared" si="1"/>
        <v>98.304304594076228</v>
      </c>
      <c r="AA3" s="2"/>
      <c r="AC3" s="12">
        <f>COS(RADIANS(XROTATE))</f>
        <v>0.76604444311897779</v>
      </c>
      <c r="AD3" s="13">
        <f>COS(RADIANS(YROTATE))</f>
        <v>1</v>
      </c>
      <c r="AE3" s="14">
        <f>COS(RADIANS(ZROTATE))</f>
        <v>0.93969262078590843</v>
      </c>
      <c r="AF3" s="1" t="s">
        <v>23</v>
      </c>
    </row>
    <row r="4" spans="1:32" ht="15">
      <c r="G4" s="9"/>
      <c r="H4" s="10"/>
      <c r="I4" s="10"/>
      <c r="J4" s="10"/>
      <c r="K4" s="11"/>
      <c r="M4" s="29">
        <v>1</v>
      </c>
      <c r="N4" s="26" t="b">
        <f>ISERR(DATA!O23)</f>
        <v>0</v>
      </c>
      <c r="S4" s="114" t="s">
        <v>40</v>
      </c>
      <c r="T4" s="115">
        <f>DATA!I6</f>
        <v>35.509268781164273</v>
      </c>
      <c r="U4" s="116">
        <f>DATA!J6</f>
        <v>-35.200736222798412</v>
      </c>
      <c r="V4" s="117">
        <f>DATA!K6</f>
        <v>148</v>
      </c>
      <c r="W4" s="109"/>
      <c r="X4" s="109"/>
      <c r="Y4" s="115">
        <f t="shared" si="0"/>
        <v>45.407158691254068</v>
      </c>
      <c r="Z4" s="117">
        <f t="shared" si="1"/>
        <v>79.096967958698031</v>
      </c>
      <c r="AA4" s="2"/>
    </row>
    <row r="5" spans="1:32" ht="15">
      <c r="G5" s="9" t="s">
        <v>26</v>
      </c>
      <c r="H5" s="21">
        <v>320</v>
      </c>
      <c r="I5" s="10"/>
      <c r="J5" s="10"/>
      <c r="K5" s="11"/>
      <c r="M5" s="29">
        <v>2</v>
      </c>
      <c r="N5" s="26" t="b">
        <f>ISERR(DATA!O24)</f>
        <v>0</v>
      </c>
      <c r="S5" s="114" t="s">
        <v>41</v>
      </c>
      <c r="T5" s="115">
        <f>DATA!I7</f>
        <v>-35.509268781164273</v>
      </c>
      <c r="U5" s="116">
        <f>DATA!J7</f>
        <v>-35.200736222798412</v>
      </c>
      <c r="V5" s="117">
        <f>DATA!K7</f>
        <v>148</v>
      </c>
      <c r="W5" s="109"/>
      <c r="X5" s="109"/>
      <c r="Y5" s="115">
        <f t="shared" si="0"/>
        <v>-21.328436995072924</v>
      </c>
      <c r="Z5" s="117">
        <f t="shared" si="1"/>
        <v>60.489924322323596</v>
      </c>
      <c r="AA5" s="2"/>
      <c r="AC5" s="1" t="s">
        <v>24</v>
      </c>
    </row>
    <row r="6" spans="1:32" ht="15">
      <c r="G6" s="9" t="s">
        <v>27</v>
      </c>
      <c r="H6" s="21">
        <v>0</v>
      </c>
      <c r="I6" s="10"/>
      <c r="J6" s="10"/>
      <c r="K6" s="11"/>
      <c r="M6" s="29">
        <v>3</v>
      </c>
      <c r="N6" s="26" t="b">
        <f>ISERR(DATA!O25)</f>
        <v>0</v>
      </c>
      <c r="S6" s="114" t="s">
        <v>42</v>
      </c>
      <c r="T6" s="115">
        <f>DATA!I8</f>
        <v>-48.239366191440645</v>
      </c>
      <c r="U6" s="116">
        <f>DATA!J8</f>
        <v>-13.151560722898745</v>
      </c>
      <c r="V6" s="117">
        <f>DATA!K8</f>
        <v>148</v>
      </c>
      <c r="W6" s="109"/>
      <c r="X6" s="109"/>
      <c r="Y6" s="115">
        <f t="shared" si="0"/>
        <v>-40.83207775808394</v>
      </c>
      <c r="Z6" s="117">
        <f t="shared" si="1"/>
        <v>73.026622948564395</v>
      </c>
      <c r="AA6" s="2"/>
      <c r="AC6" s="6">
        <f>YCOS*ZCOS</f>
        <v>0.93969262078590843</v>
      </c>
      <c r="AD6" s="7">
        <f>-ZSIN * YCOS</f>
        <v>-0.34202014332566871</v>
      </c>
      <c r="AE6" s="8">
        <f>YSIN</f>
        <v>0</v>
      </c>
    </row>
    <row r="7" spans="1:32" ht="15">
      <c r="G7" s="9" t="s">
        <v>28</v>
      </c>
      <c r="H7" s="21">
        <v>20</v>
      </c>
      <c r="I7" s="10"/>
      <c r="J7" s="10"/>
      <c r="K7" s="11"/>
      <c r="M7" s="29">
        <v>4</v>
      </c>
      <c r="N7" s="26" t="b">
        <f>ISERR(DATA!O26)</f>
        <v>0</v>
      </c>
      <c r="S7" s="114" t="s">
        <v>43</v>
      </c>
      <c r="T7" s="115">
        <f>DATA!I9</f>
        <v>-12.730097410276381</v>
      </c>
      <c r="U7" s="116">
        <f>DATA!J9</f>
        <v>48.352296945697155</v>
      </c>
      <c r="V7" s="117">
        <f>DATA!K9</f>
        <v>148</v>
      </c>
      <c r="W7" s="109"/>
      <c r="X7" s="109"/>
      <c r="Y7" s="115">
        <f t="shared" si="0"/>
        <v>-28.499838129815153</v>
      </c>
      <c r="Z7" s="117">
        <f t="shared" si="1"/>
        <v>126.60346978442377</v>
      </c>
      <c r="AA7" s="2"/>
      <c r="AC7" s="15">
        <f>ZCOS * -YSIN * -XSIN + ZSIN * XCOS</f>
        <v>0.26200263022938486</v>
      </c>
      <c r="AD7" s="16">
        <f>-ZSIN * -YSIN * -XSIN + ZCOS*XCOS</f>
        <v>0.71984631039295399</v>
      </c>
      <c r="AE7" s="17">
        <f>YCOS * -XSIN</f>
        <v>0.64278760968653958</v>
      </c>
    </row>
    <row r="8" spans="1:32" ht="15">
      <c r="G8" s="9" t="s">
        <v>31</v>
      </c>
      <c r="H8" s="21">
        <v>200</v>
      </c>
      <c r="I8" s="10"/>
      <c r="J8" s="10"/>
      <c r="K8" s="11"/>
      <c r="M8" s="29">
        <v>5</v>
      </c>
      <c r="N8" s="26" t="b">
        <f>ISERR(DATA!O27)</f>
        <v>0</v>
      </c>
      <c r="S8" s="114" t="s">
        <v>32</v>
      </c>
      <c r="T8" s="115">
        <f>DATA!AA5</f>
        <v>46.57237704801738</v>
      </c>
      <c r="U8" s="116">
        <f>DATA!AB5</f>
        <v>65.292064572176798</v>
      </c>
      <c r="V8" s="117">
        <f>DATA!AC5</f>
        <v>0</v>
      </c>
      <c r="W8" s="109"/>
      <c r="X8" s="109"/>
      <c r="Y8" s="115">
        <f t="shared" ref="Y8:Y13" si="2">(T8*_RMX1)+(U8*_RMY1)+(V8*_RMZ1)</f>
        <v>21.43251776147622</v>
      </c>
      <c r="Z8" s="117">
        <f t="shared" ref="Z8:Z13" si="3">(T8*_RMX2)+(U8*_RMY2)+(V8*_RMZ2)</f>
        <v>59.202337062835163</v>
      </c>
      <c r="AA8" s="2"/>
      <c r="AC8" s="12">
        <f>ZCOS * -YSIN * XCOS + ZSIN * XSIN</f>
        <v>-0.21984631039295427</v>
      </c>
      <c r="AD8" s="13">
        <f>-ZSIN * -YSIN * XCOS + ZCOS * XSIN</f>
        <v>-0.60402277355505396</v>
      </c>
      <c r="AE8" s="14">
        <f>YCOS * XCOS</f>
        <v>0.76604444311897779</v>
      </c>
    </row>
    <row r="9" spans="1:32" ht="15">
      <c r="G9" s="9"/>
      <c r="H9" s="10"/>
      <c r="I9" s="10"/>
      <c r="J9" s="10"/>
      <c r="K9" s="11"/>
      <c r="M9" s="29">
        <v>6</v>
      </c>
      <c r="N9" s="26" t="b">
        <f>ISERR(DATA!O28)</f>
        <v>0</v>
      </c>
      <c r="S9" s="114" t="s">
        <v>33</v>
      </c>
      <c r="T9" s="115">
        <f>DATA!AA6</f>
        <v>79.83077510904775</v>
      </c>
      <c r="U9" s="116">
        <f>DATA!AB6</f>
        <v>7.6868293521219613</v>
      </c>
      <c r="V9" s="117">
        <f>DATA!AC6</f>
        <v>0</v>
      </c>
      <c r="W9" s="109"/>
      <c r="X9" s="109"/>
      <c r="Y9" s="115">
        <f t="shared" si="2"/>
        <v>72.387339804858826</v>
      </c>
      <c r="Z9" s="117">
        <f t="shared" si="3"/>
        <v>26.449208799566275</v>
      </c>
      <c r="AA9" s="2"/>
    </row>
    <row r="10" spans="1:32" ht="16" thickBot="1">
      <c r="G10" s="18"/>
      <c r="H10" s="19"/>
      <c r="I10" s="19"/>
      <c r="J10" s="19"/>
      <c r="K10" s="20"/>
      <c r="M10" s="30"/>
      <c r="N10" s="31"/>
      <c r="S10" s="114" t="s">
        <v>34</v>
      </c>
      <c r="T10" s="115">
        <f>DATA!AA7</f>
        <v>33.258398061030377</v>
      </c>
      <c r="U10" s="116">
        <f>DATA!AB7</f>
        <v>-72.978893924298774</v>
      </c>
      <c r="V10" s="117">
        <f>DATA!AC7</f>
        <v>0</v>
      </c>
      <c r="W10" s="109"/>
      <c r="X10" s="109"/>
      <c r="Y10" s="115">
        <f t="shared" si="2"/>
        <v>56.21292299684805</v>
      </c>
      <c r="Z10" s="117">
        <f t="shared" si="3"/>
        <v>-43.819799758759409</v>
      </c>
      <c r="AA10" s="2"/>
    </row>
    <row r="11" spans="1:32" ht="16" thickBot="1">
      <c r="S11" s="114" t="s">
        <v>35</v>
      </c>
      <c r="T11" s="115">
        <f>DATA!AA8</f>
        <v>-33.258398061030377</v>
      </c>
      <c r="U11" s="116">
        <f>DATA!AB8</f>
        <v>-72.978893924298774</v>
      </c>
      <c r="V11" s="117">
        <f>DATA!AC8</f>
        <v>0</v>
      </c>
      <c r="W11" s="109"/>
      <c r="X11" s="109"/>
      <c r="Y11" s="115">
        <f t="shared" si="2"/>
        <v>-6.2924194773731728</v>
      </c>
      <c r="Z11" s="117">
        <f t="shared" si="3"/>
        <v>-61.247375297171068</v>
      </c>
      <c r="AA11" s="2"/>
    </row>
    <row r="12" spans="1:32" ht="15">
      <c r="G12" s="23" t="s">
        <v>10</v>
      </c>
      <c r="H12" s="24" t="s">
        <v>11</v>
      </c>
      <c r="I12" s="24" t="s">
        <v>12</v>
      </c>
      <c r="J12" s="24" t="s">
        <v>46</v>
      </c>
      <c r="K12" s="24" t="s">
        <v>47</v>
      </c>
      <c r="L12" s="25" t="s">
        <v>48</v>
      </c>
      <c r="M12" s="27"/>
      <c r="N12" s="36"/>
      <c r="O12" s="36"/>
      <c r="P12" s="36"/>
      <c r="Q12" s="28"/>
      <c r="S12" s="114" t="s">
        <v>36</v>
      </c>
      <c r="T12" s="115">
        <f>DATA!AA9</f>
        <v>-79.83077510904775</v>
      </c>
      <c r="U12" s="116">
        <f>DATA!AB9</f>
        <v>7.6868293521219613</v>
      </c>
      <c r="V12" s="117">
        <f>DATA!AC9</f>
        <v>0</v>
      </c>
      <c r="W12" s="109"/>
      <c r="X12" s="109"/>
      <c r="Y12" s="115">
        <f t="shared" si="2"/>
        <v>-77.645440758324256</v>
      </c>
      <c r="Z12" s="117">
        <f t="shared" si="3"/>
        <v>-15.382537304075765</v>
      </c>
    </row>
    <row r="13" spans="1:32" ht="15">
      <c r="G13" s="29">
        <f>DATA!S10</f>
        <v>0</v>
      </c>
      <c r="H13" s="10">
        <f>DATA!T10</f>
        <v>0</v>
      </c>
      <c r="I13" s="10">
        <f>DATA!U10</f>
        <v>0</v>
      </c>
      <c r="J13" s="10">
        <f>DATA!V14-30</f>
        <v>-30</v>
      </c>
      <c r="K13" s="10">
        <f>DATA!W14-30</f>
        <v>-30</v>
      </c>
      <c r="L13" s="33">
        <f>DATA!X14-30</f>
        <v>-30</v>
      </c>
      <c r="M13" s="29"/>
      <c r="N13" s="10"/>
      <c r="O13" s="10"/>
      <c r="P13" s="10"/>
      <c r="Q13" s="33"/>
      <c r="S13" s="118" t="s">
        <v>37</v>
      </c>
      <c r="T13" s="119">
        <f>DATA!AA10</f>
        <v>-46.57237704801738</v>
      </c>
      <c r="U13" s="120">
        <f>DATA!AB10</f>
        <v>65.292064572176798</v>
      </c>
      <c r="V13" s="121">
        <f>DATA!AC10</f>
        <v>0</v>
      </c>
      <c r="W13" s="109"/>
      <c r="X13" s="109"/>
      <c r="Y13" s="119">
        <f t="shared" si="2"/>
        <v>-66.094920327485667</v>
      </c>
      <c r="Z13" s="121">
        <f t="shared" si="3"/>
        <v>34.79816649760479</v>
      </c>
    </row>
    <row r="14" spans="1:32" ht="15">
      <c r="G14" s="29"/>
      <c r="H14" s="10"/>
      <c r="I14" s="10"/>
      <c r="J14" s="10"/>
      <c r="K14" s="10"/>
      <c r="L14" s="33"/>
      <c r="M14" s="29"/>
      <c r="N14" s="10" t="s">
        <v>49</v>
      </c>
      <c r="O14" s="10" t="s">
        <v>50</v>
      </c>
      <c r="P14" s="10" t="s">
        <v>51</v>
      </c>
      <c r="Q14" s="33" t="s">
        <v>52</v>
      </c>
      <c r="S14" s="109"/>
      <c r="T14" s="109"/>
      <c r="U14" s="109"/>
      <c r="V14" s="109"/>
      <c r="W14" s="109"/>
      <c r="X14" s="109"/>
      <c r="Y14" s="109"/>
      <c r="Z14" s="109"/>
    </row>
    <row r="15" spans="1:32" ht="15">
      <c r="G15" s="29"/>
      <c r="H15" s="10"/>
      <c r="I15" s="10"/>
      <c r="J15" s="10"/>
      <c r="K15" s="10"/>
      <c r="L15" s="33"/>
      <c r="M15" s="29" t="s">
        <v>10</v>
      </c>
      <c r="N15" s="10">
        <v>0</v>
      </c>
      <c r="O15" s="10">
        <v>90</v>
      </c>
      <c r="P15" s="10">
        <v>270</v>
      </c>
      <c r="Q15" s="33">
        <v>320</v>
      </c>
      <c r="S15" s="109"/>
      <c r="T15" s="109"/>
      <c r="U15" s="109"/>
      <c r="V15" s="109"/>
      <c r="W15" s="109"/>
      <c r="X15" s="109"/>
      <c r="Y15" s="109"/>
      <c r="Z15" s="109"/>
    </row>
    <row r="16" spans="1:32" ht="15">
      <c r="G16" s="29"/>
      <c r="H16" s="10"/>
      <c r="I16" s="10"/>
      <c r="J16" s="10"/>
      <c r="K16" s="10"/>
      <c r="L16" s="33"/>
      <c r="M16" s="29" t="s">
        <v>11</v>
      </c>
      <c r="N16" s="10">
        <v>0</v>
      </c>
      <c r="O16" s="10">
        <v>180</v>
      </c>
      <c r="P16" s="10">
        <v>0</v>
      </c>
      <c r="Q16" s="33">
        <v>0</v>
      </c>
      <c r="S16" s="111" t="s">
        <v>53</v>
      </c>
      <c r="T16" s="111">
        <f>T2</f>
        <v>12.730097410276381</v>
      </c>
      <c r="U16" s="112">
        <f>U2</f>
        <v>48.352296945697155</v>
      </c>
      <c r="V16" s="113">
        <f>V2</f>
        <v>148</v>
      </c>
      <c r="W16" s="109"/>
      <c r="X16" s="109"/>
      <c r="Y16" s="111">
        <f t="shared" ref="Y16:Y26" si="4">(T16*_RMX1)+(U16*_RMY1)+(V16*_RMZ1)</f>
        <v>-4.5750809331701152</v>
      </c>
      <c r="Z16" s="113">
        <f t="shared" ref="Z16:Z27" si="5">(T16*_RMX2)+(U16*_RMY2)+(V16*_RMZ2)</f>
        <v>133.27410779356114</v>
      </c>
    </row>
    <row r="17" spans="7:26" ht="15.75" customHeight="1">
      <c r="G17" s="29"/>
      <c r="H17" s="10"/>
      <c r="I17" s="10"/>
      <c r="J17" s="10"/>
      <c r="K17" s="10"/>
      <c r="L17" s="33"/>
      <c r="M17" s="29" t="s">
        <v>12</v>
      </c>
      <c r="N17" s="10">
        <v>0</v>
      </c>
      <c r="O17" s="10">
        <v>90</v>
      </c>
      <c r="P17" s="10">
        <v>0</v>
      </c>
      <c r="Q17" s="33">
        <v>20</v>
      </c>
      <c r="S17" s="119"/>
      <c r="T17" s="119">
        <f>T8</f>
        <v>46.57237704801738</v>
      </c>
      <c r="U17" s="120">
        <f>U8</f>
        <v>65.292064572176798</v>
      </c>
      <c r="V17" s="121">
        <f>V8</f>
        <v>0</v>
      </c>
      <c r="W17" s="109"/>
      <c r="X17" s="109"/>
      <c r="Y17" s="119">
        <f t="shared" si="4"/>
        <v>21.43251776147622</v>
      </c>
      <c r="Z17" s="121">
        <f t="shared" si="5"/>
        <v>59.202337062835163</v>
      </c>
    </row>
    <row r="18" spans="7:26" ht="15.75" customHeight="1">
      <c r="G18" s="29"/>
      <c r="H18" s="10"/>
      <c r="I18" s="10"/>
      <c r="J18" s="10"/>
      <c r="K18" s="10"/>
      <c r="L18" s="33"/>
      <c r="M18" s="29"/>
      <c r="N18" s="10"/>
      <c r="O18" s="10"/>
      <c r="P18" s="10"/>
      <c r="Q18" s="33"/>
      <c r="S18" s="111" t="s">
        <v>54</v>
      </c>
      <c r="T18" s="111">
        <f>T3</f>
        <v>48.239366191440645</v>
      </c>
      <c r="U18" s="112">
        <f>U3</f>
        <v>-13.151560722898745</v>
      </c>
      <c r="V18" s="113">
        <f>V3</f>
        <v>148</v>
      </c>
      <c r="W18" s="109"/>
      <c r="X18" s="109"/>
      <c r="Y18" s="111">
        <f t="shared" si="4"/>
        <v>49.828275124888066</v>
      </c>
      <c r="Z18" s="113">
        <f t="shared" si="5"/>
        <v>98.304304594076228</v>
      </c>
    </row>
    <row r="19" spans="7:26" ht="15.75" customHeight="1">
      <c r="G19" s="29"/>
      <c r="H19" s="10"/>
      <c r="I19" s="10"/>
      <c r="J19" s="10"/>
      <c r="K19" s="10"/>
      <c r="L19" s="33"/>
      <c r="M19" s="29"/>
      <c r="N19" s="10"/>
      <c r="O19" s="10"/>
      <c r="P19" s="10"/>
      <c r="Q19" s="33"/>
      <c r="S19" s="119"/>
      <c r="T19" s="119">
        <f>T9</f>
        <v>79.83077510904775</v>
      </c>
      <c r="U19" s="120">
        <f>U9</f>
        <v>7.6868293521219613</v>
      </c>
      <c r="V19" s="121">
        <f>V9</f>
        <v>0</v>
      </c>
      <c r="W19" s="109"/>
      <c r="X19" s="109"/>
      <c r="Y19" s="119">
        <f t="shared" si="4"/>
        <v>72.387339804858826</v>
      </c>
      <c r="Z19" s="121">
        <f t="shared" si="5"/>
        <v>26.449208799566275</v>
      </c>
    </row>
    <row r="20" spans="7:26" ht="15">
      <c r="G20" s="29"/>
      <c r="H20" s="10"/>
      <c r="I20" s="10"/>
      <c r="J20" s="10"/>
      <c r="K20" s="10"/>
      <c r="L20" s="33"/>
      <c r="M20" s="29"/>
      <c r="N20" s="10"/>
      <c r="O20" s="10"/>
      <c r="P20" s="10"/>
      <c r="Q20" s="33"/>
      <c r="S20" s="111" t="s">
        <v>55</v>
      </c>
      <c r="T20" s="111">
        <f>T4</f>
        <v>35.509268781164273</v>
      </c>
      <c r="U20" s="112">
        <f>U4</f>
        <v>-35.200736222798412</v>
      </c>
      <c r="V20" s="113">
        <f>V4</f>
        <v>148</v>
      </c>
      <c r="W20" s="109"/>
      <c r="X20" s="109"/>
      <c r="Y20" s="111">
        <f t="shared" si="4"/>
        <v>45.407158691254068</v>
      </c>
      <c r="Z20" s="113">
        <f t="shared" si="5"/>
        <v>79.096967958698031</v>
      </c>
    </row>
    <row r="21" spans="7:26" ht="15">
      <c r="G21" s="29"/>
      <c r="H21" s="10"/>
      <c r="I21" s="10"/>
      <c r="J21" s="10"/>
      <c r="K21" s="10"/>
      <c r="L21" s="33"/>
      <c r="M21" s="29"/>
      <c r="N21" s="10"/>
      <c r="O21" s="10"/>
      <c r="P21" s="10"/>
      <c r="Q21" s="33"/>
      <c r="S21" s="119"/>
      <c r="T21" s="119">
        <f>T10</f>
        <v>33.258398061030377</v>
      </c>
      <c r="U21" s="120">
        <f>U10</f>
        <v>-72.978893924298774</v>
      </c>
      <c r="V21" s="121">
        <f>V10</f>
        <v>0</v>
      </c>
      <c r="W21" s="109"/>
      <c r="X21" s="109"/>
      <c r="Y21" s="119">
        <f t="shared" si="4"/>
        <v>56.21292299684805</v>
      </c>
      <c r="Z21" s="121">
        <f t="shared" si="5"/>
        <v>-43.819799758759409</v>
      </c>
    </row>
    <row r="22" spans="7:26" ht="15">
      <c r="G22" s="29"/>
      <c r="H22" s="10"/>
      <c r="I22" s="10"/>
      <c r="J22" s="10"/>
      <c r="K22" s="10"/>
      <c r="L22" s="33"/>
      <c r="M22" s="29"/>
      <c r="N22" s="10"/>
      <c r="O22" s="10"/>
      <c r="P22" s="10"/>
      <c r="Q22" s="33"/>
      <c r="S22" s="111" t="s">
        <v>56</v>
      </c>
      <c r="T22" s="111">
        <f>T5</f>
        <v>-35.509268781164273</v>
      </c>
      <c r="U22" s="112">
        <f>U5</f>
        <v>-35.200736222798412</v>
      </c>
      <c r="V22" s="113">
        <f>V5</f>
        <v>148</v>
      </c>
      <c r="W22" s="109"/>
      <c r="X22" s="109"/>
      <c r="Y22" s="111">
        <f t="shared" si="4"/>
        <v>-21.328436995072924</v>
      </c>
      <c r="Z22" s="113">
        <f t="shared" si="5"/>
        <v>60.489924322323596</v>
      </c>
    </row>
    <row r="23" spans="7:26" ht="15">
      <c r="G23" s="29"/>
      <c r="H23" s="10"/>
      <c r="I23" s="10"/>
      <c r="J23" s="10"/>
      <c r="K23" s="10"/>
      <c r="L23" s="33"/>
      <c r="M23" s="29"/>
      <c r="N23" s="10"/>
      <c r="O23" s="10"/>
      <c r="P23" s="10"/>
      <c r="Q23" s="33"/>
      <c r="S23" s="119"/>
      <c r="T23" s="119">
        <f>T11</f>
        <v>-33.258398061030377</v>
      </c>
      <c r="U23" s="120">
        <f>U11</f>
        <v>-72.978893924298774</v>
      </c>
      <c r="V23" s="121">
        <f>V11</f>
        <v>0</v>
      </c>
      <c r="W23" s="109"/>
      <c r="X23" s="109"/>
      <c r="Y23" s="119">
        <f t="shared" si="4"/>
        <v>-6.2924194773731728</v>
      </c>
      <c r="Z23" s="121">
        <f t="shared" si="5"/>
        <v>-61.247375297171068</v>
      </c>
    </row>
    <row r="24" spans="7:26" ht="15">
      <c r="G24" s="29"/>
      <c r="H24" s="10"/>
      <c r="I24" s="10"/>
      <c r="J24" s="10"/>
      <c r="K24" s="10"/>
      <c r="L24" s="33"/>
      <c r="M24" s="29"/>
      <c r="N24" s="10"/>
      <c r="O24" s="10"/>
      <c r="P24" s="10"/>
      <c r="Q24" s="33"/>
      <c r="S24" s="111" t="s">
        <v>57</v>
      </c>
      <c r="T24" s="111">
        <f>T6</f>
        <v>-48.239366191440645</v>
      </c>
      <c r="U24" s="112">
        <f>U6</f>
        <v>-13.151560722898745</v>
      </c>
      <c r="V24" s="113">
        <f>V6</f>
        <v>148</v>
      </c>
      <c r="W24" s="109"/>
      <c r="X24" s="109"/>
      <c r="Y24" s="111">
        <f t="shared" si="4"/>
        <v>-40.83207775808394</v>
      </c>
      <c r="Z24" s="113">
        <f t="shared" si="5"/>
        <v>73.026622948564395</v>
      </c>
    </row>
    <row r="25" spans="7:26" ht="15">
      <c r="G25" s="29"/>
      <c r="H25" s="10"/>
      <c r="I25" s="10"/>
      <c r="J25" s="10"/>
      <c r="K25" s="10"/>
      <c r="L25" s="33"/>
      <c r="M25" s="29"/>
      <c r="N25" s="10"/>
      <c r="O25" s="10"/>
      <c r="P25" s="10"/>
      <c r="Q25" s="33"/>
      <c r="S25" s="119"/>
      <c r="T25" s="119">
        <f>T12</f>
        <v>-79.83077510904775</v>
      </c>
      <c r="U25" s="120">
        <f>U12</f>
        <v>7.6868293521219613</v>
      </c>
      <c r="V25" s="121">
        <f>V12</f>
        <v>0</v>
      </c>
      <c r="W25" s="109"/>
      <c r="X25" s="109"/>
      <c r="Y25" s="119">
        <f t="shared" si="4"/>
        <v>-77.645440758324256</v>
      </c>
      <c r="Z25" s="121">
        <f t="shared" si="5"/>
        <v>-15.382537304075765</v>
      </c>
    </row>
    <row r="26" spans="7:26" ht="15">
      <c r="G26" s="29"/>
      <c r="H26" s="10"/>
      <c r="I26" s="10"/>
      <c r="J26" s="10"/>
      <c r="K26" s="10"/>
      <c r="L26" s="33"/>
      <c r="M26" s="29"/>
      <c r="N26" s="10"/>
      <c r="O26" s="10"/>
      <c r="P26" s="10"/>
      <c r="Q26" s="33"/>
      <c r="S26" s="111" t="s">
        <v>58</v>
      </c>
      <c r="T26" s="111">
        <f>T7</f>
        <v>-12.730097410276381</v>
      </c>
      <c r="U26" s="112">
        <f>U7</f>
        <v>48.352296945697155</v>
      </c>
      <c r="V26" s="113">
        <f>V7</f>
        <v>148</v>
      </c>
      <c r="W26" s="109"/>
      <c r="X26" s="109"/>
      <c r="Y26" s="115">
        <f t="shared" si="4"/>
        <v>-28.499838129815153</v>
      </c>
      <c r="Z26" s="117">
        <f t="shared" si="5"/>
        <v>126.60346978442377</v>
      </c>
    </row>
    <row r="27" spans="7:26" ht="15">
      <c r="G27" s="29"/>
      <c r="H27" s="10"/>
      <c r="I27" s="10"/>
      <c r="J27" s="10"/>
      <c r="K27" s="10"/>
      <c r="L27" s="33"/>
      <c r="M27" s="29"/>
      <c r="N27" s="10"/>
      <c r="O27" s="10"/>
      <c r="P27" s="10"/>
      <c r="Q27" s="33"/>
      <c r="S27" s="119"/>
      <c r="T27" s="119">
        <f>T13</f>
        <v>-46.57237704801738</v>
      </c>
      <c r="U27" s="120">
        <f>U13</f>
        <v>65.292064572176798</v>
      </c>
      <c r="V27" s="121">
        <f>V13</f>
        <v>0</v>
      </c>
      <c r="W27" s="109"/>
      <c r="X27" s="109"/>
      <c r="Y27" s="119">
        <f>(T27*_RMX1)+(U27*_RMY1)+(V27*_RMZ1)</f>
        <v>-66.094920327485667</v>
      </c>
      <c r="Z27" s="121">
        <f t="shared" si="5"/>
        <v>34.79816649760479</v>
      </c>
    </row>
    <row r="28" spans="7:26" ht="15">
      <c r="G28" s="29"/>
      <c r="H28" s="10"/>
      <c r="I28" s="10"/>
      <c r="J28" s="10"/>
      <c r="K28" s="10"/>
      <c r="L28" s="33"/>
      <c r="M28" s="29"/>
      <c r="N28" s="10"/>
      <c r="O28" s="10"/>
      <c r="P28" s="10"/>
      <c r="Q28" s="33"/>
      <c r="S28" s="109"/>
      <c r="T28" s="109"/>
      <c r="U28" s="109"/>
      <c r="V28" s="109"/>
      <c r="W28" s="109"/>
      <c r="X28" s="109"/>
      <c r="Y28" s="109"/>
      <c r="Z28" s="109"/>
    </row>
    <row r="29" spans="7:26" ht="15">
      <c r="G29" s="29"/>
      <c r="H29" s="10"/>
      <c r="I29" s="10"/>
      <c r="J29" s="10"/>
      <c r="K29" s="10"/>
      <c r="L29" s="33"/>
      <c r="M29" s="29"/>
      <c r="N29" s="10"/>
      <c r="O29" s="10"/>
      <c r="P29" s="10"/>
      <c r="Q29" s="33"/>
      <c r="S29" s="109"/>
      <c r="T29" s="109"/>
      <c r="U29" s="109"/>
      <c r="V29" s="109"/>
      <c r="W29" s="109"/>
      <c r="X29" s="109"/>
      <c r="Y29" s="109"/>
      <c r="Z29" s="109"/>
    </row>
    <row r="30" spans="7:26" ht="15">
      <c r="G30" s="29"/>
      <c r="H30" s="10"/>
      <c r="I30" s="10"/>
      <c r="J30" s="10"/>
      <c r="K30" s="10"/>
      <c r="L30" s="33"/>
      <c r="M30" s="29"/>
      <c r="N30" s="10"/>
      <c r="O30" s="10"/>
      <c r="P30" s="10"/>
      <c r="Q30" s="33"/>
      <c r="S30" s="109"/>
      <c r="T30" s="109"/>
      <c r="U30" s="109"/>
      <c r="V30" s="109"/>
      <c r="W30" s="109"/>
      <c r="X30" s="109"/>
      <c r="Y30" s="109"/>
      <c r="Z30" s="109"/>
    </row>
    <row r="31" spans="7:26" ht="15">
      <c r="G31" s="29"/>
      <c r="H31" s="10"/>
      <c r="I31" s="10"/>
      <c r="J31" s="10"/>
      <c r="K31" s="10"/>
      <c r="L31" s="33"/>
      <c r="M31" s="29"/>
      <c r="N31" s="10"/>
      <c r="O31" s="10"/>
      <c r="P31" s="10"/>
      <c r="Q31" s="33"/>
      <c r="S31" s="109" t="s">
        <v>59</v>
      </c>
      <c r="T31" s="109" t="s">
        <v>10</v>
      </c>
      <c r="U31" s="109" t="s">
        <v>11</v>
      </c>
      <c r="V31" s="109" t="s">
        <v>12</v>
      </c>
      <c r="W31" s="109"/>
      <c r="X31" s="116"/>
      <c r="Y31" s="109"/>
      <c r="Z31" s="109"/>
    </row>
    <row r="32" spans="7:26" ht="15">
      <c r="G32" s="29"/>
      <c r="H32" s="10"/>
      <c r="I32" s="10"/>
      <c r="J32" s="10"/>
      <c r="K32" s="10"/>
      <c r="L32" s="33"/>
      <c r="M32" s="29"/>
      <c r="N32" s="10"/>
      <c r="O32" s="10"/>
      <c r="P32" s="10"/>
      <c r="Q32" s="33"/>
      <c r="S32" s="109">
        <v>1</v>
      </c>
      <c r="T32" s="122">
        <f>DATA!$S$7*COS(-DATA!$N$23)*COS(DATA!$S$3*PI()/180)+DATA!E14</f>
        <v>59.072105277502601</v>
      </c>
      <c r="U32" s="122">
        <f>DATA!$S$7*COS(-DATA!$N$23)*SIN(DATA!$S$3*PI()/180)+DATA!F14</f>
        <v>43.641900197905443</v>
      </c>
      <c r="V32" s="123">
        <f>-DATA!$S$7*SIN(-DATA!$N$23)</f>
        <v>0.1648537413638716</v>
      </c>
      <c r="W32" s="109"/>
      <c r="X32" s="116"/>
      <c r="Y32" s="109"/>
      <c r="Z32" s="109"/>
    </row>
    <row r="33" spans="7:26" ht="15">
      <c r="G33" s="29"/>
      <c r="H33" s="10"/>
      <c r="I33" s="10"/>
      <c r="J33" s="10"/>
      <c r="K33" s="10"/>
      <c r="L33" s="33"/>
      <c r="M33" s="29"/>
      <c r="N33" s="10"/>
      <c r="O33" s="10"/>
      <c r="P33" s="10"/>
      <c r="Q33" s="33"/>
      <c r="S33" s="109">
        <v>2</v>
      </c>
      <c r="T33" s="122">
        <f>DATA!$S$7*COS(-DATA!$N$24)*COS(DATA!$T$3*PI()/180)+DATA!E15</f>
        <v>67.331046879562535</v>
      </c>
      <c r="U33" s="122">
        <f>DATA!$S$7*COS(-DATA!$N$24)*SIN(DATA!$T$3*PI()/180)+DATA!F15</f>
        <v>29.33699372639332</v>
      </c>
      <c r="V33" s="123">
        <f>-DATA!$S$7*SIN(-DATA!$N$24)</f>
        <v>0.16485374136386982</v>
      </c>
      <c r="W33" s="109"/>
      <c r="X33" s="116"/>
      <c r="Y33" s="109"/>
      <c r="Z33" s="109"/>
    </row>
    <row r="34" spans="7:26" ht="15">
      <c r="G34" s="29"/>
      <c r="H34" s="10"/>
      <c r="I34" s="10"/>
      <c r="J34" s="10"/>
      <c r="K34" s="10"/>
      <c r="L34" s="33"/>
      <c r="M34" s="29"/>
      <c r="N34" s="10"/>
      <c r="O34" s="10"/>
      <c r="P34" s="10"/>
      <c r="Q34" s="33"/>
      <c r="S34" s="109">
        <v>3</v>
      </c>
      <c r="T34" s="122">
        <f>DATA!$S$7*COS(-DATA!$N$25)*COS(DATA!$U$3*PI()/180)+DATA!E16</f>
        <v>8.2589416020599487</v>
      </c>
      <c r="U34" s="122">
        <f>DATA!$S$7*COS(-DATA!$N$25)*SIN(DATA!$U$3*PI()/180)+DATA!F16</f>
        <v>-72.978893924298774</v>
      </c>
      <c r="V34" s="123">
        <f>-DATA!$S$7*SIN(-DATA!$N$25)</f>
        <v>0.16485374136386843</v>
      </c>
      <c r="W34" s="109"/>
      <c r="X34" s="116"/>
      <c r="Y34" s="109"/>
      <c r="Z34" s="109"/>
    </row>
    <row r="35" spans="7:26" ht="16" thickBot="1">
      <c r="G35" s="30"/>
      <c r="H35" s="34"/>
      <c r="I35" s="34"/>
      <c r="J35" s="34"/>
      <c r="K35" s="34"/>
      <c r="L35" s="35"/>
      <c r="M35" s="30"/>
      <c r="N35" s="34"/>
      <c r="O35" s="34"/>
      <c r="P35" s="34"/>
      <c r="Q35" s="35"/>
      <c r="S35" s="109">
        <v>4</v>
      </c>
      <c r="T35" s="122">
        <f>DATA!$S$7*COS(-DATA!$N$26)*COS(DATA!$V$3*PI()/180)+DATA!E17</f>
        <v>-8.2589416020599487</v>
      </c>
      <c r="U35" s="122">
        <f>DATA!$S$7*COS(-DATA!$N$26)*SIN(DATA!$V$3*PI()/180)+DATA!F17</f>
        <v>-72.978893924298774</v>
      </c>
      <c r="V35" s="123">
        <f>-DATA!$S$7*SIN(-DATA!$N$26)</f>
        <v>0.16485374136386921</v>
      </c>
      <c r="W35" s="109"/>
      <c r="X35" s="116"/>
      <c r="Y35" s="109"/>
      <c r="Z35" s="109"/>
    </row>
    <row r="36" spans="7:26" ht="15">
      <c r="S36" s="109">
        <v>5</v>
      </c>
      <c r="T36" s="122">
        <f>DATA!$S$7*COS(-DATA!$N$27)*COS(DATA!$W$3*PI()/180)+DATA!E18</f>
        <v>-67.331046879562535</v>
      </c>
      <c r="U36" s="122">
        <f>DATA!$S$7*COS(-DATA!$N$27)*SIN(DATA!$W$3*PI()/180)+DATA!F18</f>
        <v>29.336993726393317</v>
      </c>
      <c r="V36" s="123">
        <f>-DATA!$S$7*SIN(-DATA!$N$27)</f>
        <v>0.16485374136386799</v>
      </c>
      <c r="W36" s="109"/>
      <c r="X36" s="116"/>
      <c r="Y36" s="109"/>
      <c r="Z36" s="109"/>
    </row>
    <row r="37" spans="7:26" ht="15">
      <c r="S37" s="109">
        <v>6</v>
      </c>
      <c r="T37" s="122">
        <f>DATA!$S$7*COS(-DATA!$N$28)*COS(DATA!$X$3*PI()/180)+DATA!E19</f>
        <v>-59.072105277502587</v>
      </c>
      <c r="U37" s="122">
        <f>DATA!$S$7*COS(-DATA!$N$28)*SIN(DATA!$X$3*PI()/180)+DATA!F19</f>
        <v>43.641900197905443</v>
      </c>
      <c r="V37" s="123">
        <f>-DATA!$S$7*SIN(-DATA!$N$28)</f>
        <v>0.16485374136386952</v>
      </c>
      <c r="W37" s="109"/>
      <c r="X37" s="116"/>
      <c r="Y37" s="109"/>
      <c r="Z37" s="109"/>
    </row>
    <row r="38" spans="7:26" ht="15">
      <c r="S38" s="109"/>
      <c r="T38" s="109"/>
      <c r="U38" s="109"/>
      <c r="V38" s="109"/>
      <c r="W38" s="109"/>
      <c r="X38" s="116"/>
      <c r="Y38" s="109"/>
      <c r="Z38" s="109"/>
    </row>
    <row r="39" spans="7:26" ht="15">
      <c r="S39" s="109"/>
      <c r="T39" s="109"/>
      <c r="U39" s="109"/>
      <c r="V39" s="109"/>
      <c r="W39" s="109"/>
      <c r="X39" s="116"/>
      <c r="Y39" s="109"/>
      <c r="Z39" s="109"/>
    </row>
    <row r="40" spans="7:26" ht="15">
      <c r="S40" s="111" t="s">
        <v>63</v>
      </c>
      <c r="T40" s="112">
        <f>T8</f>
        <v>46.57237704801738</v>
      </c>
      <c r="U40" s="112">
        <f>U8</f>
        <v>65.292064572176798</v>
      </c>
      <c r="V40" s="112">
        <f>V8</f>
        <v>0</v>
      </c>
      <c r="W40" s="112"/>
      <c r="X40" s="112"/>
      <c r="Y40" s="112">
        <f t="shared" ref="Y40:Y51" si="6">(T40*_RMX1)+(U40*_RMY1)+(V40*_RMZ1)</f>
        <v>21.43251776147622</v>
      </c>
      <c r="Z40" s="113">
        <f t="shared" ref="Z40:Z51" si="7">(T40*_RMX2)+(U40*_RMY2)+(V40*_RMZ2)</f>
        <v>59.202337062835163</v>
      </c>
    </row>
    <row r="41" spans="7:26" ht="15">
      <c r="S41" s="119"/>
      <c r="T41" s="124">
        <f>T32</f>
        <v>59.072105277502601</v>
      </c>
      <c r="U41" s="124">
        <f>U32</f>
        <v>43.641900197905443</v>
      </c>
      <c r="V41" s="124">
        <f>V32</f>
        <v>0.1648537413638716</v>
      </c>
      <c r="W41" s="120"/>
      <c r="X41" s="120"/>
      <c r="Y41" s="120">
        <f t="shared" si="6"/>
        <v>40.583212462865362</v>
      </c>
      <c r="Z41" s="121">
        <f t="shared" si="7"/>
        <v>46.998473734251732</v>
      </c>
    </row>
    <row r="42" spans="7:26" ht="15">
      <c r="S42" s="111" t="s">
        <v>64</v>
      </c>
      <c r="T42" s="112">
        <f>T9</f>
        <v>79.83077510904775</v>
      </c>
      <c r="U42" s="112">
        <f>U9</f>
        <v>7.6868293521219613</v>
      </c>
      <c r="V42" s="112">
        <f>V9</f>
        <v>0</v>
      </c>
      <c r="W42" s="112"/>
      <c r="X42" s="112"/>
      <c r="Y42" s="112">
        <f t="shared" si="6"/>
        <v>72.387339804858826</v>
      </c>
      <c r="Z42" s="113">
        <f t="shared" si="7"/>
        <v>26.449208799566275</v>
      </c>
    </row>
    <row r="43" spans="7:26" ht="15">
      <c r="S43" s="119"/>
      <c r="T43" s="124">
        <f>T33</f>
        <v>67.331046879562535</v>
      </c>
      <c r="U43" s="124">
        <f>U33</f>
        <v>29.33699372639332</v>
      </c>
      <c r="V43" s="124">
        <f>V33</f>
        <v>0.16485374136386982</v>
      </c>
      <c r="W43" s="120"/>
      <c r="X43" s="120"/>
      <c r="Y43" s="120">
        <f t="shared" si="6"/>
        <v>53.236645103469691</v>
      </c>
      <c r="Z43" s="121">
        <f t="shared" si="7"/>
        <v>38.865004012868035</v>
      </c>
    </row>
    <row r="44" spans="7:26" ht="15">
      <c r="S44" s="111" t="s">
        <v>65</v>
      </c>
      <c r="T44" s="112">
        <f>T10</f>
        <v>33.258398061030377</v>
      </c>
      <c r="U44" s="112">
        <f>U10</f>
        <v>-72.978893924298774</v>
      </c>
      <c r="V44" s="112">
        <f>V10</f>
        <v>0</v>
      </c>
      <c r="W44" s="112"/>
      <c r="X44" s="112"/>
      <c r="Y44" s="112">
        <f t="shared" si="6"/>
        <v>56.21292299684805</v>
      </c>
      <c r="Z44" s="113">
        <f t="shared" si="7"/>
        <v>-43.819799758759409</v>
      </c>
    </row>
    <row r="45" spans="7:26" ht="15">
      <c r="S45" s="119"/>
      <c r="T45" s="124">
        <f>T34</f>
        <v>8.2589416020599487</v>
      </c>
      <c r="U45" s="124">
        <f>U34</f>
        <v>-72.978893924298774</v>
      </c>
      <c r="V45" s="124">
        <f>V34</f>
        <v>0.16485374136386843</v>
      </c>
      <c r="W45" s="120"/>
      <c r="X45" s="120"/>
      <c r="Y45" s="120">
        <f t="shared" si="6"/>
        <v>32.72111823869492</v>
      </c>
      <c r="Z45" s="121">
        <f t="shared" si="7"/>
        <v>-50.263757162955478</v>
      </c>
    </row>
    <row r="46" spans="7:26" ht="15">
      <c r="S46" s="111" t="s">
        <v>66</v>
      </c>
      <c r="T46" s="112">
        <f>T11</f>
        <v>-33.258398061030377</v>
      </c>
      <c r="U46" s="112">
        <f>U11</f>
        <v>-72.978893924298774</v>
      </c>
      <c r="V46" s="112">
        <f>V11</f>
        <v>0</v>
      </c>
      <c r="W46" s="112"/>
      <c r="X46" s="112"/>
      <c r="Y46" s="112">
        <f t="shared" si="6"/>
        <v>-6.2924194773731728</v>
      </c>
      <c r="Z46" s="113">
        <f t="shared" si="7"/>
        <v>-61.247375297171068</v>
      </c>
    </row>
    <row r="47" spans="7:26" ht="15">
      <c r="S47" s="119"/>
      <c r="T47" s="124">
        <f>T35</f>
        <v>-8.2589416020599487</v>
      </c>
      <c r="U47" s="124">
        <f>U35</f>
        <v>-72.978893924298774</v>
      </c>
      <c r="V47" s="124">
        <f>V35</f>
        <v>0.16485374136386921</v>
      </c>
      <c r="W47" s="120"/>
      <c r="X47" s="120"/>
      <c r="Y47" s="120">
        <f t="shared" si="6"/>
        <v>17.199385280779957</v>
      </c>
      <c r="Z47" s="121">
        <f t="shared" si="7"/>
        <v>-54.591486008256673</v>
      </c>
    </row>
    <row r="48" spans="7:26" ht="15">
      <c r="S48" s="111" t="s">
        <v>67</v>
      </c>
      <c r="T48" s="112">
        <f>T12</f>
        <v>-79.83077510904775</v>
      </c>
      <c r="U48" s="112">
        <f>U12</f>
        <v>7.6868293521219613</v>
      </c>
      <c r="V48" s="112">
        <f>V12</f>
        <v>0</v>
      </c>
      <c r="W48" s="112"/>
      <c r="X48" s="112"/>
      <c r="Y48" s="112">
        <f t="shared" si="6"/>
        <v>-77.645440758324256</v>
      </c>
      <c r="Z48" s="113">
        <f t="shared" si="7"/>
        <v>-15.382537304075765</v>
      </c>
    </row>
    <row r="49" spans="19:32" ht="15">
      <c r="S49" s="119"/>
      <c r="T49" s="124">
        <f>T36</f>
        <v>-67.331046879562535</v>
      </c>
      <c r="U49" s="124">
        <f>U36</f>
        <v>29.336993726393317</v>
      </c>
      <c r="V49" s="124">
        <f>V36</f>
        <v>0.16485374136386799</v>
      </c>
      <c r="W49" s="120"/>
      <c r="X49" s="120"/>
      <c r="Y49" s="120">
        <f t="shared" si="6"/>
        <v>-73.304330701560261</v>
      </c>
      <c r="Z49" s="121">
        <f t="shared" si="7"/>
        <v>3.5831812557812319</v>
      </c>
    </row>
    <row r="50" spans="19:32" ht="15">
      <c r="S50" s="111" t="s">
        <v>68</v>
      </c>
      <c r="T50" s="112">
        <f>T13</f>
        <v>-46.57237704801738</v>
      </c>
      <c r="U50" s="112">
        <f>U13</f>
        <v>65.292064572176798</v>
      </c>
      <c r="V50" s="112">
        <f>V13</f>
        <v>0</v>
      </c>
      <c r="W50" s="112"/>
      <c r="X50" s="112"/>
      <c r="Y50" s="112">
        <f t="shared" si="6"/>
        <v>-66.094920327485667</v>
      </c>
      <c r="Z50" s="113">
        <f t="shared" si="7"/>
        <v>34.79816649760479</v>
      </c>
    </row>
    <row r="51" spans="19:32" ht="15">
      <c r="S51" s="119"/>
      <c r="T51" s="124">
        <f>T37</f>
        <v>-59.072105277502587</v>
      </c>
      <c r="U51" s="124">
        <f>U37</f>
        <v>43.641900197905443</v>
      </c>
      <c r="V51" s="124">
        <f>V37</f>
        <v>0.16485374136386952</v>
      </c>
      <c r="W51" s="120"/>
      <c r="X51" s="120"/>
      <c r="Y51" s="120">
        <f t="shared" si="6"/>
        <v>-70.436030384249648</v>
      </c>
      <c r="Z51" s="121">
        <f t="shared" si="7"/>
        <v>16.044379822466123</v>
      </c>
    </row>
    <row r="52" spans="19:32" ht="15">
      <c r="S52" s="109"/>
      <c r="T52" s="109"/>
      <c r="U52" s="109"/>
      <c r="V52" s="109"/>
      <c r="W52" s="109"/>
      <c r="X52" s="109"/>
      <c r="Y52" s="109"/>
      <c r="Z52" s="109"/>
    </row>
    <row r="53" spans="19:32" ht="15">
      <c r="S53" s="109"/>
      <c r="T53" s="109"/>
      <c r="U53" s="109"/>
      <c r="V53" s="109"/>
      <c r="W53" s="109"/>
      <c r="X53" s="109"/>
      <c r="Y53" s="109"/>
      <c r="Z53" s="109"/>
    </row>
    <row r="54" spans="19:32" ht="15">
      <c r="S54" s="111" t="s">
        <v>69</v>
      </c>
      <c r="T54" s="112">
        <f>T16</f>
        <v>12.730097410276381</v>
      </c>
      <c r="U54" s="112">
        <f>U16</f>
        <v>48.352296945697155</v>
      </c>
      <c r="V54" s="112">
        <f>V16</f>
        <v>148</v>
      </c>
      <c r="W54" s="112"/>
      <c r="X54" s="112"/>
      <c r="Y54" s="112">
        <f t="shared" ref="Y54:Y65" si="8">(T54*_RMX1)+(U54*_RMY1)+(V54*_RMZ1)</f>
        <v>-4.5750809331701152</v>
      </c>
      <c r="Z54" s="113">
        <f t="shared" ref="Z54:Z65" si="9">(T54*_RMX2)+(U54*_RMY2)+(V54*_RMZ2)</f>
        <v>133.27410779356114</v>
      </c>
    </row>
    <row r="55" spans="19:32" ht="15">
      <c r="S55" s="119"/>
      <c r="T55" s="124">
        <f>T41</f>
        <v>59.072105277502601</v>
      </c>
      <c r="U55" s="124">
        <f>U41</f>
        <v>43.641900197905443</v>
      </c>
      <c r="V55" s="124">
        <f>V41</f>
        <v>0.1648537413638716</v>
      </c>
      <c r="W55" s="120"/>
      <c r="X55" s="120"/>
      <c r="Y55" s="120">
        <f t="shared" si="8"/>
        <v>40.583212462865362</v>
      </c>
      <c r="Z55" s="121">
        <f t="shared" si="9"/>
        <v>46.998473734251732</v>
      </c>
    </row>
    <row r="56" spans="19:32" ht="15">
      <c r="S56" s="111" t="s">
        <v>70</v>
      </c>
      <c r="T56" s="112">
        <f>T18</f>
        <v>48.239366191440645</v>
      </c>
      <c r="U56" s="112">
        <f>U18</f>
        <v>-13.151560722898745</v>
      </c>
      <c r="V56" s="112">
        <f>V18</f>
        <v>148</v>
      </c>
      <c r="W56" s="112"/>
      <c r="X56" s="112"/>
      <c r="Y56" s="112">
        <f t="shared" si="8"/>
        <v>49.828275124888066</v>
      </c>
      <c r="Z56" s="113">
        <f t="shared" si="9"/>
        <v>98.304304594076228</v>
      </c>
    </row>
    <row r="57" spans="19:32" ht="15">
      <c r="S57" s="119"/>
      <c r="T57" s="124">
        <f>T43</f>
        <v>67.331046879562535</v>
      </c>
      <c r="U57" s="124">
        <f>U43</f>
        <v>29.33699372639332</v>
      </c>
      <c r="V57" s="124">
        <f>V43</f>
        <v>0.16485374136386982</v>
      </c>
      <c r="W57" s="120"/>
      <c r="X57" s="120"/>
      <c r="Y57" s="120">
        <f t="shared" si="8"/>
        <v>53.236645103469691</v>
      </c>
      <c r="Z57" s="121">
        <f t="shared" si="9"/>
        <v>38.865004012868035</v>
      </c>
    </row>
    <row r="58" spans="19:32" ht="15">
      <c r="S58" s="111" t="s">
        <v>71</v>
      </c>
      <c r="T58" s="112">
        <f>T20</f>
        <v>35.509268781164273</v>
      </c>
      <c r="U58" s="112">
        <f>U20</f>
        <v>-35.200736222798412</v>
      </c>
      <c r="V58" s="112">
        <f>V20</f>
        <v>148</v>
      </c>
      <c r="W58" s="112"/>
      <c r="X58" s="112"/>
      <c r="Y58" s="112">
        <f t="shared" si="8"/>
        <v>45.407158691254068</v>
      </c>
      <c r="Z58" s="113">
        <f t="shared" si="9"/>
        <v>79.096967958698031</v>
      </c>
    </row>
    <row r="59" spans="19:32" ht="15">
      <c r="S59" s="119"/>
      <c r="T59" s="124">
        <f>T45</f>
        <v>8.2589416020599487</v>
      </c>
      <c r="U59" s="124">
        <f>U45</f>
        <v>-72.978893924298774</v>
      </c>
      <c r="V59" s="124">
        <f>V45</f>
        <v>0.16485374136386843</v>
      </c>
      <c r="W59" s="120"/>
      <c r="X59" s="120"/>
      <c r="Y59" s="120">
        <f t="shared" si="8"/>
        <v>32.72111823869492</v>
      </c>
      <c r="Z59" s="121">
        <f t="shared" si="9"/>
        <v>-50.263757162955478</v>
      </c>
      <c r="AF59" s="10"/>
    </row>
    <row r="60" spans="19:32" ht="15">
      <c r="S60" s="111" t="s">
        <v>72</v>
      </c>
      <c r="T60" s="112">
        <f>T22</f>
        <v>-35.509268781164273</v>
      </c>
      <c r="U60" s="112">
        <f>U22</f>
        <v>-35.200736222798412</v>
      </c>
      <c r="V60" s="112">
        <f>V22</f>
        <v>148</v>
      </c>
      <c r="W60" s="112"/>
      <c r="X60" s="112"/>
      <c r="Y60" s="112">
        <f t="shared" si="8"/>
        <v>-21.328436995072924</v>
      </c>
      <c r="Z60" s="113">
        <f t="shared" si="9"/>
        <v>60.489924322323596</v>
      </c>
      <c r="AF60" s="10"/>
    </row>
    <row r="61" spans="19:32" ht="15">
      <c r="S61" s="119"/>
      <c r="T61" s="124">
        <f>T47</f>
        <v>-8.2589416020599487</v>
      </c>
      <c r="U61" s="124">
        <f>U47</f>
        <v>-72.978893924298774</v>
      </c>
      <c r="V61" s="124">
        <f>V47</f>
        <v>0.16485374136386921</v>
      </c>
      <c r="W61" s="120"/>
      <c r="X61" s="120"/>
      <c r="Y61" s="120">
        <f t="shared" si="8"/>
        <v>17.199385280779957</v>
      </c>
      <c r="Z61" s="121">
        <f t="shared" si="9"/>
        <v>-54.591486008256673</v>
      </c>
      <c r="AF61" s="10"/>
    </row>
    <row r="62" spans="19:32" ht="15">
      <c r="S62" s="111" t="s">
        <v>73</v>
      </c>
      <c r="T62" s="112">
        <f>T24</f>
        <v>-48.239366191440645</v>
      </c>
      <c r="U62" s="112">
        <f>U24</f>
        <v>-13.151560722898745</v>
      </c>
      <c r="V62" s="112">
        <f>V24</f>
        <v>148</v>
      </c>
      <c r="W62" s="112"/>
      <c r="X62" s="112"/>
      <c r="Y62" s="112">
        <f t="shared" si="8"/>
        <v>-40.83207775808394</v>
      </c>
      <c r="Z62" s="113">
        <f t="shared" si="9"/>
        <v>73.026622948564395</v>
      </c>
      <c r="AF62" s="10"/>
    </row>
    <row r="63" spans="19:32" ht="15">
      <c r="S63" s="119"/>
      <c r="T63" s="124">
        <f>T49</f>
        <v>-67.331046879562535</v>
      </c>
      <c r="U63" s="124">
        <f>U49</f>
        <v>29.336993726393317</v>
      </c>
      <c r="V63" s="124">
        <f>V49</f>
        <v>0.16485374136386799</v>
      </c>
      <c r="W63" s="120"/>
      <c r="X63" s="120"/>
      <c r="Y63" s="120">
        <f t="shared" si="8"/>
        <v>-73.304330701560261</v>
      </c>
      <c r="Z63" s="121">
        <f t="shared" si="9"/>
        <v>3.5831812557812319</v>
      </c>
      <c r="AF63" s="10"/>
    </row>
    <row r="64" spans="19:32" ht="15">
      <c r="S64" s="111" t="s">
        <v>74</v>
      </c>
      <c r="T64" s="112">
        <f>T26</f>
        <v>-12.730097410276381</v>
      </c>
      <c r="U64" s="112">
        <f>U26</f>
        <v>48.352296945697155</v>
      </c>
      <c r="V64" s="112">
        <f>V26</f>
        <v>148</v>
      </c>
      <c r="W64" s="112"/>
      <c r="X64" s="112"/>
      <c r="Y64" s="112">
        <f t="shared" si="8"/>
        <v>-28.499838129815153</v>
      </c>
      <c r="Z64" s="113">
        <f t="shared" si="9"/>
        <v>126.60346978442377</v>
      </c>
      <c r="AF64" s="10"/>
    </row>
    <row r="65" spans="19:32" ht="15">
      <c r="S65" s="119"/>
      <c r="T65" s="124">
        <f>T51</f>
        <v>-59.072105277502587</v>
      </c>
      <c r="U65" s="124">
        <f>U51</f>
        <v>43.641900197905443</v>
      </c>
      <c r="V65" s="124">
        <f>V51</f>
        <v>0.16485374136386952</v>
      </c>
      <c r="W65" s="120"/>
      <c r="X65" s="120"/>
      <c r="Y65" s="120">
        <f t="shared" si="8"/>
        <v>-70.436030384249648</v>
      </c>
      <c r="Z65" s="121">
        <f t="shared" si="9"/>
        <v>16.044379822466123</v>
      </c>
      <c r="AF65" s="10"/>
    </row>
    <row r="66" spans="19:32" ht="15">
      <c r="S66" s="109"/>
      <c r="T66" s="109"/>
      <c r="U66" s="109"/>
      <c r="V66" s="109"/>
      <c r="W66" s="109"/>
      <c r="X66" s="109"/>
      <c r="Y66" s="109"/>
      <c r="Z66" s="109"/>
      <c r="AF66" s="10"/>
    </row>
    <row r="67" spans="19:32" ht="15">
      <c r="S67" s="109"/>
      <c r="T67" s="109"/>
      <c r="U67" s="109"/>
      <c r="V67" s="109"/>
      <c r="W67" s="109"/>
      <c r="X67" s="109"/>
      <c r="Y67" s="109"/>
      <c r="Z67" s="109"/>
      <c r="AF67" s="10"/>
    </row>
    <row r="68" spans="19:32" ht="15">
      <c r="S68" s="109"/>
      <c r="T68" s="109"/>
      <c r="U68" s="109"/>
      <c r="V68" s="109"/>
      <c r="W68" s="109"/>
      <c r="X68" s="109"/>
      <c r="Y68" s="109"/>
      <c r="Z68" s="109"/>
      <c r="AF68" s="10"/>
    </row>
    <row r="69" spans="19:32" ht="15">
      <c r="S69" s="109" t="s">
        <v>75</v>
      </c>
      <c r="T69" s="109">
        <f t="shared" ref="T69:V74" si="10">T2</f>
        <v>12.730097410276381</v>
      </c>
      <c r="U69" s="109">
        <f t="shared" si="10"/>
        <v>48.352296945697155</v>
      </c>
      <c r="V69" s="109">
        <f t="shared" si="10"/>
        <v>148</v>
      </c>
      <c r="W69" s="109"/>
      <c r="X69" s="109"/>
      <c r="Y69" s="120">
        <f t="shared" ref="Y69:Y74" si="11">(T69*_RMX1)+(U69*_RMY1)+(V69*_RMZ1)</f>
        <v>-4.5750809331701152</v>
      </c>
      <c r="Z69" s="121">
        <f t="shared" ref="Z69:Z74" si="12">(T69*_RMX2)+(U69*_RMY2)+(V69*_RMZ2)</f>
        <v>133.27410779356114</v>
      </c>
      <c r="AF69" s="10"/>
    </row>
    <row r="70" spans="19:32" ht="15">
      <c r="S70" s="109"/>
      <c r="T70" s="109">
        <f t="shared" si="10"/>
        <v>48.239366191440645</v>
      </c>
      <c r="U70" s="109">
        <f t="shared" si="10"/>
        <v>-13.151560722898745</v>
      </c>
      <c r="V70" s="109">
        <f t="shared" si="10"/>
        <v>148</v>
      </c>
      <c r="W70" s="109"/>
      <c r="X70" s="109"/>
      <c r="Y70" s="120">
        <f t="shared" si="11"/>
        <v>49.828275124888066</v>
      </c>
      <c r="Z70" s="121">
        <f t="shared" si="12"/>
        <v>98.304304594076228</v>
      </c>
      <c r="AF70" s="10"/>
    </row>
    <row r="71" spans="19:32" ht="15">
      <c r="S71" s="109"/>
      <c r="T71" s="109">
        <f t="shared" si="10"/>
        <v>35.509268781164273</v>
      </c>
      <c r="U71" s="109">
        <f t="shared" si="10"/>
        <v>-35.200736222798412</v>
      </c>
      <c r="V71" s="109">
        <f t="shared" si="10"/>
        <v>148</v>
      </c>
      <c r="W71" s="109"/>
      <c r="X71" s="109"/>
      <c r="Y71" s="120">
        <f t="shared" si="11"/>
        <v>45.407158691254068</v>
      </c>
      <c r="Z71" s="121">
        <f t="shared" si="12"/>
        <v>79.096967958698031</v>
      </c>
      <c r="AF71" s="10"/>
    </row>
    <row r="72" spans="19:32" ht="15">
      <c r="S72" s="109"/>
      <c r="T72" s="109">
        <f t="shared" si="10"/>
        <v>-35.509268781164273</v>
      </c>
      <c r="U72" s="109">
        <f t="shared" si="10"/>
        <v>-35.200736222798412</v>
      </c>
      <c r="V72" s="109">
        <f t="shared" si="10"/>
        <v>148</v>
      </c>
      <c r="W72" s="109"/>
      <c r="X72" s="109"/>
      <c r="Y72" s="120">
        <f t="shared" si="11"/>
        <v>-21.328436995072924</v>
      </c>
      <c r="Z72" s="121">
        <f t="shared" si="12"/>
        <v>60.489924322323596</v>
      </c>
      <c r="AF72" s="10"/>
    </row>
    <row r="73" spans="19:32" ht="15">
      <c r="S73" s="109"/>
      <c r="T73" s="109">
        <f t="shared" si="10"/>
        <v>-48.239366191440645</v>
      </c>
      <c r="U73" s="109">
        <f t="shared" si="10"/>
        <v>-13.151560722898745</v>
      </c>
      <c r="V73" s="109">
        <f t="shared" si="10"/>
        <v>148</v>
      </c>
      <c r="W73" s="109"/>
      <c r="X73" s="109"/>
      <c r="Y73" s="120">
        <f t="shared" si="11"/>
        <v>-40.83207775808394</v>
      </c>
      <c r="Z73" s="121">
        <f t="shared" si="12"/>
        <v>73.026622948564395</v>
      </c>
      <c r="AF73" s="10"/>
    </row>
    <row r="74" spans="19:32" ht="15">
      <c r="S74" s="109"/>
      <c r="T74" s="109">
        <f t="shared" si="10"/>
        <v>-12.730097410276381</v>
      </c>
      <c r="U74" s="109">
        <f t="shared" si="10"/>
        <v>48.352296945697155</v>
      </c>
      <c r="V74" s="109">
        <f t="shared" si="10"/>
        <v>148</v>
      </c>
      <c r="W74" s="109"/>
      <c r="X74" s="109"/>
      <c r="Y74" s="120">
        <f t="shared" si="11"/>
        <v>-28.499838129815153</v>
      </c>
      <c r="Z74" s="121">
        <f t="shared" si="12"/>
        <v>126.60346978442377</v>
      </c>
      <c r="AF74" s="10"/>
    </row>
    <row r="75" spans="19:32" ht="15">
      <c r="S75" s="109"/>
      <c r="T75" s="109">
        <f>T69</f>
        <v>12.730097410276381</v>
      </c>
      <c r="U75" s="109">
        <f>U69</f>
        <v>48.352296945697155</v>
      </c>
      <c r="V75" s="109">
        <f>V69</f>
        <v>148</v>
      </c>
      <c r="W75" s="109"/>
      <c r="X75" s="109"/>
      <c r="Y75" s="120">
        <f t="shared" ref="Y75:Y83" si="13">(T75*_RMX1)+(U75*_RMY1)+(V75*_RMZ1)</f>
        <v>-4.5750809331701152</v>
      </c>
      <c r="Z75" s="121">
        <f t="shared" ref="Z75:Z83" si="14">(T75*_RMX2)+(U75*_RMY2)+(V75*_RMZ2)</f>
        <v>133.27410779356114</v>
      </c>
      <c r="AF75" s="10"/>
    </row>
    <row r="76" spans="19:32" ht="15">
      <c r="S76" s="109"/>
      <c r="T76" s="109"/>
      <c r="U76" s="109"/>
      <c r="V76" s="109"/>
      <c r="W76" s="109"/>
      <c r="X76" s="109"/>
      <c r="Y76" s="120"/>
      <c r="Z76" s="121"/>
      <c r="AF76" s="10"/>
    </row>
    <row r="77" spans="19:32" ht="15">
      <c r="S77" s="109" t="s">
        <v>76</v>
      </c>
      <c r="T77" s="109">
        <f t="shared" ref="T77:V82" si="15">T8</f>
        <v>46.57237704801738</v>
      </c>
      <c r="U77" s="109">
        <f t="shared" si="15"/>
        <v>65.292064572176798</v>
      </c>
      <c r="V77" s="109">
        <f t="shared" si="15"/>
        <v>0</v>
      </c>
      <c r="W77" s="109"/>
      <c r="X77" s="109"/>
      <c r="Y77" s="120">
        <f t="shared" si="13"/>
        <v>21.43251776147622</v>
      </c>
      <c r="Z77" s="121">
        <f t="shared" si="14"/>
        <v>59.202337062835163</v>
      </c>
      <c r="AF77" s="10"/>
    </row>
    <row r="78" spans="19:32" ht="15">
      <c r="S78" s="109"/>
      <c r="T78" s="109">
        <f t="shared" si="15"/>
        <v>79.83077510904775</v>
      </c>
      <c r="U78" s="109">
        <f t="shared" si="15"/>
        <v>7.6868293521219613</v>
      </c>
      <c r="V78" s="109">
        <f t="shared" si="15"/>
        <v>0</v>
      </c>
      <c r="W78" s="109"/>
      <c r="X78" s="109"/>
      <c r="Y78" s="120">
        <f t="shared" si="13"/>
        <v>72.387339804858826</v>
      </c>
      <c r="Z78" s="121">
        <f t="shared" si="14"/>
        <v>26.449208799566275</v>
      </c>
      <c r="AD78" s="10"/>
      <c r="AE78" s="10"/>
      <c r="AF78" s="10"/>
    </row>
    <row r="79" spans="19:32" ht="15">
      <c r="S79" s="109"/>
      <c r="T79" s="109">
        <f t="shared" si="15"/>
        <v>33.258398061030377</v>
      </c>
      <c r="U79" s="109">
        <f t="shared" si="15"/>
        <v>-72.978893924298774</v>
      </c>
      <c r="V79" s="109">
        <f t="shared" si="15"/>
        <v>0</v>
      </c>
      <c r="W79" s="109"/>
      <c r="X79" s="109"/>
      <c r="Y79" s="120">
        <f t="shared" si="13"/>
        <v>56.21292299684805</v>
      </c>
      <c r="Z79" s="121">
        <f t="shared" si="14"/>
        <v>-43.819799758759409</v>
      </c>
    </row>
    <row r="80" spans="19:32" ht="15">
      <c r="S80" s="109"/>
      <c r="T80" s="109">
        <f t="shared" si="15"/>
        <v>-33.258398061030377</v>
      </c>
      <c r="U80" s="109">
        <f t="shared" si="15"/>
        <v>-72.978893924298774</v>
      </c>
      <c r="V80" s="109">
        <f t="shared" si="15"/>
        <v>0</v>
      </c>
      <c r="W80" s="109"/>
      <c r="X80" s="109"/>
      <c r="Y80" s="120">
        <f t="shared" si="13"/>
        <v>-6.2924194773731728</v>
      </c>
      <c r="Z80" s="121">
        <f t="shared" si="14"/>
        <v>-61.247375297171068</v>
      </c>
    </row>
    <row r="81" spans="19:26" ht="15">
      <c r="S81" s="109"/>
      <c r="T81" s="109">
        <f t="shared" si="15"/>
        <v>-79.83077510904775</v>
      </c>
      <c r="U81" s="109">
        <f t="shared" si="15"/>
        <v>7.6868293521219613</v>
      </c>
      <c r="V81" s="109">
        <f t="shared" si="15"/>
        <v>0</v>
      </c>
      <c r="W81" s="109"/>
      <c r="X81" s="109"/>
      <c r="Y81" s="120">
        <f t="shared" si="13"/>
        <v>-77.645440758324256</v>
      </c>
      <c r="Z81" s="121">
        <f t="shared" si="14"/>
        <v>-15.382537304075765</v>
      </c>
    </row>
    <row r="82" spans="19:26" ht="15">
      <c r="S82" s="109"/>
      <c r="T82" s="109">
        <f t="shared" si="15"/>
        <v>-46.57237704801738</v>
      </c>
      <c r="U82" s="109">
        <f t="shared" si="15"/>
        <v>65.292064572176798</v>
      </c>
      <c r="V82" s="109">
        <f t="shared" si="15"/>
        <v>0</v>
      </c>
      <c r="W82" s="109"/>
      <c r="X82" s="109"/>
      <c r="Y82" s="120">
        <f t="shared" si="13"/>
        <v>-66.094920327485667</v>
      </c>
      <c r="Z82" s="121">
        <f t="shared" si="14"/>
        <v>34.79816649760479</v>
      </c>
    </row>
    <row r="83" spans="19:26" ht="15">
      <c r="S83" s="109"/>
      <c r="T83" s="109">
        <f>T77</f>
        <v>46.57237704801738</v>
      </c>
      <c r="U83" s="109">
        <f>U77</f>
        <v>65.292064572176798</v>
      </c>
      <c r="V83" s="109">
        <f>V77</f>
        <v>0</v>
      </c>
      <c r="W83" s="109"/>
      <c r="X83" s="109"/>
      <c r="Y83" s="120">
        <f t="shared" si="13"/>
        <v>21.43251776147622</v>
      </c>
      <c r="Z83" s="121">
        <f t="shared" si="14"/>
        <v>59.202337062835163</v>
      </c>
    </row>
    <row r="84" spans="19:26" ht="15">
      <c r="S84" s="109"/>
      <c r="T84" s="109"/>
      <c r="U84" s="109"/>
      <c r="V84" s="109"/>
      <c r="W84" s="109"/>
      <c r="X84" s="109"/>
      <c r="Y84" s="109"/>
      <c r="Z84" s="109"/>
    </row>
    <row r="85" spans="19:26" ht="15">
      <c r="S85" s="109"/>
      <c r="T85" s="109"/>
      <c r="U85" s="109"/>
      <c r="V85" s="109"/>
      <c r="W85" s="109"/>
      <c r="X85" s="109"/>
      <c r="Y85" s="109"/>
      <c r="Z85" s="109"/>
    </row>
    <row r="86" spans="19:26" ht="15">
      <c r="S86" s="109"/>
      <c r="T86" s="109"/>
      <c r="U86" s="109"/>
      <c r="V86" s="109"/>
      <c r="W86" s="109"/>
      <c r="X86" s="109"/>
      <c r="Y86" s="109"/>
      <c r="Z86" s="109"/>
    </row>
    <row r="87" spans="19:26" ht="15">
      <c r="S87" s="109"/>
      <c r="T87" s="109"/>
      <c r="U87" s="109"/>
      <c r="V87" s="109"/>
      <c r="W87" s="109"/>
      <c r="X87" s="109"/>
      <c r="Y87" s="109"/>
      <c r="Z87" s="109"/>
    </row>
    <row r="88" spans="19:26" ht="15">
      <c r="S88" s="109" t="s">
        <v>29</v>
      </c>
      <c r="T88" s="109" t="s">
        <v>10</v>
      </c>
      <c r="U88" s="109" t="s">
        <v>11</v>
      </c>
      <c r="V88" s="109" t="s">
        <v>12</v>
      </c>
      <c r="W88" s="109"/>
      <c r="X88" s="109"/>
      <c r="Y88" s="109"/>
      <c r="Z88" s="109"/>
    </row>
    <row r="89" spans="19:26" ht="15">
      <c r="S89" s="109"/>
      <c r="T89" s="111">
        <f>-1*$H$8</f>
        <v>-200</v>
      </c>
      <c r="U89" s="112">
        <v>0</v>
      </c>
      <c r="V89" s="113">
        <v>0</v>
      </c>
      <c r="W89" s="116"/>
      <c r="X89" s="109"/>
      <c r="Y89" s="111">
        <f t="shared" ref="Y89:Y96" si="16">(T89*_RMX1)+(U89*_RMY1)+(V89*_RMZ1)</f>
        <v>-187.93852415718169</v>
      </c>
      <c r="Z89" s="113">
        <f t="shared" ref="Z89:Z96" si="17">(T89*_RMX2)+(U89*_RMY2)+(V89*_RMZ2)</f>
        <v>-52.400526045876973</v>
      </c>
    </row>
    <row r="90" spans="19:26" ht="15">
      <c r="S90" s="109"/>
      <c r="T90" s="115">
        <f>1*$H$8</f>
        <v>200</v>
      </c>
      <c r="U90" s="116">
        <v>0</v>
      </c>
      <c r="V90" s="117">
        <v>0</v>
      </c>
      <c r="W90" s="116"/>
      <c r="X90" s="109"/>
      <c r="Y90" s="115">
        <f t="shared" si="16"/>
        <v>187.93852415718169</v>
      </c>
      <c r="Z90" s="117">
        <f t="shared" si="17"/>
        <v>52.400526045876973</v>
      </c>
    </row>
    <row r="91" spans="19:26" ht="15">
      <c r="S91" s="109"/>
      <c r="T91" s="115"/>
      <c r="U91" s="116"/>
      <c r="V91" s="117"/>
      <c r="W91" s="116"/>
      <c r="X91" s="109"/>
      <c r="Y91" s="115">
        <f t="shared" si="16"/>
        <v>0</v>
      </c>
      <c r="Z91" s="117">
        <f t="shared" si="17"/>
        <v>0</v>
      </c>
    </row>
    <row r="92" spans="19:26" ht="15">
      <c r="S92" s="109"/>
      <c r="T92" s="115">
        <v>0</v>
      </c>
      <c r="U92" s="116">
        <f>-1*$H$8</f>
        <v>-200</v>
      </c>
      <c r="V92" s="117">
        <v>0</v>
      </c>
      <c r="W92" s="116"/>
      <c r="X92" s="109"/>
      <c r="Y92" s="115">
        <f t="shared" si="16"/>
        <v>68.404028665133737</v>
      </c>
      <c r="Z92" s="117">
        <f t="shared" si="17"/>
        <v>-143.96926207859079</v>
      </c>
    </row>
    <row r="93" spans="19:26" ht="15">
      <c r="S93" s="109"/>
      <c r="T93" s="115">
        <v>0</v>
      </c>
      <c r="U93" s="116">
        <f>1*$H$8</f>
        <v>200</v>
      </c>
      <c r="V93" s="117">
        <v>0</v>
      </c>
      <c r="W93" s="116"/>
      <c r="X93" s="109"/>
      <c r="Y93" s="115">
        <f t="shared" si="16"/>
        <v>-68.404028665133737</v>
      </c>
      <c r="Z93" s="117">
        <f t="shared" si="17"/>
        <v>143.96926207859079</v>
      </c>
    </row>
    <row r="94" spans="19:26" ht="15">
      <c r="S94" s="109"/>
      <c r="T94" s="115"/>
      <c r="U94" s="116"/>
      <c r="V94" s="117"/>
      <c r="W94" s="116"/>
      <c r="X94" s="109"/>
      <c r="Y94" s="115">
        <f t="shared" si="16"/>
        <v>0</v>
      </c>
      <c r="Z94" s="117">
        <f t="shared" si="17"/>
        <v>0</v>
      </c>
    </row>
    <row r="95" spans="19:26" ht="15">
      <c r="S95" s="109"/>
      <c r="T95" s="115">
        <v>0</v>
      </c>
      <c r="U95" s="116">
        <v>0</v>
      </c>
      <c r="V95" s="117">
        <f>-1*$H$8</f>
        <v>-200</v>
      </c>
      <c r="W95" s="116"/>
      <c r="X95" s="109"/>
      <c r="Y95" s="115">
        <f t="shared" si="16"/>
        <v>0</v>
      </c>
      <c r="Z95" s="117">
        <f t="shared" si="17"/>
        <v>-128.55752193730791</v>
      </c>
    </row>
    <row r="96" spans="19:26" ht="15">
      <c r="S96" s="109"/>
      <c r="T96" s="119">
        <v>0</v>
      </c>
      <c r="U96" s="120">
        <v>0</v>
      </c>
      <c r="V96" s="121">
        <f>1*$H$8</f>
        <v>200</v>
      </c>
      <c r="W96" s="116"/>
      <c r="X96" s="109"/>
      <c r="Y96" s="119">
        <f t="shared" si="16"/>
        <v>0</v>
      </c>
      <c r="Z96" s="121">
        <f t="shared" si="17"/>
        <v>128.55752193730791</v>
      </c>
    </row>
    <row r="97" spans="19:26" ht="15">
      <c r="S97" s="109"/>
      <c r="T97" s="109"/>
      <c r="U97" s="109"/>
      <c r="V97" s="109"/>
      <c r="W97" s="109"/>
      <c r="X97" s="109"/>
      <c r="Y97" s="109"/>
      <c r="Z97" s="109"/>
    </row>
    <row r="98" spans="19:26" ht="15">
      <c r="S98" s="109"/>
      <c r="T98" s="109"/>
      <c r="U98" s="109"/>
      <c r="V98" s="109"/>
      <c r="W98" s="109"/>
      <c r="X98" s="109"/>
      <c r="Y98" s="109"/>
      <c r="Z98" s="109"/>
    </row>
    <row r="99" spans="19:26" ht="15">
      <c r="S99" s="109"/>
      <c r="T99" s="109"/>
      <c r="U99" s="109"/>
      <c r="V99" s="109"/>
      <c r="W99" s="109"/>
      <c r="X99" s="109"/>
      <c r="Y99" s="109"/>
      <c r="Z99" s="109"/>
    </row>
    <row r="100" spans="19:26" ht="15">
      <c r="S100" s="116" t="s">
        <v>30</v>
      </c>
      <c r="T100" s="116" t="s">
        <v>10</v>
      </c>
      <c r="U100" s="116" t="s">
        <v>11</v>
      </c>
      <c r="V100" s="116" t="s">
        <v>12</v>
      </c>
      <c r="W100" s="116"/>
      <c r="X100" s="109"/>
      <c r="Y100" s="109"/>
      <c r="Z100" s="109"/>
    </row>
    <row r="101" spans="19:26" ht="15">
      <c r="S101" s="116"/>
      <c r="T101" s="111">
        <f>-1*$H$8</f>
        <v>-200</v>
      </c>
      <c r="U101" s="112">
        <f>-1*$H$8</f>
        <v>-200</v>
      </c>
      <c r="V101" s="113">
        <f>-1*$H$8</f>
        <v>-200</v>
      </c>
      <c r="W101" s="116"/>
      <c r="X101" s="109"/>
      <c r="Y101" s="111">
        <f t="shared" ref="Y101:Y110" si="18">(T101*_RMX1)+(U101*_RMY1)+(V101*_RMZ1)</f>
        <v>-119.53449549204795</v>
      </c>
      <c r="Z101" s="113">
        <f t="shared" ref="Z101:Z110" si="19">(T101*_RMX2)+(U101*_RMY2)+(V101*_RMZ2)</f>
        <v>-324.92731006177564</v>
      </c>
    </row>
    <row r="102" spans="19:26" ht="15">
      <c r="S102" s="116"/>
      <c r="T102" s="115">
        <f>1*$H$8</f>
        <v>200</v>
      </c>
      <c r="U102" s="116">
        <f>-1*$H$8</f>
        <v>-200</v>
      </c>
      <c r="V102" s="117">
        <f>-1*$H$8</f>
        <v>-200</v>
      </c>
      <c r="W102" s="116"/>
      <c r="X102" s="109"/>
      <c r="Y102" s="115">
        <f t="shared" si="18"/>
        <v>256.34255282231544</v>
      </c>
      <c r="Z102" s="117">
        <f t="shared" si="19"/>
        <v>-220.12625797002173</v>
      </c>
    </row>
    <row r="103" spans="19:26" ht="15">
      <c r="S103" s="116"/>
      <c r="T103" s="115">
        <f>1*$H$8</f>
        <v>200</v>
      </c>
      <c r="U103" s="116">
        <f>1*$H$8</f>
        <v>200</v>
      </c>
      <c r="V103" s="117">
        <f>-1*$H$8</f>
        <v>-200</v>
      </c>
      <c r="W103" s="116"/>
      <c r="X103" s="109"/>
      <c r="Y103" s="115">
        <f t="shared" si="18"/>
        <v>119.53449549204795</v>
      </c>
      <c r="Z103" s="117">
        <f t="shared" si="19"/>
        <v>67.81226618715985</v>
      </c>
    </row>
    <row r="104" spans="19:26" ht="15">
      <c r="S104" s="116"/>
      <c r="T104" s="115">
        <f>-1*$H$8</f>
        <v>-200</v>
      </c>
      <c r="U104" s="116">
        <f>1*$H$8</f>
        <v>200</v>
      </c>
      <c r="V104" s="117">
        <f>-1*$H$8</f>
        <v>-200</v>
      </c>
      <c r="W104" s="116"/>
      <c r="X104" s="109"/>
      <c r="Y104" s="115">
        <f t="shared" si="18"/>
        <v>-256.34255282231544</v>
      </c>
      <c r="Z104" s="117">
        <f t="shared" si="19"/>
        <v>-36.988785904594096</v>
      </c>
    </row>
    <row r="105" spans="19:26" ht="15">
      <c r="S105" s="116"/>
      <c r="T105" s="115">
        <f>-1*$H$8</f>
        <v>-200</v>
      </c>
      <c r="U105" s="116">
        <f>-1*$H$8</f>
        <v>-200</v>
      </c>
      <c r="V105" s="117">
        <f>-1*$H$8</f>
        <v>-200</v>
      </c>
      <c r="W105" s="116"/>
      <c r="X105" s="109"/>
      <c r="Y105" s="115">
        <f t="shared" si="18"/>
        <v>-119.53449549204795</v>
      </c>
      <c r="Z105" s="117">
        <f t="shared" si="19"/>
        <v>-324.92731006177564</v>
      </c>
    </row>
    <row r="106" spans="19:26" ht="15">
      <c r="S106" s="116"/>
      <c r="T106" s="115">
        <f>-1*$H$8</f>
        <v>-200</v>
      </c>
      <c r="U106" s="116">
        <f>-1*$H$8</f>
        <v>-200</v>
      </c>
      <c r="V106" s="117">
        <f>1*$H$8</f>
        <v>200</v>
      </c>
      <c r="W106" s="116"/>
      <c r="X106" s="109"/>
      <c r="Y106" s="115">
        <f t="shared" si="18"/>
        <v>-119.53449549204795</v>
      </c>
      <c r="Z106" s="117">
        <f t="shared" si="19"/>
        <v>-67.81226618715985</v>
      </c>
    </row>
    <row r="107" spans="19:26" ht="15">
      <c r="S107" s="116"/>
      <c r="T107" s="115">
        <f>1*$H$8</f>
        <v>200</v>
      </c>
      <c r="U107" s="116">
        <f>-1*$H$8</f>
        <v>-200</v>
      </c>
      <c r="V107" s="117">
        <f>1*$H$8</f>
        <v>200</v>
      </c>
      <c r="W107" s="116"/>
      <c r="X107" s="109"/>
      <c r="Y107" s="115">
        <f t="shared" si="18"/>
        <v>256.34255282231544</v>
      </c>
      <c r="Z107" s="117">
        <f t="shared" si="19"/>
        <v>36.988785904594096</v>
      </c>
    </row>
    <row r="108" spans="19:26" ht="15">
      <c r="S108" s="116"/>
      <c r="T108" s="115">
        <f>1*$H$8</f>
        <v>200</v>
      </c>
      <c r="U108" s="116">
        <f>1*$H$8</f>
        <v>200</v>
      </c>
      <c r="V108" s="117">
        <f>1*$H$8</f>
        <v>200</v>
      </c>
      <c r="W108" s="116"/>
      <c r="X108" s="109"/>
      <c r="Y108" s="115">
        <f t="shared" si="18"/>
        <v>119.53449549204795</v>
      </c>
      <c r="Z108" s="117">
        <f t="shared" si="19"/>
        <v>324.92731006177564</v>
      </c>
    </row>
    <row r="109" spans="19:26" ht="15">
      <c r="S109" s="116"/>
      <c r="T109" s="115">
        <f>-1*$H$8</f>
        <v>-200</v>
      </c>
      <c r="U109" s="116">
        <f>1*$H$8</f>
        <v>200</v>
      </c>
      <c r="V109" s="117">
        <f>1*$H$8</f>
        <v>200</v>
      </c>
      <c r="W109" s="116"/>
      <c r="X109" s="109"/>
      <c r="Y109" s="115">
        <f t="shared" si="18"/>
        <v>-256.34255282231544</v>
      </c>
      <c r="Z109" s="117">
        <f t="shared" si="19"/>
        <v>220.12625797002173</v>
      </c>
    </row>
    <row r="110" spans="19:26" ht="15">
      <c r="S110" s="116"/>
      <c r="T110" s="115">
        <f>-1*$H$8</f>
        <v>-200</v>
      </c>
      <c r="U110" s="116">
        <f>-1*$H$8</f>
        <v>-200</v>
      </c>
      <c r="V110" s="117">
        <f>1*$H$8</f>
        <v>200</v>
      </c>
      <c r="W110" s="116"/>
      <c r="X110" s="109"/>
      <c r="Y110" s="115">
        <f t="shared" si="18"/>
        <v>-119.53449549204795</v>
      </c>
      <c r="Z110" s="117">
        <f t="shared" si="19"/>
        <v>-67.81226618715985</v>
      </c>
    </row>
    <row r="111" spans="19:26" ht="15">
      <c r="S111" s="109"/>
      <c r="T111" s="115"/>
      <c r="U111" s="116"/>
      <c r="V111" s="117"/>
      <c r="W111" s="116"/>
      <c r="X111" s="109"/>
      <c r="Y111" s="115"/>
      <c r="Z111" s="117"/>
    </row>
    <row r="112" spans="19:26" ht="15">
      <c r="S112" s="109"/>
      <c r="T112" s="115">
        <f>-1*$H$8</f>
        <v>-200</v>
      </c>
      <c r="U112" s="116">
        <f>1*$H$8</f>
        <v>200</v>
      </c>
      <c r="V112" s="117">
        <f>1*$H$8</f>
        <v>200</v>
      </c>
      <c r="W112" s="116"/>
      <c r="X112" s="109"/>
      <c r="Y112" s="115">
        <f>(T112*_RMX1)+(U112*_RMY1)+(V112*_RMZ1)</f>
        <v>-256.34255282231544</v>
      </c>
      <c r="Z112" s="117">
        <f>(T112*_RMX2)+(U112*_RMY2)+(V112*_RMZ2)</f>
        <v>220.12625797002173</v>
      </c>
    </row>
    <row r="113" spans="19:26" ht="15">
      <c r="S113" s="109"/>
      <c r="T113" s="115">
        <f>-1*$H$8</f>
        <v>-200</v>
      </c>
      <c r="U113" s="116">
        <f>1*$H$8</f>
        <v>200</v>
      </c>
      <c r="V113" s="117">
        <f>-1*$H$8</f>
        <v>-200</v>
      </c>
      <c r="W113" s="116"/>
      <c r="X113" s="109"/>
      <c r="Y113" s="115">
        <f>(T113*_RMX1)+(U113*_RMY1)+(V113*_RMZ1)</f>
        <v>-256.34255282231544</v>
      </c>
      <c r="Z113" s="117">
        <f>(T113*_RMX2)+(U113*_RMY2)+(V113*_RMZ2)</f>
        <v>-36.988785904594096</v>
      </c>
    </row>
    <row r="114" spans="19:26" ht="15">
      <c r="S114" s="109"/>
      <c r="T114" s="115"/>
      <c r="U114" s="116"/>
      <c r="V114" s="117"/>
      <c r="W114" s="116"/>
      <c r="X114" s="109"/>
      <c r="Y114" s="115"/>
      <c r="Z114" s="117"/>
    </row>
    <row r="115" spans="19:26" ht="15">
      <c r="S115" s="109"/>
      <c r="T115" s="115">
        <f>1*$H$8</f>
        <v>200</v>
      </c>
      <c r="U115" s="116">
        <f>1*$H$8</f>
        <v>200</v>
      </c>
      <c r="V115" s="117">
        <f>-1*$H$8</f>
        <v>-200</v>
      </c>
      <c r="W115" s="116"/>
      <c r="X115" s="109"/>
      <c r="Y115" s="115">
        <f>(T115*_RMX1)+(U115*_RMY1)+(V115*_RMZ1)</f>
        <v>119.53449549204795</v>
      </c>
      <c r="Z115" s="117">
        <f>(T115*_RMX2)+(U115*_RMY2)+(V115*_RMZ2)</f>
        <v>67.81226618715985</v>
      </c>
    </row>
    <row r="116" spans="19:26" ht="15">
      <c r="S116" s="109"/>
      <c r="T116" s="115">
        <f>1*$H$8</f>
        <v>200</v>
      </c>
      <c r="U116" s="116">
        <f>1*$H$8</f>
        <v>200</v>
      </c>
      <c r="V116" s="117">
        <f>1*$H$8</f>
        <v>200</v>
      </c>
      <c r="W116" s="116"/>
      <c r="X116" s="109"/>
      <c r="Y116" s="115">
        <f>(T116*_RMX1)+(U116*_RMY1)+(V116*_RMZ1)</f>
        <v>119.53449549204795</v>
      </c>
      <c r="Z116" s="117">
        <f>(T116*_RMX2)+(U116*_RMY2)+(V116*_RMZ2)</f>
        <v>324.92731006177564</v>
      </c>
    </row>
    <row r="117" spans="19:26" ht="15">
      <c r="S117" s="109"/>
      <c r="T117" s="115"/>
      <c r="U117" s="116"/>
      <c r="V117" s="117"/>
      <c r="W117" s="116"/>
      <c r="X117" s="109"/>
      <c r="Y117" s="115"/>
      <c r="Z117" s="117"/>
    </row>
    <row r="118" spans="19:26" ht="15">
      <c r="S118" s="109"/>
      <c r="T118" s="115">
        <f>1*$H$8</f>
        <v>200</v>
      </c>
      <c r="U118" s="116">
        <f>-1*$H$8</f>
        <v>-200</v>
      </c>
      <c r="V118" s="117">
        <f>1*$H$8</f>
        <v>200</v>
      </c>
      <c r="W118" s="116"/>
      <c r="X118" s="109"/>
      <c r="Y118" s="115">
        <f>(T118*_RMX1)+(U118*_RMY1)+(V118*_RMZ1)</f>
        <v>256.34255282231544</v>
      </c>
      <c r="Z118" s="117">
        <f>(T118*_RMX2)+(U118*_RMY2)+(V118*_RMZ2)</f>
        <v>36.988785904594096</v>
      </c>
    </row>
    <row r="119" spans="19:26" ht="15">
      <c r="S119" s="109"/>
      <c r="T119" s="119">
        <f>1*$H$8</f>
        <v>200</v>
      </c>
      <c r="U119" s="120">
        <f>-1*$H$8</f>
        <v>-200</v>
      </c>
      <c r="V119" s="121">
        <f>-1*$H$8</f>
        <v>-200</v>
      </c>
      <c r="W119" s="116"/>
      <c r="X119" s="109"/>
      <c r="Y119" s="119">
        <f>(T119*_RMX1)+(U119*_RMY1)+(V119*_RMZ1)</f>
        <v>256.34255282231544</v>
      </c>
      <c r="Z119" s="121">
        <f>(T119*_RMX2)+(U119*_RMY2)+(V119*_RMZ2)</f>
        <v>-220.12625797002173</v>
      </c>
    </row>
  </sheetData>
  <phoneticPr fontId="12"/>
  <conditionalFormatting sqref="N4:N9">
    <cfRule type="containsText" dxfId="2" priority="1" operator="containsText" text="TRUE">
      <formula>NOT(ISERROR(SEARCH("TRUE",N4)))</formula>
    </cfRule>
  </conditionalFormatting>
  <hyperlinks>
    <hyperlink ref="M1" r:id="rId1"/>
  </hyperlinks>
  <pageMargins left="0.75" right="0.75" top="1" bottom="1" header="0.5" footer="0.5"/>
  <pageSetup paperSize="9" orientation="portrait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83" r:id="rId4" name="Button 11">
              <controlPr defaultSize="0" print="0" autoFill="0" autoPict="0" macro="[0]!AboutZ">
                <anchor moveWithCells="1" sizeWithCells="1">
                  <from>
                    <xdr:col>13</xdr:col>
                    <xdr:colOff>139700</xdr:colOff>
                    <xdr:row>17</xdr:row>
                    <xdr:rowOff>127000</xdr:rowOff>
                  </from>
                  <to>
                    <xdr:col>13</xdr:col>
                    <xdr:colOff>723900</xdr:colOff>
                    <xdr:row>19</xdr:row>
                    <xdr:rowOff>177800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3084" r:id="rId5" name="Button 12">
              <controlPr defaultSize="0" print="0" autoFill="0" autoPict="0" macro="[0]!AboutX">
                <anchor moveWithCells="1" sizeWithCells="1">
                  <from>
                    <xdr:col>14</xdr:col>
                    <xdr:colOff>139700</xdr:colOff>
                    <xdr:row>17</xdr:row>
                    <xdr:rowOff>139700</xdr:rowOff>
                  </from>
                  <to>
                    <xdr:col>14</xdr:col>
                    <xdr:colOff>723900</xdr:colOff>
                    <xdr:row>19</xdr:row>
                    <xdr:rowOff>190500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3085" r:id="rId6" name="Button 13">
              <controlPr defaultSize="0" print="0" autoFill="0" autoPict="0" macro="[0]!AboutY">
                <anchor moveWithCells="1" sizeWithCells="1">
                  <from>
                    <xdr:col>15</xdr:col>
                    <xdr:colOff>177800</xdr:colOff>
                    <xdr:row>17</xdr:row>
                    <xdr:rowOff>139700</xdr:rowOff>
                  </from>
                  <to>
                    <xdr:col>15</xdr:col>
                    <xdr:colOff>762000</xdr:colOff>
                    <xdr:row>19</xdr:row>
                    <xdr:rowOff>190500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3086" r:id="rId7" name="Button 14">
              <controlPr defaultSize="0" print="0" autoFill="0" autoPict="0" macro="[0]!ISO">
                <anchor moveWithCells="1" sizeWithCells="1">
                  <from>
                    <xdr:col>16</xdr:col>
                    <xdr:colOff>139700</xdr:colOff>
                    <xdr:row>17</xdr:row>
                    <xdr:rowOff>152400</xdr:rowOff>
                  </from>
                  <to>
                    <xdr:col>16</xdr:col>
                    <xdr:colOff>723900</xdr:colOff>
                    <xdr:row>19</xdr:row>
                    <xdr:rowOff>190500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3087" r:id="rId8" name="Button 15">
              <controlPr defaultSize="0" print="0" autoFill="0" autoPict="0" macro="[0]!HomePlatform">
                <anchor moveWithCells="1" sizeWithCells="1">
                  <from>
                    <xdr:col>6</xdr:col>
                    <xdr:colOff>990600</xdr:colOff>
                    <xdr:row>31</xdr:row>
                    <xdr:rowOff>152400</xdr:rowOff>
                  </from>
                  <to>
                    <xdr:col>8</xdr:col>
                    <xdr:colOff>152400</xdr:colOff>
                    <xdr:row>34</xdr:row>
                    <xdr:rowOff>50800</xdr:rowOff>
                  </to>
                </anchor>
              </controlPr>
            </control>
          </mc:Choice>
          <mc:Fallback/>
        </mc:AlternateContent>
      </controls>
    </mc:Choice>
    <mc:Fallback/>
  </mc:AlternateContent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B1:AC56"/>
  <sheetViews>
    <sheetView tabSelected="1" topLeftCell="E1" zoomScale="94" workbookViewId="0">
      <selection activeCell="S9" sqref="S9"/>
    </sheetView>
  </sheetViews>
  <sheetFormatPr baseColWidth="10" defaultColWidth="9" defaultRowHeight="15" x14ac:dyDescent="0"/>
  <cols>
    <col min="1" max="1" width="3" style="49" customWidth="1"/>
    <col min="2" max="2" width="5.140625" style="49" customWidth="1"/>
    <col min="3" max="3" width="15.140625" style="49" bestFit="1" customWidth="1"/>
    <col min="4" max="4" width="14.5703125" style="49" bestFit="1" customWidth="1"/>
    <col min="5" max="6" width="8.140625" style="49" bestFit="1" customWidth="1"/>
    <col min="7" max="7" width="3.5703125" style="49" customWidth="1"/>
    <col min="8" max="8" width="4" style="49" customWidth="1"/>
    <col min="9" max="10" width="9.5703125" style="49" customWidth="1"/>
    <col min="11" max="11" width="9.5703125" style="50" customWidth="1"/>
    <col min="12" max="12" width="3.42578125" style="50" customWidth="1"/>
    <col min="13" max="13" width="3" style="50" customWidth="1"/>
    <col min="14" max="14" width="9" style="50" bestFit="1" customWidth="1"/>
    <col min="15" max="15" width="16.85546875" style="50" bestFit="1" customWidth="1"/>
    <col min="16" max="16" width="2.85546875" style="50" customWidth="1"/>
    <col min="17" max="17" width="54.140625" style="49" bestFit="1" customWidth="1"/>
    <col min="18" max="18" width="28" style="49" customWidth="1"/>
    <col min="19" max="19" width="12.42578125" style="49" bestFit="1" customWidth="1"/>
    <col min="20" max="20" width="9" style="49"/>
    <col min="21" max="23" width="11.42578125" style="49" customWidth="1"/>
    <col min="24" max="24" width="12.85546875" style="49" customWidth="1"/>
    <col min="25" max="25" width="11.42578125" style="49" customWidth="1"/>
    <col min="26" max="26" width="17" style="49" customWidth="1"/>
    <col min="27" max="16384" width="9" style="49"/>
  </cols>
  <sheetData>
    <row r="1" spans="2:29" ht="16" thickBot="1">
      <c r="B1" s="48"/>
      <c r="C1" s="48"/>
      <c r="D1" s="48"/>
      <c r="E1" s="48"/>
      <c r="F1" s="48"/>
      <c r="G1" s="48"/>
      <c r="H1" s="48"/>
    </row>
    <row r="2" spans="2:29">
      <c r="B2" s="51" t="s">
        <v>14</v>
      </c>
      <c r="C2" s="52"/>
      <c r="D2" s="52"/>
      <c r="E2" s="52"/>
      <c r="F2" s="53"/>
      <c r="G2" s="48"/>
      <c r="H2" s="54" t="s">
        <v>61</v>
      </c>
      <c r="I2" s="52"/>
      <c r="J2" s="52"/>
      <c r="K2" s="55"/>
      <c r="L2" s="60"/>
      <c r="M2" s="60"/>
      <c r="O2" s="56" t="s">
        <v>88</v>
      </c>
      <c r="P2" s="49"/>
      <c r="Q2" s="51" t="s">
        <v>82</v>
      </c>
      <c r="R2" s="126" t="s">
        <v>118</v>
      </c>
      <c r="S2" s="57">
        <v>45.25</v>
      </c>
      <c r="T2" s="52"/>
      <c r="U2" s="52"/>
      <c r="V2" s="52"/>
      <c r="W2" s="52"/>
      <c r="X2" s="53"/>
      <c r="Z2" s="49" t="s">
        <v>98</v>
      </c>
    </row>
    <row r="3" spans="2:29" ht="16" thickBot="1">
      <c r="B3" s="58"/>
      <c r="C3" s="48"/>
      <c r="D3" s="48"/>
      <c r="E3" s="48"/>
      <c r="F3" s="59"/>
      <c r="G3" s="48"/>
      <c r="H3" s="58"/>
      <c r="I3" s="60" t="s">
        <v>10</v>
      </c>
      <c r="J3" s="60" t="s">
        <v>11</v>
      </c>
      <c r="K3" s="61" t="s">
        <v>12</v>
      </c>
      <c r="L3" s="60"/>
      <c r="M3" s="60"/>
      <c r="O3" s="62" t="s">
        <v>89</v>
      </c>
      <c r="P3" s="49"/>
      <c r="Q3" s="58" t="s">
        <v>111</v>
      </c>
      <c r="R3" s="48" t="s">
        <v>1</v>
      </c>
      <c r="S3" s="63">
        <v>-60</v>
      </c>
      <c r="T3" s="64">
        <v>120</v>
      </c>
      <c r="U3" s="64">
        <v>180</v>
      </c>
      <c r="V3" s="64">
        <v>0</v>
      </c>
      <c r="W3" s="64">
        <v>60</v>
      </c>
      <c r="X3" s="65">
        <v>-120</v>
      </c>
    </row>
    <row r="4" spans="2:29">
      <c r="B4" s="58" t="s">
        <v>4</v>
      </c>
      <c r="C4" s="48" t="s">
        <v>94</v>
      </c>
      <c r="D4" s="48" t="s">
        <v>97</v>
      </c>
      <c r="E4" s="48" t="s">
        <v>95</v>
      </c>
      <c r="F4" s="59" t="s">
        <v>96</v>
      </c>
      <c r="G4" s="48"/>
      <c r="H4" s="66">
        <v>1</v>
      </c>
      <c r="I4" s="67">
        <f t="shared" ref="I4:I9" si="0">E5*COS($W$10)*COS($X$10)+F5*(SIN($V$10)*SIN($W$10)*COS($W$10)-COS($V$10)*SIN($X$10))+$S$10</f>
        <v>12.730097410276381</v>
      </c>
      <c r="J4" s="67">
        <f t="shared" ref="J4:J9" si="1">E5*COS($W$10)*SIN($X$10)+F5*(COS($V$10)*COS($X$10)+SIN($V$10)*SIN($W$10)*SIN($X$10))+$T$10</f>
        <v>48.352296945697155</v>
      </c>
      <c r="K4" s="68">
        <f t="shared" ref="K4:K9" si="2">-E5*SIN($W$10)+F5*SIN($V$10)*COS($W$10)+$S$9+$U$10</f>
        <v>148</v>
      </c>
      <c r="L4" s="67"/>
      <c r="M4" s="67"/>
      <c r="N4" s="69"/>
      <c r="O4" s="70" t="s">
        <v>90</v>
      </c>
      <c r="P4" s="49"/>
      <c r="Q4" s="58" t="s">
        <v>81</v>
      </c>
      <c r="R4" s="127" t="s">
        <v>119</v>
      </c>
      <c r="S4" s="70">
        <v>24.5</v>
      </c>
      <c r="T4" s="48"/>
      <c r="U4" s="48"/>
      <c r="V4" s="48"/>
      <c r="W4" s="48"/>
      <c r="X4" s="59"/>
      <c r="Z4" s="38" t="s">
        <v>60</v>
      </c>
      <c r="AA4" s="39" t="s">
        <v>10</v>
      </c>
      <c r="AB4" s="39" t="s">
        <v>11</v>
      </c>
      <c r="AC4" s="40" t="s">
        <v>12</v>
      </c>
    </row>
    <row r="5" spans="2:29">
      <c r="B5" s="58">
        <f>RD</f>
        <v>50</v>
      </c>
      <c r="C5" s="87">
        <f>RADIANS(30)</f>
        <v>0.52359877559829882</v>
      </c>
      <c r="D5" s="87">
        <f>C5+RADIANS(PHIL)</f>
        <v>1.313360262125733</v>
      </c>
      <c r="E5" s="87">
        <f>$S$5*COS(D5)</f>
        <v>12.730097410276381</v>
      </c>
      <c r="F5" s="88">
        <f t="shared" ref="F5:F10" si="3">$S$5*SIN(D5)</f>
        <v>48.352296945697155</v>
      </c>
      <c r="G5" s="48"/>
      <c r="H5" s="66">
        <v>2</v>
      </c>
      <c r="I5" s="67">
        <f t="shared" si="0"/>
        <v>48.239366191440645</v>
      </c>
      <c r="J5" s="67">
        <f t="shared" si="1"/>
        <v>-13.151560722898745</v>
      </c>
      <c r="K5" s="68">
        <f t="shared" si="2"/>
        <v>148</v>
      </c>
      <c r="L5" s="67"/>
      <c r="M5" s="67"/>
      <c r="N5" s="69"/>
      <c r="O5" s="71" t="s">
        <v>107</v>
      </c>
      <c r="P5" s="49"/>
      <c r="Q5" s="58" t="s">
        <v>80</v>
      </c>
      <c r="R5" s="128" t="s">
        <v>120</v>
      </c>
      <c r="S5" s="70">
        <v>50</v>
      </c>
      <c r="T5" s="48"/>
      <c r="U5" s="48"/>
      <c r="V5" s="48"/>
      <c r="W5" s="48"/>
      <c r="X5" s="59"/>
      <c r="Z5" s="41">
        <v>1</v>
      </c>
      <c r="AA5" s="42">
        <f t="shared" ref="AA5:AB10" si="4">E14</f>
        <v>46.57237704801738</v>
      </c>
      <c r="AB5" s="43">
        <f t="shared" si="4"/>
        <v>65.292064572176798</v>
      </c>
      <c r="AC5" s="44">
        <v>0</v>
      </c>
    </row>
    <row r="6" spans="2:29">
      <c r="B6" s="58">
        <f>RD</f>
        <v>50</v>
      </c>
      <c r="C6" s="87">
        <f>RADIANS(30)</f>
        <v>0.52359877559829882</v>
      </c>
      <c r="D6" s="87">
        <f>C6-RADIANS(PHIL)</f>
        <v>-0.26616271092913535</v>
      </c>
      <c r="E6" s="87">
        <f>$S$5*COS(D6)</f>
        <v>48.239366191440645</v>
      </c>
      <c r="F6" s="88">
        <f t="shared" si="3"/>
        <v>-13.151560722898745</v>
      </c>
      <c r="G6" s="48"/>
      <c r="H6" s="66">
        <v>3</v>
      </c>
      <c r="I6" s="67">
        <f t="shared" si="0"/>
        <v>35.509268781164273</v>
      </c>
      <c r="J6" s="67">
        <f t="shared" si="1"/>
        <v>-35.200736222798412</v>
      </c>
      <c r="K6" s="68">
        <f t="shared" si="2"/>
        <v>148</v>
      </c>
      <c r="L6" s="67"/>
      <c r="M6" s="67"/>
      <c r="N6" s="69"/>
      <c r="O6" s="69"/>
      <c r="P6" s="49"/>
      <c r="Q6" s="58" t="s">
        <v>79</v>
      </c>
      <c r="R6" s="128" t="s">
        <v>121</v>
      </c>
      <c r="S6" s="70">
        <v>80.2</v>
      </c>
      <c r="T6" s="48"/>
      <c r="U6" s="48"/>
      <c r="V6" s="48"/>
      <c r="W6" s="48"/>
      <c r="X6" s="59"/>
      <c r="Z6" s="41">
        <v>2</v>
      </c>
      <c r="AA6" s="42">
        <f t="shared" si="4"/>
        <v>79.83077510904775</v>
      </c>
      <c r="AB6" s="43">
        <f t="shared" si="4"/>
        <v>7.6868293521219613</v>
      </c>
      <c r="AC6" s="44">
        <v>0</v>
      </c>
    </row>
    <row r="7" spans="2:29">
      <c r="B7" s="58">
        <f>RD</f>
        <v>50</v>
      </c>
      <c r="C7" s="87">
        <f>RADIANS(-90)</f>
        <v>-1.5707963267948966</v>
      </c>
      <c r="D7" s="87">
        <f>C7+RADIANS(PHIL)</f>
        <v>-0.78103484026746239</v>
      </c>
      <c r="E7" s="87">
        <f>$S$5*COS(D7)</f>
        <v>35.509268781164273</v>
      </c>
      <c r="F7" s="88">
        <f t="shared" si="3"/>
        <v>-35.200736222798412</v>
      </c>
      <c r="G7" s="48"/>
      <c r="H7" s="66">
        <v>4</v>
      </c>
      <c r="I7" s="67">
        <f t="shared" si="0"/>
        <v>-35.509268781164273</v>
      </c>
      <c r="J7" s="67">
        <f t="shared" si="1"/>
        <v>-35.200736222798412</v>
      </c>
      <c r="K7" s="68">
        <f t="shared" si="2"/>
        <v>148</v>
      </c>
      <c r="L7" s="67"/>
      <c r="M7" s="67"/>
      <c r="N7" s="69"/>
      <c r="O7" s="69"/>
      <c r="P7" s="49"/>
      <c r="Q7" s="58" t="s">
        <v>83</v>
      </c>
      <c r="R7" s="130" t="s">
        <v>122</v>
      </c>
      <c r="S7" s="70">
        <v>25</v>
      </c>
      <c r="T7" s="48"/>
      <c r="U7" s="48"/>
      <c r="V7" s="48"/>
      <c r="W7" s="48"/>
      <c r="X7" s="59"/>
      <c r="Z7" s="41">
        <v>3</v>
      </c>
      <c r="AA7" s="42">
        <f t="shared" si="4"/>
        <v>33.258398061030377</v>
      </c>
      <c r="AB7" s="43">
        <f t="shared" si="4"/>
        <v>-72.978893924298774</v>
      </c>
      <c r="AC7" s="44">
        <v>0</v>
      </c>
    </row>
    <row r="8" spans="2:29">
      <c r="B8" s="58">
        <f>-RD</f>
        <v>-50</v>
      </c>
      <c r="C8" s="87">
        <f>RADIANS(-90)</f>
        <v>-1.5707963267948966</v>
      </c>
      <c r="D8" s="87">
        <f>C8+RADIANS(PHIL)</f>
        <v>-0.78103484026746239</v>
      </c>
      <c r="E8" s="87">
        <f>-$S$5*COS(D8)</f>
        <v>-35.509268781164273</v>
      </c>
      <c r="F8" s="88">
        <f t="shared" si="3"/>
        <v>-35.200736222798412</v>
      </c>
      <c r="G8" s="48"/>
      <c r="H8" s="66">
        <v>5</v>
      </c>
      <c r="I8" s="67">
        <f t="shared" si="0"/>
        <v>-48.239366191440645</v>
      </c>
      <c r="J8" s="67">
        <f t="shared" si="1"/>
        <v>-13.151560722898745</v>
      </c>
      <c r="K8" s="68">
        <f t="shared" si="2"/>
        <v>148</v>
      </c>
      <c r="L8" s="67"/>
      <c r="M8" s="67"/>
      <c r="N8" s="69"/>
      <c r="O8" s="69"/>
      <c r="P8" s="49"/>
      <c r="Q8" s="58" t="s">
        <v>84</v>
      </c>
      <c r="R8" s="130" t="s">
        <v>123</v>
      </c>
      <c r="S8" s="70">
        <v>155</v>
      </c>
      <c r="T8" s="48"/>
      <c r="U8" s="48"/>
      <c r="V8" s="48"/>
      <c r="W8" s="48"/>
      <c r="X8" s="59"/>
      <c r="Z8" s="41">
        <v>4</v>
      </c>
      <c r="AA8" s="42">
        <f t="shared" si="4"/>
        <v>-33.258398061030377</v>
      </c>
      <c r="AB8" s="43">
        <f t="shared" si="4"/>
        <v>-72.978893924298774</v>
      </c>
      <c r="AC8" s="44">
        <v>0</v>
      </c>
    </row>
    <row r="9" spans="2:29" ht="16" thickBot="1">
      <c r="B9" s="58">
        <f>-RD</f>
        <v>-50</v>
      </c>
      <c r="C9" s="87">
        <f>RADIANS(30)</f>
        <v>0.52359877559829882</v>
      </c>
      <c r="D9" s="87">
        <f>C9-RADIANS(PHIL)</f>
        <v>-0.26616271092913535</v>
      </c>
      <c r="E9" s="87">
        <f>-$S$5*COS(D9)</f>
        <v>-48.239366191440645</v>
      </c>
      <c r="F9" s="88">
        <f t="shared" si="3"/>
        <v>-13.151560722898745</v>
      </c>
      <c r="G9" s="48"/>
      <c r="H9" s="72">
        <v>6</v>
      </c>
      <c r="I9" s="73">
        <f t="shared" si="0"/>
        <v>-12.730097410276381</v>
      </c>
      <c r="J9" s="73">
        <f t="shared" si="1"/>
        <v>48.352296945697155</v>
      </c>
      <c r="K9" s="74">
        <f t="shared" si="2"/>
        <v>148</v>
      </c>
      <c r="L9" s="67"/>
      <c r="M9" s="67"/>
      <c r="N9" s="69"/>
      <c r="O9" s="69"/>
      <c r="P9" s="49"/>
      <c r="Q9" s="58" t="s">
        <v>8</v>
      </c>
      <c r="R9" s="48" t="s">
        <v>7</v>
      </c>
      <c r="S9" s="75">
        <v>148</v>
      </c>
      <c r="T9" s="48"/>
      <c r="U9" s="48"/>
      <c r="V9" s="48"/>
      <c r="W9" s="48"/>
      <c r="X9" s="59"/>
      <c r="Z9" s="41">
        <v>5</v>
      </c>
      <c r="AA9" s="42">
        <f t="shared" si="4"/>
        <v>-79.83077510904775</v>
      </c>
      <c r="AB9" s="43">
        <f t="shared" si="4"/>
        <v>7.6868293521219613</v>
      </c>
      <c r="AC9" s="44">
        <v>0</v>
      </c>
    </row>
    <row r="10" spans="2:29" ht="16" thickBot="1">
      <c r="B10" s="76">
        <f>-RD</f>
        <v>-50</v>
      </c>
      <c r="C10" s="98">
        <f>RADIANS(30)</f>
        <v>0.52359877559829882</v>
      </c>
      <c r="D10" s="98">
        <f>C10+RADIANS(PHIL)</f>
        <v>1.313360262125733</v>
      </c>
      <c r="E10" s="98">
        <f>-$S$5*COS(D10)</f>
        <v>-12.730097410276381</v>
      </c>
      <c r="F10" s="99">
        <f t="shared" si="3"/>
        <v>48.352296945697155</v>
      </c>
      <c r="G10" s="48"/>
      <c r="H10" s="60"/>
      <c r="I10" s="100">
        <f>I4</f>
        <v>12.730097410276381</v>
      </c>
      <c r="J10" s="100">
        <f t="shared" ref="J10" si="5">J4</f>
        <v>48.352296945697155</v>
      </c>
      <c r="K10" s="67"/>
      <c r="L10" s="67"/>
      <c r="M10" s="67"/>
      <c r="N10" s="69"/>
      <c r="O10" s="69"/>
      <c r="P10" s="49"/>
      <c r="Q10" s="58" t="s">
        <v>9</v>
      </c>
      <c r="R10" s="48" t="s">
        <v>13</v>
      </c>
      <c r="S10" s="78">
        <f>S14</f>
        <v>0</v>
      </c>
      <c r="T10" s="78">
        <f>T14</f>
        <v>0</v>
      </c>
      <c r="U10" s="78">
        <f>U14</f>
        <v>0</v>
      </c>
      <c r="V10" s="78">
        <f>V14*(PI()/180)</f>
        <v>0</v>
      </c>
      <c r="W10" s="78">
        <f t="shared" ref="W10:X10" si="6">W14*(PI()/180)</f>
        <v>0</v>
      </c>
      <c r="X10" s="108">
        <f t="shared" si="6"/>
        <v>0</v>
      </c>
      <c r="Z10" s="41">
        <v>6</v>
      </c>
      <c r="AA10" s="42">
        <f t="shared" si="4"/>
        <v>-46.57237704801738</v>
      </c>
      <c r="AB10" s="43">
        <f t="shared" si="4"/>
        <v>65.292064572176798</v>
      </c>
      <c r="AC10" s="44">
        <v>0</v>
      </c>
    </row>
    <row r="11" spans="2:29" ht="16" thickBot="1">
      <c r="B11" s="48"/>
      <c r="C11" s="48"/>
      <c r="D11" s="48"/>
      <c r="E11" s="48"/>
      <c r="F11" s="48"/>
      <c r="G11" s="48"/>
      <c r="H11" s="50"/>
      <c r="I11" s="69"/>
      <c r="J11" s="69"/>
      <c r="K11" s="69"/>
      <c r="L11" s="69"/>
      <c r="M11" s="69"/>
      <c r="N11" s="69"/>
      <c r="O11" s="69"/>
      <c r="P11" s="49"/>
      <c r="Q11" s="76"/>
      <c r="R11" s="77"/>
      <c r="S11" s="79"/>
      <c r="T11" s="79"/>
      <c r="U11" s="79"/>
      <c r="V11" s="79"/>
      <c r="W11" s="79"/>
      <c r="X11" s="80"/>
      <c r="Z11" s="45"/>
      <c r="AA11" s="46"/>
      <c r="AB11" s="46"/>
      <c r="AC11" s="47"/>
    </row>
    <row r="12" spans="2:29" ht="16" thickBot="1">
      <c r="B12" s="51" t="s">
        <v>15</v>
      </c>
      <c r="C12" s="52"/>
      <c r="D12" s="52"/>
      <c r="E12" s="52"/>
      <c r="F12" s="53"/>
      <c r="G12" s="48"/>
      <c r="H12" s="54" t="s">
        <v>62</v>
      </c>
      <c r="I12" s="81"/>
      <c r="J12" s="81"/>
      <c r="K12" s="82"/>
      <c r="L12" s="67"/>
      <c r="M12" s="67"/>
      <c r="N12" s="69"/>
      <c r="O12" s="69"/>
      <c r="P12" s="49"/>
      <c r="Q12" s="48"/>
      <c r="R12" s="48"/>
      <c r="S12" s="48"/>
      <c r="T12" s="48"/>
      <c r="U12" s="48"/>
      <c r="V12" s="48"/>
      <c r="W12" s="48"/>
      <c r="X12" s="48"/>
    </row>
    <row r="13" spans="2:29">
      <c r="B13" s="58" t="s">
        <v>3</v>
      </c>
      <c r="C13" s="48" t="s">
        <v>94</v>
      </c>
      <c r="D13" s="48" t="s">
        <v>97</v>
      </c>
      <c r="E13" s="48" t="s">
        <v>95</v>
      </c>
      <c r="F13" s="59" t="s">
        <v>96</v>
      </c>
      <c r="G13" s="48"/>
      <c r="H13" s="58"/>
      <c r="I13" s="67" t="s">
        <v>10</v>
      </c>
      <c r="J13" s="67" t="s">
        <v>11</v>
      </c>
      <c r="K13" s="68" t="s">
        <v>12</v>
      </c>
      <c r="L13" s="67"/>
      <c r="M13" s="67"/>
      <c r="N13" s="69"/>
      <c r="O13" s="69"/>
      <c r="P13" s="49"/>
      <c r="R13" s="48"/>
      <c r="S13" s="51" t="s">
        <v>104</v>
      </c>
      <c r="T13" s="52" t="s">
        <v>105</v>
      </c>
      <c r="U13" s="52" t="s">
        <v>106</v>
      </c>
      <c r="V13" s="106" t="s">
        <v>112</v>
      </c>
      <c r="W13" s="106" t="s">
        <v>113</v>
      </c>
      <c r="X13" s="107" t="s">
        <v>114</v>
      </c>
      <c r="Z13" s="38" t="s">
        <v>59</v>
      </c>
      <c r="AA13" s="39" t="s">
        <v>10</v>
      </c>
      <c r="AB13" s="39" t="s">
        <v>11</v>
      </c>
      <c r="AC13" s="40" t="s">
        <v>12</v>
      </c>
    </row>
    <row r="14" spans="2:29" ht="16" thickBot="1">
      <c r="B14" s="58">
        <f>$S$6</f>
        <v>80.2</v>
      </c>
      <c r="C14" s="87">
        <f>PI()/6</f>
        <v>0.52359877559829882</v>
      </c>
      <c r="D14" s="87">
        <f>C14+RADIANS(S4)</f>
        <v>0.95120444233690948</v>
      </c>
      <c r="E14" s="87">
        <f t="shared" ref="E14:E19" si="7">B14*COS(D14)</f>
        <v>46.57237704801738</v>
      </c>
      <c r="F14" s="88">
        <f>B14*SIN(D14)</f>
        <v>65.292064572176798</v>
      </c>
      <c r="G14" s="48"/>
      <c r="H14" s="66">
        <v>1</v>
      </c>
      <c r="I14" s="67">
        <f t="shared" ref="I14:J19" si="8">E14-I4</f>
        <v>33.842279637741001</v>
      </c>
      <c r="J14" s="67">
        <f t="shared" si="8"/>
        <v>16.939767626479643</v>
      </c>
      <c r="K14" s="68">
        <f t="shared" ref="K14:K19" si="9">K4</f>
        <v>148</v>
      </c>
      <c r="L14" s="67"/>
      <c r="M14" s="67"/>
      <c r="N14" s="69"/>
      <c r="O14" s="69"/>
      <c r="P14" s="49"/>
      <c r="R14" s="48"/>
      <c r="S14" s="83">
        <v>0</v>
      </c>
      <c r="T14" s="84">
        <v>0</v>
      </c>
      <c r="U14" s="84">
        <v>0</v>
      </c>
      <c r="V14" s="84">
        <v>0</v>
      </c>
      <c r="W14" s="84">
        <v>0</v>
      </c>
      <c r="X14" s="85">
        <v>0</v>
      </c>
      <c r="Z14" s="41">
        <v>1</v>
      </c>
      <c r="AA14" s="43">
        <f>$S$7*COS(-$N$23)*COS($S$3*PI()/180)+E14</f>
        <v>59.072105277502601</v>
      </c>
      <c r="AB14" s="43">
        <f>$S$7*COS(-$N$23)*SIN($S$3*PI()/180)+F14</f>
        <v>43.641900197905443</v>
      </c>
      <c r="AC14" s="44">
        <f>-$S$7*SIN(-$N$23)</f>
        <v>0.1648537413638716</v>
      </c>
    </row>
    <row r="15" spans="2:29">
      <c r="B15" s="58">
        <f>$S$6</f>
        <v>80.2</v>
      </c>
      <c r="C15" s="87">
        <f>PI()/6</f>
        <v>0.52359877559829882</v>
      </c>
      <c r="D15" s="87">
        <f>C15-RADIANS(S4)</f>
        <v>9.5993108859688092E-2</v>
      </c>
      <c r="E15" s="87">
        <f t="shared" si="7"/>
        <v>79.83077510904775</v>
      </c>
      <c r="F15" s="88">
        <f>B15*SIN(D15)</f>
        <v>7.6868293521219613</v>
      </c>
      <c r="G15" s="48"/>
      <c r="H15" s="66">
        <v>2</v>
      </c>
      <c r="I15" s="67">
        <f t="shared" si="8"/>
        <v>31.591408917607104</v>
      </c>
      <c r="J15" s="67">
        <f t="shared" si="8"/>
        <v>20.838390075020705</v>
      </c>
      <c r="K15" s="68">
        <f t="shared" si="9"/>
        <v>148</v>
      </c>
      <c r="L15" s="67"/>
      <c r="M15" s="67"/>
      <c r="N15" s="69"/>
      <c r="O15" s="69"/>
      <c r="P15" s="49"/>
      <c r="R15" s="86" t="s">
        <v>91</v>
      </c>
      <c r="S15" s="48">
        <v>-55</v>
      </c>
      <c r="T15" s="48">
        <v>-70</v>
      </c>
      <c r="U15" s="48">
        <v>-22</v>
      </c>
      <c r="V15" s="48">
        <v>-29</v>
      </c>
      <c r="W15" s="48">
        <v>-30</v>
      </c>
      <c r="X15" s="48">
        <v>-69</v>
      </c>
      <c r="Z15" s="41">
        <v>2</v>
      </c>
      <c r="AA15" s="43">
        <f>$S$7*COS(-$N$24)*COS($T$3*PI()/180)+E15</f>
        <v>67.331046879562535</v>
      </c>
      <c r="AB15" s="43">
        <f>$S$7*COS(-$N$24)*SIN($T$3*PI()/180)+F15</f>
        <v>29.33699372639332</v>
      </c>
      <c r="AC15" s="44">
        <f>-$S$7*SIN(-$N$24)</f>
        <v>0.16485374136386982</v>
      </c>
    </row>
    <row r="16" spans="2:29">
      <c r="B16" s="58">
        <f>$S$6</f>
        <v>80.2</v>
      </c>
      <c r="C16" s="87">
        <f>-PI()/2</f>
        <v>-1.5707963267948966</v>
      </c>
      <c r="D16" s="87">
        <f>C16+RADIANS(S4)</f>
        <v>-1.1431906600562858</v>
      </c>
      <c r="E16" s="87">
        <f t="shared" si="7"/>
        <v>33.258398061030377</v>
      </c>
      <c r="F16" s="88">
        <f>B16*SIN(D16)</f>
        <v>-72.978893924298774</v>
      </c>
      <c r="G16" s="48"/>
      <c r="H16" s="66">
        <v>3</v>
      </c>
      <c r="I16" s="67">
        <f t="shared" si="8"/>
        <v>-2.2508707201338964</v>
      </c>
      <c r="J16" s="67">
        <f t="shared" si="8"/>
        <v>-37.778157701500362</v>
      </c>
      <c r="K16" s="68">
        <f t="shared" si="9"/>
        <v>148</v>
      </c>
      <c r="L16" s="67"/>
      <c r="M16" s="67"/>
      <c r="N16" s="69"/>
      <c r="O16" s="69"/>
      <c r="P16" s="49"/>
      <c r="R16" s="86" t="s">
        <v>93</v>
      </c>
      <c r="S16" s="48">
        <f t="shared" ref="S16:X16" si="10">S15+(S17-S15)/2</f>
        <v>0</v>
      </c>
      <c r="T16" s="48">
        <f t="shared" si="10"/>
        <v>-7.5</v>
      </c>
      <c r="U16" s="48">
        <f t="shared" si="10"/>
        <v>1.5</v>
      </c>
      <c r="V16" s="48">
        <f t="shared" si="10"/>
        <v>1.5</v>
      </c>
      <c r="W16" s="48">
        <f t="shared" si="10"/>
        <v>0</v>
      </c>
      <c r="X16" s="48">
        <f t="shared" si="10"/>
        <v>0</v>
      </c>
      <c r="Z16" s="41">
        <v>3</v>
      </c>
      <c r="AA16" s="43">
        <f>$S$7*COS(-$N$25)*COS($U$3*PI()/180)+E16</f>
        <v>8.2589416020599487</v>
      </c>
      <c r="AB16" s="43">
        <f>$S$7*COS(-$N$25)*SIN($U$3*PI()/180)+F16</f>
        <v>-72.978893924298774</v>
      </c>
      <c r="AC16" s="44">
        <f>-$S$7*SIN(-$N$25)</f>
        <v>0.16485374136386843</v>
      </c>
    </row>
    <row r="17" spans="2:29">
      <c r="B17" s="58">
        <f>$S$6*-1</f>
        <v>-80.2</v>
      </c>
      <c r="C17" s="87">
        <f>-PI()/2</f>
        <v>-1.5707963267948966</v>
      </c>
      <c r="D17" s="87">
        <f>C17+RADIANS(S4)</f>
        <v>-1.1431906600562858</v>
      </c>
      <c r="E17" s="87">
        <f t="shared" si="7"/>
        <v>-33.258398061030377</v>
      </c>
      <c r="F17" s="88">
        <f>-B17*SIN(D17)</f>
        <v>-72.978893924298774</v>
      </c>
      <c r="G17" s="48"/>
      <c r="H17" s="66">
        <v>4</v>
      </c>
      <c r="I17" s="67">
        <f t="shared" si="8"/>
        <v>2.2508707201338964</v>
      </c>
      <c r="J17" s="67">
        <f t="shared" si="8"/>
        <v>-37.778157701500362</v>
      </c>
      <c r="K17" s="68">
        <f t="shared" si="9"/>
        <v>148</v>
      </c>
      <c r="L17" s="67"/>
      <c r="M17" s="67"/>
      <c r="N17" s="69"/>
      <c r="O17" s="69"/>
      <c r="P17" s="49"/>
      <c r="Q17" s="48"/>
      <c r="R17" s="86" t="s">
        <v>92</v>
      </c>
      <c r="S17" s="48">
        <v>55</v>
      </c>
      <c r="T17" s="48">
        <v>55</v>
      </c>
      <c r="U17" s="48">
        <v>25</v>
      </c>
      <c r="V17" s="48">
        <v>32</v>
      </c>
      <c r="W17" s="48">
        <v>30</v>
      </c>
      <c r="X17" s="48">
        <v>69</v>
      </c>
      <c r="Z17" s="41">
        <v>4</v>
      </c>
      <c r="AA17" s="43">
        <f>$S$7*COS(-$N$26)*COS($V$3*PI()/180)+E17</f>
        <v>-8.2589416020599487</v>
      </c>
      <c r="AB17" s="43">
        <f>$S$7*COS(-$N$26)*SIN($V$3*PI()/180)+F17</f>
        <v>-72.978893924298774</v>
      </c>
      <c r="AC17" s="44">
        <f>-$S$7*SIN(-$N$26)</f>
        <v>0.16485374136386921</v>
      </c>
    </row>
    <row r="18" spans="2:29">
      <c r="B18" s="58">
        <f>$S$6*-1</f>
        <v>-80.2</v>
      </c>
      <c r="C18" s="87">
        <f>PI()/6</f>
        <v>0.52359877559829882</v>
      </c>
      <c r="D18" s="87">
        <f>C18-RADIANS(S4)</f>
        <v>9.5993108859688092E-2</v>
      </c>
      <c r="E18" s="87">
        <f t="shared" si="7"/>
        <v>-79.83077510904775</v>
      </c>
      <c r="F18" s="88">
        <f>-B18*SIN(D18)</f>
        <v>7.6868293521219613</v>
      </c>
      <c r="G18" s="48"/>
      <c r="H18" s="66">
        <v>5</v>
      </c>
      <c r="I18" s="67">
        <f t="shared" si="8"/>
        <v>-31.591408917607104</v>
      </c>
      <c r="J18" s="67">
        <f t="shared" si="8"/>
        <v>20.838390075020705</v>
      </c>
      <c r="K18" s="68">
        <f t="shared" si="9"/>
        <v>148</v>
      </c>
      <c r="L18" s="67"/>
      <c r="M18" s="67"/>
      <c r="N18" s="69"/>
      <c r="O18" s="69"/>
      <c r="P18" s="49"/>
      <c r="Q18" s="48"/>
      <c r="R18" s="48"/>
      <c r="S18" s="48"/>
      <c r="T18" s="48"/>
      <c r="U18" s="48"/>
      <c r="V18" s="48"/>
      <c r="W18" s="48"/>
      <c r="X18" s="48"/>
      <c r="Z18" s="41">
        <v>5</v>
      </c>
      <c r="AA18" s="43">
        <f>$S$7*COS(-$N$27)*COS($W$3*PI()/180)+E18</f>
        <v>-67.331046879562535</v>
      </c>
      <c r="AB18" s="43">
        <f>$S$7*COS(-$N$27)*SIN($W$3*PI()/180)+F18</f>
        <v>29.336993726393317</v>
      </c>
      <c r="AC18" s="44">
        <f>-$S$7*SIN(-$N$27)</f>
        <v>0.16485374136386799</v>
      </c>
    </row>
    <row r="19" spans="2:29" ht="16" thickBot="1">
      <c r="B19" s="76">
        <f>$S$6*-1</f>
        <v>-80.2</v>
      </c>
      <c r="C19" s="98">
        <f>PI()/6</f>
        <v>0.52359877559829882</v>
      </c>
      <c r="D19" s="98">
        <f>C19+RADIANS(S4)</f>
        <v>0.95120444233690948</v>
      </c>
      <c r="E19" s="98">
        <f t="shared" si="7"/>
        <v>-46.57237704801738</v>
      </c>
      <c r="F19" s="99">
        <f>-B19*SIN(D19)</f>
        <v>65.292064572176798</v>
      </c>
      <c r="G19" s="48"/>
      <c r="H19" s="72">
        <v>6</v>
      </c>
      <c r="I19" s="73">
        <f t="shared" si="8"/>
        <v>-33.842279637741001</v>
      </c>
      <c r="J19" s="73">
        <f t="shared" si="8"/>
        <v>16.939767626479643</v>
      </c>
      <c r="K19" s="74">
        <f t="shared" si="9"/>
        <v>148</v>
      </c>
      <c r="L19" s="67"/>
      <c r="M19" s="67"/>
      <c r="N19" s="69"/>
      <c r="O19" s="105"/>
      <c r="P19" s="49"/>
      <c r="Q19" s="48"/>
      <c r="R19" s="48"/>
      <c r="S19" s="48"/>
      <c r="T19" s="48"/>
      <c r="U19" s="48"/>
      <c r="V19" s="48"/>
      <c r="W19" s="48"/>
      <c r="X19" s="48"/>
      <c r="Z19" s="41">
        <v>6</v>
      </c>
      <c r="AA19" s="43">
        <f>$S$7*COS(-$N$28)*COS($X$3*PI()/180)+E19</f>
        <v>-59.072105277502587</v>
      </c>
      <c r="AB19" s="43">
        <f>$S$7*COS(-$N$28)*SIN($X$3*PI()/180)+F19</f>
        <v>43.641900197905443</v>
      </c>
      <c r="AC19" s="44">
        <f>-$S$7*SIN(-$N$28)</f>
        <v>0.16485374136386952</v>
      </c>
    </row>
    <row r="20" spans="2:29" ht="16" thickBot="1">
      <c r="H20" s="50"/>
      <c r="I20" s="69"/>
      <c r="J20" s="69"/>
      <c r="K20" s="69"/>
      <c r="L20" s="69"/>
      <c r="M20" s="69"/>
      <c r="N20" s="69"/>
      <c r="O20" s="69"/>
      <c r="P20" s="49"/>
      <c r="Q20" s="48"/>
      <c r="R20" s="48"/>
      <c r="S20" s="48"/>
      <c r="T20" s="48"/>
      <c r="U20" s="48"/>
      <c r="V20" s="48"/>
      <c r="W20" s="48"/>
      <c r="X20" s="48"/>
      <c r="Z20" s="45"/>
      <c r="AA20" s="46"/>
      <c r="AB20" s="46"/>
      <c r="AC20" s="47"/>
    </row>
    <row r="21" spans="2:29">
      <c r="B21" s="54" t="s">
        <v>102</v>
      </c>
      <c r="C21" s="52"/>
      <c r="D21" s="53"/>
      <c r="E21" s="48"/>
      <c r="F21" s="48"/>
      <c r="H21" s="51" t="s">
        <v>101</v>
      </c>
      <c r="I21" s="81"/>
      <c r="J21" s="81"/>
      <c r="K21" s="82"/>
      <c r="L21" s="67"/>
      <c r="M21" s="51" t="s">
        <v>110</v>
      </c>
      <c r="N21" s="52"/>
      <c r="O21" s="53"/>
      <c r="P21" s="49"/>
      <c r="Q21" s="48"/>
      <c r="R21" s="48"/>
      <c r="S21" s="48"/>
      <c r="T21" s="48"/>
      <c r="U21" s="48"/>
      <c r="V21" s="48"/>
      <c r="W21" s="48"/>
      <c r="X21" s="48"/>
    </row>
    <row r="22" spans="2:29">
      <c r="B22" s="58"/>
      <c r="C22" s="48" t="s">
        <v>99</v>
      </c>
      <c r="D22" s="59" t="s">
        <v>100</v>
      </c>
      <c r="E22" s="48"/>
      <c r="F22" s="48"/>
      <c r="H22" s="66"/>
      <c r="I22" s="67" t="s">
        <v>87</v>
      </c>
      <c r="J22" s="67" t="s">
        <v>44</v>
      </c>
      <c r="K22" s="68" t="s">
        <v>45</v>
      </c>
      <c r="L22" s="67"/>
      <c r="M22" s="58"/>
      <c r="N22" s="48" t="s">
        <v>108</v>
      </c>
      <c r="O22" s="59" t="s">
        <v>109</v>
      </c>
      <c r="P22" s="49"/>
      <c r="Q22" s="48"/>
      <c r="R22" s="48"/>
      <c r="S22" s="48"/>
      <c r="T22" s="48"/>
      <c r="U22" s="48"/>
      <c r="V22" s="48"/>
      <c r="W22" s="48"/>
      <c r="X22" s="48"/>
    </row>
    <row r="23" spans="2:29">
      <c r="B23" s="66">
        <v>1</v>
      </c>
      <c r="C23" s="60" t="b">
        <f t="shared" ref="C23:C28" si="11">SQRT((I14^2+J14^2+K14^2))&gt;LEN_1+LEN_2</f>
        <v>0</v>
      </c>
      <c r="D23" s="61" t="b">
        <f t="shared" ref="D23:D28" si="12">ABS(I23/(SQRT(J23^2+K23^2)))&gt;1</f>
        <v>0</v>
      </c>
      <c r="E23" s="48">
        <f>SQRT((I14^2+J14^2+K14^2))</f>
        <v>152.76208828867911</v>
      </c>
      <c r="F23" s="48">
        <f>ABS(I23/(SQRT(J23^2+K23^2)))</f>
        <v>8.6131095794690967E-3</v>
      </c>
      <c r="H23" s="66">
        <v>1</v>
      </c>
      <c r="I23" s="89">
        <f t="shared" ref="I23:I28" si="13">(I14^2+J14^2+K14^2)-($S$8^2-$S$7^2)</f>
        <v>-63.744381681812229</v>
      </c>
      <c r="J23" s="89">
        <f>2*$S$7*K4</f>
        <v>7400</v>
      </c>
      <c r="K23" s="103">
        <f>2*$S$7*(COS(S3*PI()/180)*(I4-E14)+SIN(S3*PI()/180)*(J4-F14))</f>
        <v>-112.54353600669553</v>
      </c>
      <c r="L23" s="89"/>
      <c r="M23" s="58">
        <v>1</v>
      </c>
      <c r="N23" s="101">
        <f>MIN(RADIANS(90),MAX(RADIANS(-90),ASIN(I23/(SQRT(J23^2+K23^2)))-ATAN(K23/J23)))</f>
        <v>6.5941974441823727E-3</v>
      </c>
      <c r="O23" s="90">
        <f t="shared" ref="O23:O28" si="14">DEGREES(N23)</f>
        <v>0.3778196828276042</v>
      </c>
      <c r="P23" s="49"/>
      <c r="Q23" s="48"/>
      <c r="R23" s="48"/>
      <c r="S23" s="48"/>
      <c r="T23" s="48"/>
      <c r="U23" s="48"/>
      <c r="V23" s="48"/>
      <c r="W23" s="48"/>
      <c r="X23" s="48"/>
    </row>
    <row r="24" spans="2:29">
      <c r="B24" s="66">
        <v>2</v>
      </c>
      <c r="C24" s="60" t="b">
        <f t="shared" si="11"/>
        <v>0</v>
      </c>
      <c r="D24" s="61" t="b">
        <f t="shared" si="12"/>
        <v>0</v>
      </c>
      <c r="E24" s="48">
        <f t="shared" ref="E24:E28" si="15">SQRT((I15^2+J15^2+K15^2))</f>
        <v>152.76208828867911</v>
      </c>
      <c r="F24" s="48">
        <f t="shared" ref="F24:F28" si="16">ABS(I24/(SQRT(J24^2+K24^2)))</f>
        <v>8.6131095794690967E-3</v>
      </c>
      <c r="G24" s="48"/>
      <c r="H24" s="66">
        <v>2</v>
      </c>
      <c r="I24" s="89">
        <f t="shared" si="13"/>
        <v>-63.744381681812229</v>
      </c>
      <c r="J24" s="89">
        <f t="shared" ref="J24:J28" si="17">2*$S$7*K5</f>
        <v>7400</v>
      </c>
      <c r="K24" s="103">
        <f>2*$S$7*(COS(T3*PI()/180)*(I5-E15)+SIN(T3*PI()/180)*(J5-F15))</f>
        <v>-112.54353600669501</v>
      </c>
      <c r="L24" s="89"/>
      <c r="M24" s="58">
        <v>2</v>
      </c>
      <c r="N24" s="101">
        <f t="shared" ref="N24:N28" si="18">MIN(RADIANS(90),MAX(RADIANS(-90),ASIN(I24/(SQRT(J24^2+K24^2)))-ATAN(K24/J24)))</f>
        <v>6.5941974441823016E-3</v>
      </c>
      <c r="O24" s="90">
        <f t="shared" si="14"/>
        <v>0.37781968282760015</v>
      </c>
      <c r="P24" s="49"/>
      <c r="Q24" s="48"/>
      <c r="R24" s="48"/>
      <c r="S24" s="48"/>
      <c r="T24" s="48"/>
      <c r="U24" s="48"/>
      <c r="V24" s="48"/>
      <c r="W24" s="48"/>
      <c r="X24" s="48"/>
    </row>
    <row r="25" spans="2:29">
      <c r="B25" s="66">
        <v>3</v>
      </c>
      <c r="C25" s="60" t="b">
        <f t="shared" si="11"/>
        <v>0</v>
      </c>
      <c r="D25" s="61" t="b">
        <f t="shared" si="12"/>
        <v>0</v>
      </c>
      <c r="E25" s="48">
        <f t="shared" si="15"/>
        <v>152.76208828867911</v>
      </c>
      <c r="F25" s="48">
        <f t="shared" si="16"/>
        <v>8.6131095794690967E-3</v>
      </c>
      <c r="G25" s="48"/>
      <c r="H25" s="66">
        <v>3</v>
      </c>
      <c r="I25" s="89">
        <f t="shared" si="13"/>
        <v>-63.744381681812229</v>
      </c>
      <c r="J25" s="89">
        <f t="shared" si="17"/>
        <v>7400</v>
      </c>
      <c r="K25" s="103">
        <f>2*$S$7*(COS(U3*PI()/180)*(I6-E16)+SIN(U3*PI()/180)*(J6-F16))</f>
        <v>-112.54353600669459</v>
      </c>
      <c r="L25" s="89"/>
      <c r="M25" s="58">
        <v>3</v>
      </c>
      <c r="N25" s="101">
        <f t="shared" si="18"/>
        <v>6.5941974441822461E-3</v>
      </c>
      <c r="O25" s="90">
        <f t="shared" si="14"/>
        <v>0.37781968282759693</v>
      </c>
      <c r="P25" s="49"/>
    </row>
    <row r="26" spans="2:29">
      <c r="B26" s="66">
        <v>4</v>
      </c>
      <c r="C26" s="60" t="b">
        <f t="shared" si="11"/>
        <v>0</v>
      </c>
      <c r="D26" s="61" t="b">
        <f t="shared" si="12"/>
        <v>0</v>
      </c>
      <c r="E26" s="48">
        <f t="shared" si="15"/>
        <v>152.76208828867911</v>
      </c>
      <c r="F26" s="48">
        <f t="shared" si="16"/>
        <v>8.6131095794690967E-3</v>
      </c>
      <c r="G26" s="48"/>
      <c r="H26" s="66">
        <v>4</v>
      </c>
      <c r="I26" s="89">
        <f t="shared" si="13"/>
        <v>-63.744381681812229</v>
      </c>
      <c r="J26" s="89">
        <f t="shared" si="17"/>
        <v>7400</v>
      </c>
      <c r="K26" s="103">
        <f>2*$S$7*(COS(V3*PI()/180)*(I7-E17)+SIN(V3*PI()/180)*(J7-F17))</f>
        <v>-112.54353600669482</v>
      </c>
      <c r="L26" s="89"/>
      <c r="M26" s="58">
        <v>4</v>
      </c>
      <c r="N26" s="101">
        <f t="shared" si="18"/>
        <v>6.5941974441822773E-3</v>
      </c>
      <c r="O26" s="90">
        <f t="shared" si="14"/>
        <v>0.37781968282759876</v>
      </c>
      <c r="P26" s="49"/>
    </row>
    <row r="27" spans="2:29">
      <c r="B27" s="66">
        <v>5</v>
      </c>
      <c r="C27" s="60" t="b">
        <f t="shared" si="11"/>
        <v>0</v>
      </c>
      <c r="D27" s="61" t="b">
        <f t="shared" si="12"/>
        <v>0</v>
      </c>
      <c r="E27" s="48">
        <f t="shared" si="15"/>
        <v>152.76208828867911</v>
      </c>
      <c r="F27" s="48">
        <f t="shared" si="16"/>
        <v>8.6131095794690967E-3</v>
      </c>
      <c r="G27" s="48"/>
      <c r="H27" s="66">
        <v>5</v>
      </c>
      <c r="I27" s="89">
        <f t="shared" si="13"/>
        <v>-63.744381681812229</v>
      </c>
      <c r="J27" s="89">
        <f t="shared" si="17"/>
        <v>7400</v>
      </c>
      <c r="K27" s="103">
        <f>2*$S$7*(COS(W3*PI()/180)*(I8-E18)+SIN(W3*PI()/180)*(J8-F18))</f>
        <v>-112.54353600669447</v>
      </c>
      <c r="L27" s="89"/>
      <c r="M27" s="58">
        <v>5</v>
      </c>
      <c r="N27" s="101">
        <f t="shared" si="18"/>
        <v>6.5941974441822288E-3</v>
      </c>
      <c r="O27" s="90">
        <f t="shared" si="14"/>
        <v>0.37781968282759598</v>
      </c>
      <c r="P27" s="49"/>
    </row>
    <row r="28" spans="2:29" ht="16" thickBot="1">
      <c r="B28" s="72">
        <v>6</v>
      </c>
      <c r="C28" s="93" t="b">
        <f t="shared" si="11"/>
        <v>0</v>
      </c>
      <c r="D28" s="94" t="b">
        <f t="shared" si="12"/>
        <v>0</v>
      </c>
      <c r="E28" s="48">
        <f t="shared" si="15"/>
        <v>152.76208828867911</v>
      </c>
      <c r="F28" s="48">
        <f t="shared" si="16"/>
        <v>8.6131095794690967E-3</v>
      </c>
      <c r="G28" s="48"/>
      <c r="H28" s="72">
        <v>6</v>
      </c>
      <c r="I28" s="91">
        <f t="shared" si="13"/>
        <v>-63.744381681812229</v>
      </c>
      <c r="J28" s="91">
        <f t="shared" si="17"/>
        <v>7400</v>
      </c>
      <c r="K28" s="104">
        <f>2*$S$7*(COS(X3*PI()/180)*(I9-E19)+SIN(X3*PI()/180)*(J9-F19))</f>
        <v>-112.54353600669491</v>
      </c>
      <c r="L28" s="89"/>
      <c r="M28" s="76">
        <v>6</v>
      </c>
      <c r="N28" s="102">
        <f t="shared" si="18"/>
        <v>6.5941974441822895E-3</v>
      </c>
      <c r="O28" s="92">
        <f t="shared" si="14"/>
        <v>0.37781968282759942</v>
      </c>
      <c r="P28" s="49"/>
    </row>
    <row r="29" spans="2:29" ht="15" customHeight="1">
      <c r="G29" s="48"/>
      <c r="H29" s="48"/>
      <c r="I29" s="48"/>
      <c r="P29" s="49"/>
    </row>
    <row r="30" spans="2:29">
      <c r="G30" s="48"/>
      <c r="H30" s="129" t="s">
        <v>103</v>
      </c>
      <c r="I30" s="129"/>
      <c r="J30" s="129"/>
      <c r="K30" s="129"/>
      <c r="L30" s="129"/>
      <c r="M30" s="129"/>
      <c r="N30" s="129"/>
      <c r="O30" s="129"/>
      <c r="P30" s="49"/>
    </row>
    <row r="31" spans="2:29">
      <c r="G31" s="48"/>
      <c r="H31" s="129"/>
      <c r="I31" s="129"/>
      <c r="J31" s="129"/>
      <c r="K31" s="129"/>
      <c r="L31" s="129"/>
      <c r="M31" s="129"/>
      <c r="N31" s="129"/>
      <c r="O31" s="129"/>
      <c r="P31" s="49"/>
    </row>
    <row r="32" spans="2:29">
      <c r="G32" s="48"/>
      <c r="N32" s="95"/>
      <c r="P32" s="49"/>
    </row>
    <row r="33" spans="2:16">
      <c r="B33" s="48"/>
      <c r="C33" s="48"/>
      <c r="D33" s="48"/>
      <c r="E33" s="48"/>
      <c r="F33" s="48"/>
      <c r="G33" s="48"/>
      <c r="N33" s="95"/>
      <c r="P33" s="49"/>
    </row>
    <row r="34" spans="2:16">
      <c r="B34" s="48"/>
      <c r="C34" s="48"/>
      <c r="D34" s="48"/>
      <c r="E34" s="48"/>
      <c r="F34" s="48"/>
      <c r="G34" s="48"/>
      <c r="P34" s="49"/>
    </row>
    <row r="35" spans="2:16">
      <c r="B35" s="48"/>
      <c r="C35" s="48"/>
      <c r="D35" s="48"/>
      <c r="E35" s="48"/>
      <c r="F35" s="48"/>
      <c r="G35" s="48"/>
      <c r="P35" s="49"/>
    </row>
    <row r="36" spans="2:16">
      <c r="B36" s="48"/>
      <c r="C36" s="48"/>
      <c r="D36" s="48"/>
      <c r="E36" s="48"/>
      <c r="F36" s="48"/>
      <c r="G36" s="48"/>
      <c r="P36" s="49"/>
    </row>
    <row r="37" spans="2:16">
      <c r="B37" s="48"/>
      <c r="C37" s="48"/>
      <c r="D37" s="48"/>
      <c r="E37" s="48"/>
      <c r="F37" s="48"/>
      <c r="G37" s="48"/>
      <c r="P37" s="49"/>
    </row>
    <row r="38" spans="2:16">
      <c r="B38" s="48"/>
      <c r="C38" s="48"/>
      <c r="D38" s="48"/>
      <c r="E38" s="48"/>
      <c r="F38" s="48"/>
      <c r="G38" s="48"/>
      <c r="H38" s="48"/>
      <c r="I38" s="48"/>
      <c r="P38" s="49"/>
    </row>
    <row r="39" spans="2:16">
      <c r="B39" s="48"/>
      <c r="C39" s="48"/>
      <c r="D39" s="48"/>
      <c r="E39" s="48"/>
      <c r="F39" s="48"/>
      <c r="G39" s="48"/>
      <c r="P39" s="49"/>
    </row>
    <row r="40" spans="2:16">
      <c r="B40" s="48"/>
      <c r="C40" s="48"/>
      <c r="D40" s="48"/>
      <c r="E40" s="48"/>
      <c r="F40" s="48"/>
      <c r="G40" s="48"/>
      <c r="P40" s="49"/>
    </row>
    <row r="41" spans="2:16">
      <c r="B41" s="48"/>
      <c r="C41" s="48"/>
      <c r="D41" s="48"/>
      <c r="E41" s="48"/>
      <c r="F41" s="48"/>
      <c r="G41" s="48"/>
      <c r="H41" s="48"/>
      <c r="I41" s="48"/>
      <c r="P41" s="49"/>
    </row>
    <row r="42" spans="2:16">
      <c r="B42" s="48"/>
      <c r="C42" s="48"/>
      <c r="D42" s="48"/>
      <c r="E42" s="48"/>
      <c r="F42" s="48"/>
      <c r="G42" s="48"/>
      <c r="H42" s="48"/>
      <c r="I42" s="48"/>
      <c r="P42" s="49"/>
    </row>
    <row r="43" spans="2:16">
      <c r="B43" s="48"/>
      <c r="C43" s="48"/>
      <c r="D43" s="48"/>
      <c r="E43" s="48"/>
      <c r="F43" s="48"/>
      <c r="G43" s="48"/>
      <c r="P43" s="49"/>
    </row>
    <row r="44" spans="2:16">
      <c r="B44" s="48"/>
      <c r="C44" s="48"/>
      <c r="D44" s="48"/>
      <c r="E44" s="48"/>
      <c r="F44" s="48"/>
      <c r="G44" s="48"/>
      <c r="P44" s="49"/>
    </row>
    <row r="45" spans="2:16">
      <c r="B45" s="48"/>
      <c r="C45" s="48"/>
      <c r="D45" s="48"/>
      <c r="E45" s="48"/>
      <c r="F45" s="48"/>
      <c r="G45" s="48"/>
      <c r="P45" s="49"/>
    </row>
    <row r="46" spans="2:16">
      <c r="B46" s="48"/>
      <c r="C46" s="48"/>
      <c r="D46" s="48"/>
      <c r="E46" s="48"/>
      <c r="F46" s="48"/>
      <c r="G46" s="48"/>
      <c r="P46" s="49"/>
    </row>
    <row r="47" spans="2:16">
      <c r="B47" s="48"/>
      <c r="C47" s="48"/>
      <c r="D47" s="48"/>
      <c r="E47" s="48"/>
      <c r="F47" s="48"/>
      <c r="G47" s="48"/>
    </row>
    <row r="48" spans="2:16">
      <c r="B48" s="48"/>
      <c r="C48" s="48"/>
      <c r="D48" s="48"/>
      <c r="E48" s="48"/>
      <c r="F48" s="48"/>
      <c r="G48" s="48"/>
    </row>
    <row r="50" spans="14:17">
      <c r="N50" s="96"/>
      <c r="O50" s="96"/>
    </row>
    <row r="56" spans="14:17">
      <c r="P56" s="96"/>
      <c r="Q56" s="97"/>
    </row>
  </sheetData>
  <mergeCells count="1">
    <mergeCell ref="H30:O31"/>
  </mergeCells>
  <phoneticPr fontId="12"/>
  <conditionalFormatting sqref="B23:B28">
    <cfRule type="cellIs" dxfId="1" priority="2" operator="equal">
      <formula>TRUE</formula>
    </cfRule>
  </conditionalFormatting>
  <conditionalFormatting sqref="C23:D28">
    <cfRule type="cellIs" dxfId="0" priority="1" operator="equal">
      <formula>TRUE</formula>
    </cfRule>
  </conditionalFormatting>
  <pageMargins left="0.7" right="0.7" top="0.75" bottom="0.75" header="0.3" footer="0.3"/>
  <pageSetup paperSize="9" scale="54" orientation="portrait"/>
  <colBreaks count="2" manualBreakCount="2">
    <brk id="17" max="54" man="1"/>
    <brk id="25" max="1048575" man="1"/>
  </colBreak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 enableFormatConditionsCalculation="0"/>
  <dimension ref="B2:I61"/>
  <sheetViews>
    <sheetView workbookViewId="0">
      <selection activeCell="I19" sqref="I19"/>
    </sheetView>
  </sheetViews>
  <sheetFormatPr baseColWidth="10" defaultColWidth="9" defaultRowHeight="13" x14ac:dyDescent="0"/>
  <cols>
    <col min="1" max="1" width="2.5703125" customWidth="1"/>
    <col min="2" max="2" width="38.85546875" bestFit="1" customWidth="1"/>
    <col min="3" max="3" width="7" bestFit="1" customWidth="1"/>
    <col min="4" max="4" width="6.42578125" bestFit="1" customWidth="1"/>
    <col min="5" max="5" width="6.85546875" bestFit="1" customWidth="1"/>
    <col min="6" max="6" width="7.140625" bestFit="1" customWidth="1"/>
    <col min="8" max="8" width="8.140625" bestFit="1" customWidth="1"/>
    <col min="9" max="9" width="8.42578125" bestFit="1" customWidth="1"/>
  </cols>
  <sheetData>
    <row r="2" spans="2:9">
      <c r="B2" t="s">
        <v>116</v>
      </c>
    </row>
    <row r="3" spans="2:9" ht="14" thickBot="1"/>
    <row r="4" spans="2:9" ht="15">
      <c r="B4" s="51" t="s">
        <v>82</v>
      </c>
      <c r="C4" s="52" t="s">
        <v>0</v>
      </c>
      <c r="D4" s="57">
        <v>45.25</v>
      </c>
      <c r="E4" s="52"/>
      <c r="F4" s="52"/>
      <c r="G4" s="52"/>
      <c r="H4" s="52"/>
      <c r="I4" s="53"/>
    </row>
    <row r="5" spans="2:9" ht="15">
      <c r="B5" s="58" t="s">
        <v>111</v>
      </c>
      <c r="C5" s="48" t="s">
        <v>1</v>
      </c>
      <c r="D5" s="63">
        <v>-60</v>
      </c>
      <c r="E5" s="64">
        <v>120</v>
      </c>
      <c r="F5" s="64">
        <v>180</v>
      </c>
      <c r="G5" s="64">
        <v>0</v>
      </c>
      <c r="H5" s="64">
        <v>60</v>
      </c>
      <c r="I5" s="65">
        <v>-120</v>
      </c>
    </row>
    <row r="6" spans="2:9" ht="15">
      <c r="B6" s="58" t="s">
        <v>81</v>
      </c>
      <c r="C6" s="48" t="s">
        <v>2</v>
      </c>
      <c r="D6" s="70">
        <v>24.5</v>
      </c>
      <c r="E6" s="48"/>
      <c r="F6" s="48"/>
      <c r="G6" s="48"/>
      <c r="H6" s="48"/>
      <c r="I6" s="59"/>
    </row>
    <row r="7" spans="2:9" ht="15">
      <c r="B7" s="58" t="s">
        <v>80</v>
      </c>
      <c r="C7" s="48" t="s">
        <v>3</v>
      </c>
      <c r="D7" s="70">
        <v>50</v>
      </c>
      <c r="E7" s="48"/>
      <c r="F7" s="48"/>
      <c r="G7" s="48"/>
      <c r="H7" s="48"/>
      <c r="I7" s="59"/>
    </row>
    <row r="8" spans="2:9" ht="15">
      <c r="B8" s="58" t="s">
        <v>79</v>
      </c>
      <c r="C8" s="48" t="s">
        <v>4</v>
      </c>
      <c r="D8" s="70">
        <v>80.2</v>
      </c>
      <c r="E8" s="48"/>
      <c r="F8" s="48"/>
      <c r="G8" s="48"/>
      <c r="H8" s="48"/>
      <c r="I8" s="59"/>
    </row>
    <row r="9" spans="2:9" ht="15">
      <c r="B9" s="58" t="s">
        <v>83</v>
      </c>
      <c r="C9" s="48" t="s">
        <v>5</v>
      </c>
      <c r="D9" s="70">
        <v>25</v>
      </c>
      <c r="E9" s="48"/>
      <c r="F9" s="48"/>
      <c r="G9" s="48"/>
      <c r="H9" s="48"/>
      <c r="I9" s="59"/>
    </row>
    <row r="10" spans="2:9" ht="15">
      <c r="B10" s="58" t="s">
        <v>84</v>
      </c>
      <c r="C10" s="48" t="s">
        <v>6</v>
      </c>
      <c r="D10" s="70">
        <v>155</v>
      </c>
      <c r="E10" s="48"/>
      <c r="F10" s="48"/>
      <c r="G10" s="48"/>
      <c r="H10" s="48"/>
      <c r="I10" s="59"/>
    </row>
    <row r="11" spans="2:9" ht="15">
      <c r="B11" s="58" t="s">
        <v>8</v>
      </c>
      <c r="C11" s="48" t="s">
        <v>7</v>
      </c>
      <c r="D11" s="75">
        <v>152</v>
      </c>
      <c r="E11" s="48"/>
      <c r="F11" s="48"/>
      <c r="G11" s="48"/>
      <c r="H11" s="48"/>
      <c r="I11" s="59"/>
    </row>
    <row r="12" spans="2:9" ht="15">
      <c r="B12" s="58" t="s">
        <v>9</v>
      </c>
      <c r="C12" s="48" t="s">
        <v>13</v>
      </c>
      <c r="D12" s="78">
        <f>D16</f>
        <v>0</v>
      </c>
      <c r="E12" s="78">
        <f>E16</f>
        <v>0</v>
      </c>
      <c r="F12" s="78">
        <f>F16</f>
        <v>0</v>
      </c>
      <c r="G12" s="78">
        <f>RADIANS(G16)</f>
        <v>0</v>
      </c>
      <c r="H12" s="78">
        <f>RADIANS(H16)</f>
        <v>0</v>
      </c>
      <c r="I12" s="108">
        <f>RADIANS(I16)</f>
        <v>0</v>
      </c>
    </row>
    <row r="13" spans="2:9" ht="16" thickBot="1">
      <c r="B13" s="76"/>
      <c r="C13" s="77"/>
      <c r="D13" s="79"/>
      <c r="E13" s="79"/>
      <c r="F13" s="79"/>
      <c r="G13" s="79"/>
      <c r="H13" s="79"/>
      <c r="I13" s="80"/>
    </row>
    <row r="14" spans="2:9" ht="16" thickBot="1">
      <c r="B14" s="48"/>
      <c r="C14" s="48"/>
      <c r="D14" s="48"/>
      <c r="E14" s="48"/>
      <c r="F14" s="48"/>
      <c r="G14" s="48"/>
      <c r="H14" s="48"/>
      <c r="I14" s="48"/>
    </row>
    <row r="15" spans="2:9" ht="15">
      <c r="B15" s="49"/>
      <c r="C15" s="48"/>
      <c r="D15" s="51" t="s">
        <v>104</v>
      </c>
      <c r="E15" s="52" t="s">
        <v>105</v>
      </c>
      <c r="F15" s="52" t="s">
        <v>106</v>
      </c>
      <c r="G15" s="106" t="s">
        <v>112</v>
      </c>
      <c r="H15" s="106" t="s">
        <v>113</v>
      </c>
      <c r="I15" s="107" t="s">
        <v>114</v>
      </c>
    </row>
    <row r="16" spans="2:9" ht="16" thickBot="1">
      <c r="B16" s="49"/>
      <c r="C16" s="48"/>
      <c r="D16" s="83">
        <v>0</v>
      </c>
      <c r="E16" s="84">
        <v>0</v>
      </c>
      <c r="F16" s="84">
        <v>0</v>
      </c>
      <c r="G16" s="84">
        <v>0</v>
      </c>
      <c r="H16" s="84">
        <v>0</v>
      </c>
      <c r="I16" s="85">
        <v>0</v>
      </c>
    </row>
    <row r="17" spans="2:9" ht="15">
      <c r="B17" s="49"/>
      <c r="C17" s="86" t="s">
        <v>91</v>
      </c>
      <c r="D17" s="48">
        <v>-55</v>
      </c>
      <c r="E17" s="125">
        <v>-70</v>
      </c>
      <c r="F17" s="48">
        <v>-22</v>
      </c>
      <c r="G17" s="125">
        <v>-29</v>
      </c>
      <c r="H17" s="125">
        <v>-30</v>
      </c>
      <c r="I17" s="125">
        <v>-69</v>
      </c>
    </row>
    <row r="18" spans="2:9" ht="15">
      <c r="B18" s="49"/>
      <c r="C18" s="86" t="s">
        <v>93</v>
      </c>
      <c r="D18" s="48">
        <f t="shared" ref="D18:I18" si="0">D17+(D19-D17)/2</f>
        <v>0</v>
      </c>
      <c r="E18" s="48">
        <f t="shared" si="0"/>
        <v>-7.5</v>
      </c>
      <c r="F18" s="48">
        <f t="shared" si="0"/>
        <v>1.5</v>
      </c>
      <c r="G18" s="48">
        <f t="shared" si="0"/>
        <v>1.5</v>
      </c>
      <c r="H18" s="48">
        <f t="shared" si="0"/>
        <v>0</v>
      </c>
      <c r="I18" s="48">
        <f t="shared" si="0"/>
        <v>0</v>
      </c>
    </row>
    <row r="19" spans="2:9" ht="15">
      <c r="B19" s="48"/>
      <c r="C19" s="86" t="s">
        <v>92</v>
      </c>
      <c r="D19" s="48">
        <v>55</v>
      </c>
      <c r="E19" s="48">
        <v>55</v>
      </c>
      <c r="F19" s="48">
        <v>25</v>
      </c>
      <c r="G19" s="125">
        <v>32</v>
      </c>
      <c r="H19" s="125">
        <v>30</v>
      </c>
      <c r="I19" s="125">
        <v>69</v>
      </c>
    </row>
    <row r="23" spans="2:9">
      <c r="B23" t="s">
        <v>117</v>
      </c>
    </row>
    <row r="24" spans="2:9" ht="14" thickBot="1"/>
    <row r="25" spans="2:9" ht="15">
      <c r="B25" s="51" t="s">
        <v>82</v>
      </c>
      <c r="C25" s="52" t="s">
        <v>0</v>
      </c>
      <c r="D25" s="57">
        <v>45.25</v>
      </c>
      <c r="E25" s="52"/>
      <c r="F25" s="52"/>
      <c r="G25" s="52"/>
      <c r="H25" s="52"/>
      <c r="I25" s="53"/>
    </row>
    <row r="26" spans="2:9" ht="15">
      <c r="B26" s="58" t="s">
        <v>111</v>
      </c>
      <c r="C26" s="48" t="s">
        <v>1</v>
      </c>
      <c r="D26" s="63">
        <v>-60</v>
      </c>
      <c r="E26" s="64">
        <v>120</v>
      </c>
      <c r="F26" s="64">
        <v>180</v>
      </c>
      <c r="G26" s="64">
        <v>0</v>
      </c>
      <c r="H26" s="64">
        <v>60</v>
      </c>
      <c r="I26" s="65">
        <v>-120</v>
      </c>
    </row>
    <row r="27" spans="2:9" ht="15">
      <c r="B27" s="58" t="s">
        <v>81</v>
      </c>
      <c r="C27" s="48" t="s">
        <v>2</v>
      </c>
      <c r="D27" s="70">
        <v>24.5</v>
      </c>
      <c r="E27" s="48"/>
      <c r="F27" s="48"/>
      <c r="G27" s="48"/>
      <c r="H27" s="48"/>
      <c r="I27" s="59"/>
    </row>
    <row r="28" spans="2:9" ht="15">
      <c r="B28" s="58" t="s">
        <v>80</v>
      </c>
      <c r="C28" s="48" t="s">
        <v>3</v>
      </c>
      <c r="D28" s="70">
        <v>66</v>
      </c>
      <c r="E28" s="48"/>
      <c r="F28" s="48"/>
      <c r="G28" s="48"/>
      <c r="H28" s="48"/>
      <c r="I28" s="59"/>
    </row>
    <row r="29" spans="2:9" ht="15">
      <c r="B29" s="58" t="s">
        <v>79</v>
      </c>
      <c r="C29" s="48" t="s">
        <v>4</v>
      </c>
      <c r="D29" s="70">
        <v>80.2</v>
      </c>
      <c r="E29" s="48"/>
      <c r="F29" s="48"/>
      <c r="G29" s="48"/>
      <c r="H29" s="48"/>
      <c r="I29" s="59"/>
    </row>
    <row r="30" spans="2:9" ht="15">
      <c r="B30" s="58" t="s">
        <v>83</v>
      </c>
      <c r="C30" s="48" t="s">
        <v>5</v>
      </c>
      <c r="D30" s="70">
        <v>25</v>
      </c>
      <c r="E30" s="48"/>
      <c r="F30" s="48"/>
      <c r="G30" s="48"/>
      <c r="H30" s="48"/>
      <c r="I30" s="59"/>
    </row>
    <row r="31" spans="2:9" ht="15">
      <c r="B31" s="58" t="s">
        <v>84</v>
      </c>
      <c r="C31" s="48" t="s">
        <v>6</v>
      </c>
      <c r="D31" s="70">
        <v>155</v>
      </c>
      <c r="E31" s="48"/>
      <c r="F31" s="48"/>
      <c r="G31" s="48"/>
      <c r="H31" s="48"/>
      <c r="I31" s="59"/>
    </row>
    <row r="32" spans="2:9" ht="15">
      <c r="B32" s="58" t="s">
        <v>8</v>
      </c>
      <c r="C32" s="48" t="s">
        <v>7</v>
      </c>
      <c r="D32" s="75">
        <v>152</v>
      </c>
      <c r="E32" s="48"/>
      <c r="F32" s="48"/>
      <c r="G32" s="48"/>
      <c r="H32" s="48"/>
      <c r="I32" s="59"/>
    </row>
    <row r="33" spans="2:9" ht="15">
      <c r="B33" s="58" t="s">
        <v>9</v>
      </c>
      <c r="C33" s="48" t="s">
        <v>13</v>
      </c>
      <c r="D33" s="78">
        <f>D37</f>
        <v>0</v>
      </c>
      <c r="E33" s="78">
        <f>E37</f>
        <v>0</v>
      </c>
      <c r="F33" s="78">
        <f>F37</f>
        <v>0</v>
      </c>
      <c r="G33" s="78">
        <f>RADIANS(G37)</f>
        <v>0</v>
      </c>
      <c r="H33" s="78">
        <f>RADIANS(H37)</f>
        <v>0</v>
      </c>
      <c r="I33" s="108">
        <f>RADIANS(I37)</f>
        <v>0</v>
      </c>
    </row>
    <row r="34" spans="2:9" ht="16" thickBot="1">
      <c r="B34" s="76"/>
      <c r="C34" s="77"/>
      <c r="D34" s="79"/>
      <c r="E34" s="79"/>
      <c r="F34" s="79"/>
      <c r="G34" s="79"/>
      <c r="H34" s="79"/>
      <c r="I34" s="80"/>
    </row>
    <row r="35" spans="2:9" ht="16" thickBot="1">
      <c r="B35" s="48"/>
      <c r="C35" s="48"/>
      <c r="D35" s="48"/>
      <c r="E35" s="48"/>
      <c r="F35" s="48"/>
      <c r="G35" s="48"/>
      <c r="H35" s="48"/>
      <c r="I35" s="48"/>
    </row>
    <row r="36" spans="2:9" ht="15">
      <c r="B36" s="49"/>
      <c r="C36" s="48"/>
      <c r="D36" s="51" t="s">
        <v>104</v>
      </c>
      <c r="E36" s="52" t="s">
        <v>105</v>
      </c>
      <c r="F36" s="52" t="s">
        <v>106</v>
      </c>
      <c r="G36" s="106" t="s">
        <v>112</v>
      </c>
      <c r="H36" s="106" t="s">
        <v>113</v>
      </c>
      <c r="I36" s="107" t="s">
        <v>114</v>
      </c>
    </row>
    <row r="37" spans="2:9" ht="16" thickBot="1">
      <c r="B37" s="49"/>
      <c r="C37" s="48"/>
      <c r="D37" s="83">
        <v>0</v>
      </c>
      <c r="E37" s="84">
        <v>0</v>
      </c>
      <c r="F37" s="84">
        <v>0</v>
      </c>
      <c r="G37" s="84">
        <v>0</v>
      </c>
      <c r="H37" s="84">
        <v>0</v>
      </c>
      <c r="I37" s="85">
        <v>0</v>
      </c>
    </row>
    <row r="38" spans="2:9" ht="15">
      <c r="B38" s="49"/>
      <c r="C38" s="86" t="s">
        <v>91</v>
      </c>
      <c r="D38" s="125">
        <v>-65</v>
      </c>
      <c r="E38" s="125">
        <v>-70</v>
      </c>
      <c r="F38" s="48">
        <v>-21</v>
      </c>
      <c r="G38" s="48">
        <v>-19</v>
      </c>
      <c r="H38" s="48">
        <v>-22</v>
      </c>
      <c r="I38" s="48">
        <v>-50</v>
      </c>
    </row>
    <row r="39" spans="2:9" ht="15">
      <c r="B39" s="49"/>
      <c r="C39" s="86" t="s">
        <v>93</v>
      </c>
      <c r="D39" s="48">
        <f t="shared" ref="D39:I39" si="1">D38+(D40-D38)/2</f>
        <v>0</v>
      </c>
      <c r="E39" s="48">
        <f t="shared" si="1"/>
        <v>-2.5</v>
      </c>
      <c r="F39" s="48">
        <f t="shared" si="1"/>
        <v>4</v>
      </c>
      <c r="G39" s="48">
        <f t="shared" si="1"/>
        <v>3.5</v>
      </c>
      <c r="H39" s="48">
        <f t="shared" si="1"/>
        <v>0</v>
      </c>
      <c r="I39" s="48">
        <f t="shared" si="1"/>
        <v>0</v>
      </c>
    </row>
    <row r="40" spans="2:9" ht="15">
      <c r="B40" s="48"/>
      <c r="C40" s="86" t="s">
        <v>92</v>
      </c>
      <c r="D40" s="125">
        <v>65</v>
      </c>
      <c r="E40" s="125">
        <v>65</v>
      </c>
      <c r="F40" s="125">
        <v>29</v>
      </c>
      <c r="G40" s="48">
        <v>26</v>
      </c>
      <c r="H40" s="48">
        <v>22</v>
      </c>
      <c r="I40" s="48">
        <v>50</v>
      </c>
    </row>
    <row r="44" spans="2:9">
      <c r="B44" t="s">
        <v>115</v>
      </c>
    </row>
    <row r="45" spans="2:9" ht="14" thickBot="1"/>
    <row r="46" spans="2:9" ht="15">
      <c r="B46" s="51" t="s">
        <v>82</v>
      </c>
      <c r="C46" s="52" t="s">
        <v>0</v>
      </c>
      <c r="D46" s="57">
        <v>15</v>
      </c>
      <c r="E46" s="52"/>
      <c r="F46" s="52"/>
      <c r="G46" s="52"/>
      <c r="H46" s="52"/>
      <c r="I46" s="53"/>
    </row>
    <row r="47" spans="2:9" ht="15">
      <c r="B47" s="58" t="s">
        <v>111</v>
      </c>
      <c r="C47" s="48" t="s">
        <v>1</v>
      </c>
      <c r="D47" s="63">
        <v>180</v>
      </c>
      <c r="E47" s="64">
        <v>-120</v>
      </c>
      <c r="F47" s="64">
        <v>60</v>
      </c>
      <c r="G47" s="64">
        <v>120</v>
      </c>
      <c r="H47" s="64">
        <v>-60</v>
      </c>
      <c r="I47" s="65">
        <v>0</v>
      </c>
    </row>
    <row r="48" spans="2:9" ht="15">
      <c r="B48" s="58" t="s">
        <v>81</v>
      </c>
      <c r="C48" s="48" t="s">
        <v>2</v>
      </c>
      <c r="D48" s="70">
        <v>10</v>
      </c>
      <c r="E48" s="48"/>
      <c r="F48" s="48"/>
      <c r="G48" s="48"/>
      <c r="H48" s="48"/>
      <c r="I48" s="59"/>
    </row>
    <row r="49" spans="2:9" ht="15">
      <c r="B49" s="58" t="s">
        <v>80</v>
      </c>
      <c r="C49" s="48" t="s">
        <v>3</v>
      </c>
      <c r="D49" s="70">
        <v>40</v>
      </c>
      <c r="E49" s="48"/>
      <c r="F49" s="48"/>
      <c r="G49" s="48"/>
      <c r="H49" s="48"/>
      <c r="I49" s="59"/>
    </row>
    <row r="50" spans="2:9" ht="15">
      <c r="B50" s="58" t="s">
        <v>79</v>
      </c>
      <c r="C50" s="48" t="s">
        <v>4</v>
      </c>
      <c r="D50" s="70">
        <v>70</v>
      </c>
      <c r="E50" s="48"/>
      <c r="F50" s="48"/>
      <c r="G50" s="48"/>
      <c r="H50" s="48"/>
      <c r="I50" s="59"/>
    </row>
    <row r="51" spans="2:9" ht="15">
      <c r="B51" s="58" t="s">
        <v>83</v>
      </c>
      <c r="C51" s="48" t="s">
        <v>5</v>
      </c>
      <c r="D51" s="70">
        <v>25</v>
      </c>
      <c r="E51" s="48"/>
      <c r="F51" s="48"/>
      <c r="G51" s="48"/>
      <c r="H51" s="48"/>
      <c r="I51" s="59"/>
    </row>
    <row r="52" spans="2:9" ht="15">
      <c r="B52" s="58" t="s">
        <v>84</v>
      </c>
      <c r="C52" s="48" t="s">
        <v>6</v>
      </c>
      <c r="D52" s="70">
        <v>140</v>
      </c>
      <c r="E52" s="48"/>
      <c r="F52" s="48"/>
      <c r="G52" s="48"/>
      <c r="H52" s="48"/>
      <c r="I52" s="59"/>
    </row>
    <row r="53" spans="2:9" ht="15">
      <c r="B53" s="58" t="s">
        <v>8</v>
      </c>
      <c r="C53" s="48" t="s">
        <v>7</v>
      </c>
      <c r="D53" s="75">
        <v>135</v>
      </c>
      <c r="E53" s="48"/>
      <c r="F53" s="48"/>
      <c r="G53" s="48"/>
      <c r="H53" s="48"/>
      <c r="I53" s="59"/>
    </row>
    <row r="54" spans="2:9" ht="15">
      <c r="B54" s="58" t="s">
        <v>9</v>
      </c>
      <c r="C54" s="48" t="s">
        <v>13</v>
      </c>
      <c r="D54" s="78">
        <f>D58</f>
        <v>0</v>
      </c>
      <c r="E54" s="78">
        <f>E58</f>
        <v>0</v>
      </c>
      <c r="F54" s="78">
        <f>F58</f>
        <v>0</v>
      </c>
      <c r="G54" s="78">
        <f>RADIANS(G58)</f>
        <v>0</v>
      </c>
      <c r="H54" s="78">
        <f>RADIANS(H58)</f>
        <v>0</v>
      </c>
      <c r="I54" s="108">
        <f>RADIANS(I58)</f>
        <v>0</v>
      </c>
    </row>
    <row r="55" spans="2:9" ht="16" thickBot="1">
      <c r="B55" s="76"/>
      <c r="C55" s="77"/>
      <c r="D55" s="79"/>
      <c r="E55" s="79"/>
      <c r="F55" s="79"/>
      <c r="G55" s="79"/>
      <c r="H55" s="79"/>
      <c r="I55" s="80"/>
    </row>
    <row r="56" spans="2:9" ht="16" thickBot="1">
      <c r="B56" s="48"/>
      <c r="C56" s="48"/>
      <c r="D56" s="48"/>
      <c r="E56" s="48"/>
      <c r="F56" s="48"/>
      <c r="G56" s="48"/>
      <c r="H56" s="48"/>
      <c r="I56" s="48"/>
    </row>
    <row r="57" spans="2:9" ht="15">
      <c r="B57" s="49"/>
      <c r="C57" s="48"/>
      <c r="D57" s="51" t="s">
        <v>104</v>
      </c>
      <c r="E57" s="52" t="s">
        <v>105</v>
      </c>
      <c r="F57" s="52" t="s">
        <v>106</v>
      </c>
      <c r="G57" s="106" t="s">
        <v>112</v>
      </c>
      <c r="H57" s="106" t="s">
        <v>113</v>
      </c>
      <c r="I57" s="107" t="s">
        <v>114</v>
      </c>
    </row>
    <row r="58" spans="2:9" ht="16" thickBot="1">
      <c r="B58" s="49"/>
      <c r="C58" s="48"/>
      <c r="D58" s="83">
        <v>0</v>
      </c>
      <c r="E58" s="84">
        <v>0</v>
      </c>
      <c r="F58" s="84">
        <v>0</v>
      </c>
      <c r="G58" s="84">
        <v>0</v>
      </c>
      <c r="H58" s="84">
        <v>0</v>
      </c>
      <c r="I58" s="85">
        <v>0</v>
      </c>
    </row>
    <row r="59" spans="2:9" ht="15">
      <c r="B59" s="49"/>
      <c r="C59" s="86" t="s">
        <v>91</v>
      </c>
      <c r="D59" s="48">
        <v>-60</v>
      </c>
      <c r="E59" s="48">
        <v>-60</v>
      </c>
      <c r="F59" s="125">
        <v>-25</v>
      </c>
      <c r="G59" s="48">
        <v>-23</v>
      </c>
      <c r="H59" s="48">
        <v>-22</v>
      </c>
      <c r="I59" s="48">
        <v>-50</v>
      </c>
    </row>
    <row r="60" spans="2:9" ht="15">
      <c r="B60" s="49"/>
      <c r="C60" s="86" t="s">
        <v>93</v>
      </c>
      <c r="D60" s="48">
        <f t="shared" ref="D60:I60" si="2">D59+(D61-D59)/2</f>
        <v>0</v>
      </c>
      <c r="E60" s="48">
        <f t="shared" si="2"/>
        <v>0</v>
      </c>
      <c r="F60" s="48">
        <f t="shared" si="2"/>
        <v>0</v>
      </c>
      <c r="G60" s="48">
        <f t="shared" si="2"/>
        <v>0</v>
      </c>
      <c r="H60" s="48">
        <f t="shared" si="2"/>
        <v>0</v>
      </c>
      <c r="I60" s="48">
        <f t="shared" si="2"/>
        <v>0</v>
      </c>
    </row>
    <row r="61" spans="2:9" ht="15">
      <c r="B61" s="48"/>
      <c r="C61" s="86" t="s">
        <v>92</v>
      </c>
      <c r="D61" s="48">
        <v>60</v>
      </c>
      <c r="E61" s="48">
        <v>60</v>
      </c>
      <c r="F61" s="48">
        <v>25</v>
      </c>
      <c r="G61" s="48">
        <v>23</v>
      </c>
      <c r="H61" s="48">
        <v>22</v>
      </c>
      <c r="I61" s="48">
        <v>50</v>
      </c>
    </row>
  </sheetData>
  <phoneticPr fontId="12"/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3D View</vt:lpstr>
      <vt:lpstr>DATA</vt:lpstr>
      <vt:lpstr>config</vt:lpstr>
    </vt:vector>
  </TitlesOfParts>
  <Company>Festo AG &amp; Co. KG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Danny Waters</dc:creator>
  <cp:lastModifiedBy>Phil Desrosiers</cp:lastModifiedBy>
  <cp:lastPrinted>2014-10-10T08:51:31Z</cp:lastPrinted>
  <dcterms:created xsi:type="dcterms:W3CDTF">2014-04-22T06:12:13Z</dcterms:created>
  <dcterms:modified xsi:type="dcterms:W3CDTF">2018-01-16T07:12:36Z</dcterms:modified>
</cp:coreProperties>
</file>