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Aniceto\Dropbox\Projectos\mtgo-toolbelt\"/>
    </mc:Choice>
  </mc:AlternateContent>
  <xr:revisionPtr revIDLastSave="0" documentId="13_ncr:1_{FDC306F9-57A9-4800-8497-709CC8F482D6}" xr6:coauthVersionLast="47" xr6:coauthVersionMax="47" xr10:uidLastSave="{00000000-0000-0000-0000-000000000000}"/>
  <bookViews>
    <workbookView xWindow="-120" yWindow="-120" windowWidth="29040" windowHeight="15840" activeTab="1" xr2:uid="{D76A9F52-9D0E-4CFA-BEB3-52A93C601EC1}"/>
  </bookViews>
  <sheets>
    <sheet name="Hypergeometric Calculator" sheetId="1" r:id="rId1"/>
    <sheet name="Mana Calculator" sheetId="5" r:id="rId2"/>
    <sheet name="Land Prob Table" sheetId="4" r:id="rId3"/>
    <sheet name="Mana Sim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M19" i="4"/>
  <c r="M18" i="4"/>
  <c r="M17" i="4"/>
  <c r="M16" i="4"/>
  <c r="M15" i="4"/>
  <c r="M14" i="4"/>
  <c r="M13" i="4"/>
  <c r="M12" i="4"/>
  <c r="M11" i="4"/>
  <c r="M10" i="4"/>
  <c r="M9" i="4"/>
  <c r="N8" i="4"/>
  <c r="O8" i="4" s="1"/>
  <c r="J5" i="5"/>
  <c r="F9" i="5"/>
  <c r="F24" i="5" s="1"/>
  <c r="F19" i="5"/>
  <c r="F34" i="5"/>
  <c r="F6" i="5"/>
  <c r="D10" i="4"/>
  <c r="E19" i="1"/>
  <c r="E16" i="1"/>
  <c r="E13" i="1"/>
  <c r="E10" i="1"/>
  <c r="E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J16" i="1" s="1"/>
  <c r="F21" i="1"/>
  <c r="F18" i="1"/>
  <c r="F15" i="1"/>
  <c r="F9" i="1"/>
  <c r="F12" i="1"/>
  <c r="F6" i="1"/>
  <c r="F14" i="5" l="1"/>
  <c r="J13" i="5" s="1"/>
  <c r="J34" i="5"/>
  <c r="J9" i="1"/>
  <c r="L16" i="1"/>
  <c r="J15" i="1"/>
  <c r="L13" i="1"/>
  <c r="J12" i="1"/>
  <c r="L10" i="1"/>
  <c r="J7" i="1"/>
  <c r="K16" i="1"/>
  <c r="M14" i="1"/>
  <c r="K13" i="1"/>
  <c r="M11" i="1"/>
  <c r="K10" i="1"/>
  <c r="M8" i="1"/>
  <c r="L8" i="1"/>
  <c r="K8" i="1"/>
  <c r="M16" i="1"/>
  <c r="K15" i="1"/>
  <c r="M13" i="1"/>
  <c r="K12" i="1"/>
  <c r="M10" i="1"/>
  <c r="K9" i="1"/>
  <c r="M7" i="1"/>
  <c r="L14" i="1"/>
  <c r="J13" i="1"/>
  <c r="L11" i="1"/>
  <c r="J10" i="1"/>
  <c r="L7" i="1"/>
  <c r="M15" i="1"/>
  <c r="K14" i="1"/>
  <c r="M12" i="1"/>
  <c r="K11" i="1"/>
  <c r="M9" i="1"/>
  <c r="K7" i="1"/>
  <c r="L15" i="1"/>
  <c r="J14" i="1"/>
  <c r="L12" i="1"/>
  <c r="J11" i="1"/>
  <c r="L9" i="1"/>
  <c r="J8" i="1"/>
  <c r="J18" i="5"/>
  <c r="J24" i="5"/>
  <c r="P8" i="4"/>
  <c r="O19" i="4"/>
  <c r="O18" i="4"/>
  <c r="O17" i="4"/>
  <c r="O16" i="4"/>
  <c r="O15" i="4"/>
  <c r="O14" i="4"/>
  <c r="O13" i="4"/>
  <c r="O12" i="4"/>
  <c r="O11" i="4"/>
  <c r="O10" i="4"/>
  <c r="O9" i="4"/>
  <c r="N14" i="4"/>
  <c r="N19" i="4"/>
  <c r="N9" i="4"/>
  <c r="N10" i="4"/>
  <c r="N11" i="4"/>
  <c r="N12" i="4"/>
  <c r="N13" i="4"/>
  <c r="N15" i="4"/>
  <c r="N16" i="4"/>
  <c r="N17" i="4"/>
  <c r="N18" i="4"/>
  <c r="J33" i="5"/>
  <c r="J8" i="5"/>
  <c r="J9" i="5"/>
  <c r="J23" i="5"/>
  <c r="J11" i="5"/>
  <c r="J26" i="5"/>
  <c r="J10" i="5"/>
  <c r="J25" i="5"/>
  <c r="J16" i="5"/>
  <c r="J15" i="5"/>
  <c r="J14" i="5"/>
  <c r="J21" i="5"/>
  <c r="J20" i="5"/>
  <c r="J19" i="5"/>
  <c r="J36" i="5"/>
  <c r="J35" i="5"/>
  <c r="K5" i="5"/>
  <c r="F29" i="5"/>
  <c r="J28" i="5" s="1"/>
  <c r="E8" i="4"/>
  <c r="D9" i="4"/>
  <c r="D19" i="4"/>
  <c r="D18" i="4"/>
  <c r="D17" i="4"/>
  <c r="D16" i="4"/>
  <c r="D15" i="4"/>
  <c r="D14" i="4"/>
  <c r="D13" i="4"/>
  <c r="D12" i="4"/>
  <c r="D11" i="4"/>
  <c r="J30" i="5" l="1"/>
  <c r="Q8" i="4"/>
  <c r="P19" i="4"/>
  <c r="P18" i="4"/>
  <c r="P17" i="4"/>
  <c r="P16" i="4"/>
  <c r="P15" i="4"/>
  <c r="P14" i="4"/>
  <c r="P13" i="4"/>
  <c r="P12" i="4"/>
  <c r="P11" i="4"/>
  <c r="P10" i="4"/>
  <c r="P9" i="4"/>
  <c r="J31" i="5"/>
  <c r="K33" i="5"/>
  <c r="K28" i="5"/>
  <c r="K23" i="5"/>
  <c r="K18" i="5"/>
  <c r="K13" i="5"/>
  <c r="K8" i="5"/>
  <c r="K34" i="5"/>
  <c r="K35" i="5"/>
  <c r="K36" i="5"/>
  <c r="K29" i="5"/>
  <c r="K30" i="5"/>
  <c r="K31" i="5"/>
  <c r="K19" i="5"/>
  <c r="K20" i="5"/>
  <c r="K21" i="5"/>
  <c r="K14" i="5"/>
  <c r="K15" i="5"/>
  <c r="K16" i="5"/>
  <c r="K26" i="5"/>
  <c r="K11" i="5"/>
  <c r="K9" i="5"/>
  <c r="K25" i="5"/>
  <c r="K10" i="5"/>
  <c r="K24" i="5"/>
  <c r="J29" i="5"/>
  <c r="L5" i="5"/>
  <c r="L10" i="5" s="1"/>
  <c r="E9" i="4"/>
  <c r="F8" i="4"/>
  <c r="E10" i="4"/>
  <c r="E11" i="4"/>
  <c r="E12" i="4"/>
  <c r="E13" i="4"/>
  <c r="E14" i="4"/>
  <c r="E15" i="4"/>
  <c r="E16" i="4"/>
  <c r="E17" i="4"/>
  <c r="E18" i="4"/>
  <c r="E19" i="4"/>
  <c r="Q19" i="4" l="1"/>
  <c r="Q18" i="4"/>
  <c r="Q17" i="4"/>
  <c r="Q16" i="4"/>
  <c r="Q15" i="4"/>
  <c r="Q14" i="4"/>
  <c r="Q13" i="4"/>
  <c r="Q12" i="4"/>
  <c r="Q11" i="4"/>
  <c r="Q10" i="4"/>
  <c r="Q9" i="4"/>
  <c r="R8" i="4"/>
  <c r="L24" i="5"/>
  <c r="L9" i="5"/>
  <c r="L34" i="5"/>
  <c r="L36" i="5"/>
  <c r="L29" i="5"/>
  <c r="L30" i="5"/>
  <c r="L33" i="5"/>
  <c r="L28" i="5"/>
  <c r="L23" i="5"/>
  <c r="L18" i="5"/>
  <c r="L13" i="5"/>
  <c r="L8" i="5"/>
  <c r="L35" i="5"/>
  <c r="L31" i="5"/>
  <c r="L19" i="5"/>
  <c r="L20" i="5"/>
  <c r="L21" i="5"/>
  <c r="L14" i="5"/>
  <c r="L15" i="5"/>
  <c r="L16" i="5"/>
  <c r="L26" i="5"/>
  <c r="L11" i="5"/>
  <c r="L25" i="5"/>
  <c r="M5" i="5"/>
  <c r="G8" i="4"/>
  <c r="F9" i="4"/>
  <c r="F10" i="4"/>
  <c r="F11" i="4"/>
  <c r="F12" i="4"/>
  <c r="F13" i="4"/>
  <c r="F14" i="4"/>
  <c r="F15" i="4"/>
  <c r="F16" i="4"/>
  <c r="F17" i="4"/>
  <c r="F18" i="4"/>
  <c r="F19" i="4"/>
  <c r="R19" i="4" l="1"/>
  <c r="R18" i="4"/>
  <c r="R17" i="4"/>
  <c r="R16" i="4"/>
  <c r="R15" i="4"/>
  <c r="R14" i="4"/>
  <c r="R13" i="4"/>
  <c r="R12" i="4"/>
  <c r="R11" i="4"/>
  <c r="R10" i="4"/>
  <c r="R9" i="4"/>
  <c r="M25" i="5"/>
  <c r="M10" i="5"/>
  <c r="M33" i="5"/>
  <c r="M28" i="5"/>
  <c r="M23" i="5"/>
  <c r="M24" i="5"/>
  <c r="M9" i="5"/>
  <c r="M18" i="5"/>
  <c r="M13" i="5"/>
  <c r="M8" i="5"/>
  <c r="M34" i="5"/>
  <c r="M35" i="5"/>
  <c r="M36" i="5"/>
  <c r="M29" i="5"/>
  <c r="M30" i="5"/>
  <c r="M31" i="5"/>
  <c r="M19" i="5"/>
  <c r="M20" i="5"/>
  <c r="M21" i="5"/>
  <c r="M14" i="5"/>
  <c r="M15" i="5"/>
  <c r="M16" i="5"/>
  <c r="M11" i="5"/>
  <c r="M26" i="5"/>
  <c r="N5" i="5"/>
  <c r="H8" i="4"/>
  <c r="G9" i="4"/>
  <c r="G10" i="4"/>
  <c r="G11" i="4"/>
  <c r="G12" i="4"/>
  <c r="G13" i="4"/>
  <c r="G14" i="4"/>
  <c r="G15" i="4"/>
  <c r="G16" i="4"/>
  <c r="G17" i="4"/>
  <c r="G18" i="4"/>
  <c r="G19" i="4"/>
  <c r="N26" i="5" l="1"/>
  <c r="N11" i="5"/>
  <c r="N24" i="5"/>
  <c r="N25" i="5"/>
  <c r="N10" i="5"/>
  <c r="N9" i="5"/>
  <c r="N33" i="5"/>
  <c r="N28" i="5"/>
  <c r="N23" i="5"/>
  <c r="N18" i="5"/>
  <c r="N13" i="5"/>
  <c r="N8" i="5"/>
  <c r="N34" i="5"/>
  <c r="N35" i="5"/>
  <c r="N36" i="5"/>
  <c r="N29" i="5"/>
  <c r="N30" i="5"/>
  <c r="N31" i="5"/>
  <c r="N19" i="5"/>
  <c r="N20" i="5"/>
  <c r="N21" i="5"/>
  <c r="N14" i="5"/>
  <c r="N15" i="5"/>
  <c r="N16" i="5"/>
  <c r="O5" i="5"/>
  <c r="I8" i="4"/>
  <c r="H9" i="4"/>
  <c r="H10" i="4"/>
  <c r="H11" i="4"/>
  <c r="H12" i="4"/>
  <c r="H13" i="4"/>
  <c r="H14" i="4"/>
  <c r="H15" i="4"/>
  <c r="H16" i="4"/>
  <c r="H17" i="4"/>
  <c r="H18" i="4"/>
  <c r="H19" i="4"/>
  <c r="O26" i="5" l="1"/>
  <c r="O11" i="5"/>
  <c r="O25" i="5"/>
  <c r="O10" i="5"/>
  <c r="O24" i="5"/>
  <c r="O9" i="5"/>
  <c r="O34" i="5"/>
  <c r="O36" i="5"/>
  <c r="O19" i="5"/>
  <c r="O20" i="5"/>
  <c r="O21" i="5"/>
  <c r="O16" i="5"/>
  <c r="O33" i="5"/>
  <c r="O28" i="5"/>
  <c r="O23" i="5"/>
  <c r="O18" i="5"/>
  <c r="O13" i="5"/>
  <c r="O8" i="5"/>
  <c r="O35" i="5"/>
  <c r="O29" i="5"/>
  <c r="O30" i="5"/>
  <c r="O31" i="5"/>
  <c r="O14" i="5"/>
  <c r="O15" i="5"/>
  <c r="I9" i="4"/>
  <c r="I10" i="4"/>
  <c r="I11" i="4"/>
  <c r="I12" i="4"/>
  <c r="I13" i="4"/>
  <c r="I14" i="4"/>
  <c r="I15" i="4"/>
  <c r="I16" i="4"/>
  <c r="I17" i="4"/>
  <c r="I18" i="4"/>
  <c r="I19" i="4"/>
</calcChain>
</file>

<file path=xl/sharedStrings.xml><?xml version="1.0" encoding="utf-8"?>
<sst xmlns="http://schemas.openxmlformats.org/spreadsheetml/2006/main" count="126" uniqueCount="84">
  <si>
    <t>Hypergeometric Probability Calculator</t>
  </si>
  <si>
    <t>Calculate the probability of drawing cards in multiple situations</t>
  </si>
  <si>
    <t>Inputs</t>
  </si>
  <si>
    <t>Population size, N</t>
  </si>
  <si>
    <t>Remaining cards in deck/library</t>
  </si>
  <si>
    <t>Sample size, n</t>
  </si>
  <si>
    <t>Cards drawn (e.g., cards in opening hand)</t>
  </si>
  <si>
    <t>Successes in population, K</t>
  </si>
  <si>
    <t>Desired cards in the deck/library</t>
  </si>
  <si>
    <t>Successes in sample, k</t>
  </si>
  <si>
    <t>Desired cards in the sample (set of drawn cards)</t>
  </si>
  <si>
    <t>Analysis</t>
  </si>
  <si>
    <t>Hypergeometric probability: P(X=k)</t>
  </si>
  <si>
    <t>Cumulative probability: P(X&lt;k)</t>
  </si>
  <si>
    <t>Cumulative probability: P(X≤k)</t>
  </si>
  <si>
    <t>Cumulative probability: P(X&gt;k)</t>
  </si>
  <si>
    <t>Cumulative probability: P(X≥k)</t>
  </si>
  <si>
    <t>Hypergeometric probability: P(X=0)</t>
  </si>
  <si>
    <t>Probability to get exactly 0 of the wanted card</t>
  </si>
  <si>
    <t>Mean</t>
  </si>
  <si>
    <t>Variance</t>
  </si>
  <si>
    <t>Standard deviation</t>
  </si>
  <si>
    <t>Average number of cards drawn</t>
  </si>
  <si>
    <t>Probability of drawing 1 or more by turn X</t>
  </si>
  <si>
    <t>Turn</t>
  </si>
  <si>
    <t>Cards drawn</t>
  </si>
  <si>
    <t>One or more</t>
  </si>
  <si>
    <t>Two or more</t>
  </si>
  <si>
    <t>Three or more</t>
  </si>
  <si>
    <t>Four or more</t>
  </si>
  <si>
    <t>On the play?</t>
  </si>
  <si>
    <t>Yes</t>
  </si>
  <si>
    <t>Lands in deck</t>
  </si>
  <si>
    <t>P(X lands by turn X)</t>
  </si>
  <si>
    <t>Land Probability Calculator</t>
  </si>
  <si>
    <t>Table of the probabilities of having X lands by turn X for a 60 card deck</t>
  </si>
  <si>
    <t>Deck size</t>
  </si>
  <si>
    <t>Number of cards in deck</t>
  </si>
  <si>
    <t>"Yes" if starting the game on the play</t>
  </si>
  <si>
    <t>Mana Calculator</t>
  </si>
  <si>
    <t>Calculate deck mana requirements</t>
  </si>
  <si>
    <t>Total creatures + spell</t>
  </si>
  <si>
    <t>Non mana card number</t>
  </si>
  <si>
    <t>Total mana value</t>
  </si>
  <si>
    <t>Sum of all cards mana value</t>
  </si>
  <si>
    <t>Number of white mana symbols</t>
  </si>
  <si>
    <t>Number of blue mana symbols</t>
  </si>
  <si>
    <t>Black (●) mana symbols</t>
  </si>
  <si>
    <t>Number of black mana symbols</t>
  </si>
  <si>
    <t>Number of red mana symbols</t>
  </si>
  <si>
    <t>Number of green mana symbols</t>
  </si>
  <si>
    <t>Consistency</t>
  </si>
  <si>
    <t>Probability considered consistency</t>
  </si>
  <si>
    <r>
      <t>White (</t>
    </r>
    <r>
      <rPr>
        <sz val="11"/>
        <color theme="7" tint="0.59999389629810485"/>
        <rFont val="Calibri"/>
        <family val="2"/>
        <scheme val="minor"/>
      </rPr>
      <t>●</t>
    </r>
    <r>
      <rPr>
        <sz val="11"/>
        <color theme="1"/>
        <rFont val="Calibri"/>
        <family val="2"/>
        <scheme val="minor"/>
      </rPr>
      <t>) mana symbols</t>
    </r>
  </si>
  <si>
    <r>
      <t>Blue (</t>
    </r>
    <r>
      <rPr>
        <sz val="11"/>
        <color theme="4"/>
        <rFont val="Calibri"/>
        <family val="2"/>
        <scheme val="minor"/>
      </rPr>
      <t>●</t>
    </r>
    <r>
      <rPr>
        <sz val="11"/>
        <color theme="1"/>
        <rFont val="Calibri"/>
        <family val="2"/>
        <scheme val="minor"/>
      </rPr>
      <t>) mana symbols</t>
    </r>
  </si>
  <si>
    <r>
      <t>Red (</t>
    </r>
    <r>
      <rPr>
        <sz val="11"/>
        <color rgb="FFC00000"/>
        <rFont val="Calibri"/>
        <family val="2"/>
        <scheme val="minor"/>
      </rPr>
      <t>●</t>
    </r>
    <r>
      <rPr>
        <sz val="11"/>
        <color theme="1"/>
        <rFont val="Calibri"/>
        <family val="2"/>
        <scheme val="minor"/>
      </rPr>
      <t>) mana symbols</t>
    </r>
  </si>
  <si>
    <r>
      <t>Green (</t>
    </r>
    <r>
      <rPr>
        <sz val="11"/>
        <color theme="9" tint="-0.249977111117893"/>
        <rFont val="Calibri"/>
        <family val="2"/>
        <scheme val="minor"/>
      </rPr>
      <t>●</t>
    </r>
    <r>
      <rPr>
        <sz val="11"/>
        <color theme="1"/>
        <rFont val="Calibri"/>
        <family val="2"/>
        <scheme val="minor"/>
      </rPr>
      <t>) mana symbols</t>
    </r>
  </si>
  <si>
    <t>Average mana value</t>
  </si>
  <si>
    <t>Average mana value of non land cards</t>
  </si>
  <si>
    <t>Mana sources</t>
  </si>
  <si>
    <t>Number of land/land equivelent cards</t>
  </si>
  <si>
    <t>Number of white sources</t>
  </si>
  <si>
    <t>Number of blue sources</t>
  </si>
  <si>
    <t>Black (●) sources</t>
  </si>
  <si>
    <t>Number of black sources</t>
  </si>
  <si>
    <t>Number of red sources</t>
  </si>
  <si>
    <t>Number of green sources</t>
  </si>
  <si>
    <t>Calculations</t>
  </si>
  <si>
    <t>Probability of drawing X mana sources by turn Y</t>
  </si>
  <si>
    <r>
      <t>White (</t>
    </r>
    <r>
      <rPr>
        <sz val="11"/>
        <color theme="7" tint="0.59999389629810485"/>
        <rFont val="Calibri"/>
        <family val="2"/>
        <scheme val="minor"/>
      </rPr>
      <t>●</t>
    </r>
    <r>
      <rPr>
        <sz val="11"/>
        <color theme="1"/>
        <rFont val="Calibri"/>
        <family val="2"/>
        <scheme val="minor"/>
      </rPr>
      <t>) sources</t>
    </r>
  </si>
  <si>
    <r>
      <t>Blue (</t>
    </r>
    <r>
      <rPr>
        <sz val="11"/>
        <color theme="4"/>
        <rFont val="Calibri"/>
        <family val="2"/>
        <scheme val="minor"/>
      </rPr>
      <t>●</t>
    </r>
    <r>
      <rPr>
        <sz val="11"/>
        <color theme="1"/>
        <rFont val="Calibri"/>
        <family val="2"/>
        <scheme val="minor"/>
      </rPr>
      <t>) sources</t>
    </r>
  </si>
  <si>
    <r>
      <t>Red (</t>
    </r>
    <r>
      <rPr>
        <sz val="11"/>
        <color rgb="FFC00000"/>
        <rFont val="Calibri"/>
        <family val="2"/>
        <scheme val="minor"/>
      </rPr>
      <t>●</t>
    </r>
    <r>
      <rPr>
        <sz val="11"/>
        <color theme="1"/>
        <rFont val="Calibri"/>
        <family val="2"/>
        <scheme val="minor"/>
      </rPr>
      <t>) sources</t>
    </r>
  </si>
  <si>
    <r>
      <t>Green (</t>
    </r>
    <r>
      <rPr>
        <sz val="11"/>
        <color theme="9" tint="-0.249977111117893"/>
        <rFont val="Calibri"/>
        <family val="2"/>
        <scheme val="minor"/>
      </rPr>
      <t>●</t>
    </r>
    <r>
      <rPr>
        <sz val="11"/>
        <color theme="1"/>
        <rFont val="Calibri"/>
        <family val="2"/>
        <scheme val="minor"/>
      </rPr>
      <t>) sources</t>
    </r>
  </si>
  <si>
    <t>Probability of drawing X lands or more by turn X</t>
  </si>
  <si>
    <t>Notes:</t>
  </si>
  <si>
    <t>- Does not account for mulligans.</t>
  </si>
  <si>
    <t>Mana Simulation</t>
  </si>
  <si>
    <t>On the play, no mulligan</t>
  </si>
  <si>
    <t>On the draw, no mulligan</t>
  </si>
  <si>
    <t>On the play, with mulligan</t>
  </si>
  <si>
    <t>On the draw, with mulligan</t>
  </si>
  <si>
    <t>- Accounts for mulligans.</t>
  </si>
  <si>
    <t>- Based on hypergeometric probability calculations.</t>
  </si>
  <si>
    <t>- Based on game simulations.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</si>
</sst>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0" tint="-0.499984740745262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6" fillId="0" borderId="0" xfId="0" applyFont="1"/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8" fillId="0" borderId="0" xfId="2"/>
    <xf numFmtId="10" fontId="0" fillId="0" borderId="0" xfId="1" applyNumberFormat="1" applyFont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0" borderId="0" xfId="2" quotePrefix="1"/>
    <xf numFmtId="0" fontId="14" fillId="0" borderId="0" xfId="2" applyFont="1"/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0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 applyProtection="1">
      <alignment horizontal="center" vertical="top"/>
      <protection locked="0"/>
    </xf>
    <xf numFmtId="0" fontId="3" fillId="0" borderId="0" xfId="0" applyFont="1" applyAlignment="1">
      <alignment horizontal="center"/>
    </xf>
    <xf numFmtId="9" fontId="5" fillId="0" borderId="0" xfId="0" applyNumberFormat="1" applyFont="1" applyAlignment="1" applyProtection="1">
      <alignment horizontal="center" vertical="top"/>
      <protection locked="0"/>
    </xf>
    <xf numFmtId="2" fontId="5" fillId="0" borderId="0" xfId="0" applyNumberFormat="1" applyFont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E46A-2E16-4077-9CED-408C1CC2973D}">
  <dimension ref="B1:M31"/>
  <sheetViews>
    <sheetView showGridLines="0" workbookViewId="0">
      <selection activeCell="B17" sqref="B17"/>
    </sheetView>
  </sheetViews>
  <sheetFormatPr defaultRowHeight="15" x14ac:dyDescent="0.25"/>
  <cols>
    <col min="1" max="1" width="2.28515625" customWidth="1"/>
    <col min="2" max="2" width="38.85546875" customWidth="1"/>
    <col min="4" max="4" width="17.85546875" customWidth="1"/>
    <col min="5" max="5" width="38" bestFit="1" customWidth="1"/>
    <col min="6" max="6" width="9.7109375" bestFit="1" customWidth="1"/>
    <col min="7" max="7" width="17.85546875" customWidth="1"/>
    <col min="9" max="9" width="11.85546875" bestFit="1" customWidth="1"/>
    <col min="10" max="11" width="12.140625" bestFit="1" customWidth="1"/>
    <col min="12" max="12" width="13.7109375" bestFit="1" customWidth="1"/>
    <col min="13" max="13" width="12.42578125" bestFit="1" customWidth="1"/>
  </cols>
  <sheetData>
    <row r="1" spans="2:13" ht="21" x14ac:dyDescent="0.35">
      <c r="B1" s="1" t="s">
        <v>0</v>
      </c>
    </row>
    <row r="2" spans="2:13" x14ac:dyDescent="0.25">
      <c r="B2" s="9" t="s">
        <v>1</v>
      </c>
    </row>
    <row r="4" spans="2:13" ht="15.75" thickBot="1" x14ac:dyDescent="0.3">
      <c r="B4" s="2" t="s">
        <v>2</v>
      </c>
      <c r="E4" s="2" t="s">
        <v>11</v>
      </c>
      <c r="H4" s="5" t="s">
        <v>23</v>
      </c>
      <c r="L4" s="7" t="s">
        <v>30</v>
      </c>
      <c r="M4" s="25" t="s">
        <v>31</v>
      </c>
    </row>
    <row r="5" spans="2:13" hidden="1" x14ac:dyDescent="0.25">
      <c r="H5" s="3"/>
      <c r="I5" s="3"/>
      <c r="J5" s="3">
        <v>1</v>
      </c>
      <c r="K5" s="3">
        <v>2</v>
      </c>
      <c r="L5" s="3">
        <v>3</v>
      </c>
      <c r="M5" s="3">
        <v>4</v>
      </c>
    </row>
    <row r="6" spans="2:13" ht="15.75" thickBot="1" x14ac:dyDescent="0.3">
      <c r="B6" t="s">
        <v>3</v>
      </c>
      <c r="C6" s="28">
        <v>60</v>
      </c>
      <c r="E6" t="s">
        <v>12</v>
      </c>
      <c r="F6" s="26">
        <f>_xlfn.HYPGEOM.DIST(C15,C9,C12,C6,FALSE)</f>
        <v>0.33700122203921162</v>
      </c>
      <c r="H6" s="20" t="s">
        <v>24</v>
      </c>
      <c r="I6" s="20" t="s">
        <v>25</v>
      </c>
      <c r="J6" s="18" t="s">
        <v>26</v>
      </c>
      <c r="K6" s="18" t="s">
        <v>27</v>
      </c>
      <c r="L6" s="18" t="s">
        <v>28</v>
      </c>
      <c r="M6" s="19" t="s">
        <v>29</v>
      </c>
    </row>
    <row r="7" spans="2:13" x14ac:dyDescent="0.25">
      <c r="B7" s="9" t="s">
        <v>4</v>
      </c>
      <c r="C7" s="28"/>
      <c r="E7" s="8" t="str">
        <f>"Probability to get exactly "&amp;TEXT($C$15,"0")&amp;" card"</f>
        <v>Probability to get exactly 2 card</v>
      </c>
      <c r="F7" s="26"/>
      <c r="H7" s="12">
        <v>1</v>
      </c>
      <c r="I7" s="12">
        <f>IF($M$4="Yes",7,8)</f>
        <v>7</v>
      </c>
      <c r="J7" s="6">
        <f>1-_xlfn.HYPGEOM.DIST(J$5-1,$I7,$C$12,$C$6,TRUE)</f>
        <v>0.9301454049554575</v>
      </c>
      <c r="K7" s="6">
        <f t="shared" ref="K7:M16" si="0">1-_xlfn.HYPGEOM.DIST(K$5-1,$I7,$C$12,$C$6,TRUE)</f>
        <v>0.68565432229955914</v>
      </c>
      <c r="L7" s="6">
        <f t="shared" si="0"/>
        <v>0.34865310026034724</v>
      </c>
      <c r="M7" s="6">
        <f t="shared" si="0"/>
        <v>0.11216101461879546</v>
      </c>
    </row>
    <row r="8" spans="2:13" x14ac:dyDescent="0.25">
      <c r="C8" s="24"/>
      <c r="F8" s="4"/>
      <c r="H8" s="12">
        <v>2</v>
      </c>
      <c r="I8" s="12">
        <f>I7+1</f>
        <v>8</v>
      </c>
      <c r="J8" s="6">
        <f t="shared" ref="J8:J16" si="1">1-_xlfn.HYPGEOM.DIST(J$5-1,$I8,$C$12,$C$6,TRUE)</f>
        <v>0.95386960704605683</v>
      </c>
      <c r="K8" s="6">
        <f t="shared" si="0"/>
        <v>0.76407599032126228</v>
      </c>
      <c r="L8" s="6">
        <f t="shared" si="0"/>
        <v>0.45038931823444905</v>
      </c>
      <c r="M8" s="6">
        <f t="shared" si="0"/>
        <v>0.17909273697017802</v>
      </c>
    </row>
    <row r="9" spans="2:13" x14ac:dyDescent="0.25">
      <c r="B9" t="s">
        <v>5</v>
      </c>
      <c r="C9" s="28">
        <v>7</v>
      </c>
      <c r="E9" t="s">
        <v>13</v>
      </c>
      <c r="F9" s="26">
        <f>_xlfn.HYPGEOM.DIST(C15-1,C9,C12,C6,TRUE)</f>
        <v>0.31434567770044086</v>
      </c>
      <c r="H9" s="12">
        <v>3</v>
      </c>
      <c r="I9" s="12">
        <f t="shared" ref="I9:I16" si="2">I8+1</f>
        <v>9</v>
      </c>
      <c r="J9" s="6">
        <f t="shared" si="1"/>
        <v>0.96983781999165253</v>
      </c>
      <c r="K9" s="6">
        <f t="shared" si="0"/>
        <v>0.82612390348129128</v>
      </c>
      <c r="L9" s="6">
        <f t="shared" si="0"/>
        <v>0.54690829426116072</v>
      </c>
      <c r="M9" s="6">
        <f t="shared" si="0"/>
        <v>0.25735136618102583</v>
      </c>
    </row>
    <row r="10" spans="2:13" x14ac:dyDescent="0.25">
      <c r="B10" s="8" t="s">
        <v>6</v>
      </c>
      <c r="C10" s="28"/>
      <c r="E10" s="8" t="str">
        <f>"Probability to get less than "&amp;TEXT($C$15,"0")&amp;" card"</f>
        <v>Probability to get less than 2 card</v>
      </c>
      <c r="F10" s="26"/>
      <c r="H10" s="12">
        <v>4</v>
      </c>
      <c r="I10" s="12">
        <f t="shared" si="2"/>
        <v>10</v>
      </c>
      <c r="J10" s="6">
        <f t="shared" si="1"/>
        <v>0.98048329528871636</v>
      </c>
      <c r="K10" s="6">
        <f t="shared" si="0"/>
        <v>0.87402854231807836</v>
      </c>
      <c r="L10" s="6">
        <f t="shared" si="0"/>
        <v>0.63450534813414294</v>
      </c>
      <c r="M10" s="6">
        <f t="shared" si="0"/>
        <v>0.34251516855753572</v>
      </c>
    </row>
    <row r="11" spans="2:13" x14ac:dyDescent="0.25">
      <c r="C11" s="24"/>
      <c r="F11" s="4"/>
      <c r="H11" s="12">
        <v>5</v>
      </c>
      <c r="I11" s="12">
        <f t="shared" si="2"/>
        <v>11</v>
      </c>
      <c r="J11" s="6">
        <f t="shared" si="1"/>
        <v>0.98750930898477851</v>
      </c>
      <c r="K11" s="6">
        <f t="shared" si="0"/>
        <v>0.91022315832809531</v>
      </c>
      <c r="L11" s="6">
        <f t="shared" si="0"/>
        <v>0.71115277027300239</v>
      </c>
      <c r="M11" s="6">
        <f t="shared" si="0"/>
        <v>0.43011222243051828</v>
      </c>
    </row>
    <row r="12" spans="2:13" x14ac:dyDescent="0.25">
      <c r="B12" t="s">
        <v>7</v>
      </c>
      <c r="C12" s="28">
        <v>18</v>
      </c>
      <c r="E12" t="s">
        <v>14</v>
      </c>
      <c r="F12" s="26">
        <f>_xlfn.HYPGEOM.DIST(C15,C9,C12,C6,TRUE)</f>
        <v>0.65134689973965276</v>
      </c>
      <c r="H12" s="12">
        <v>6</v>
      </c>
      <c r="I12" s="12">
        <f t="shared" si="2"/>
        <v>12</v>
      </c>
      <c r="J12" s="6">
        <f t="shared" si="1"/>
        <v>0.99209772609241087</v>
      </c>
      <c r="K12" s="6">
        <f t="shared" si="0"/>
        <v>0.93703672080082212</v>
      </c>
      <c r="L12" s="6">
        <f t="shared" si="0"/>
        <v>0.77615534596446123</v>
      </c>
      <c r="M12" s="6">
        <f t="shared" si="0"/>
        <v>0.51614504319862564</v>
      </c>
    </row>
    <row r="13" spans="2:13" x14ac:dyDescent="0.25">
      <c r="B13" s="8" t="s">
        <v>8</v>
      </c>
      <c r="C13" s="28"/>
      <c r="E13" s="8" t="str">
        <f>"Probability to get "&amp;TEXT($C$15,"0")&amp;" or less cards"</f>
        <v>Probability to get 2 or less cards</v>
      </c>
      <c r="F13" s="26"/>
      <c r="H13" s="12">
        <v>7</v>
      </c>
      <c r="I13" s="12">
        <f t="shared" si="2"/>
        <v>13</v>
      </c>
      <c r="J13" s="6">
        <f t="shared" si="1"/>
        <v>0.99506107880775685</v>
      </c>
      <c r="K13" s="6">
        <f t="shared" si="0"/>
        <v>0.95653749350825978</v>
      </c>
      <c r="L13" s="6">
        <f t="shared" si="0"/>
        <v>0.82978247090991475</v>
      </c>
      <c r="M13" s="6">
        <f t="shared" si="0"/>
        <v>0.59739826281294905</v>
      </c>
    </row>
    <row r="14" spans="2:13" x14ac:dyDescent="0.25">
      <c r="C14" s="24"/>
      <c r="F14" s="4"/>
      <c r="H14" s="12">
        <v>8</v>
      </c>
      <c r="I14" s="12">
        <f t="shared" si="2"/>
        <v>14</v>
      </c>
      <c r="J14" s="6">
        <f t="shared" si="1"/>
        <v>0.99695258054095637</v>
      </c>
      <c r="K14" s="6">
        <f t="shared" si="0"/>
        <v>0.97047155627616299</v>
      </c>
      <c r="L14" s="6">
        <f t="shared" si="0"/>
        <v>0.87293311690084086</v>
      </c>
      <c r="M14" s="6">
        <f t="shared" si="0"/>
        <v>0.67156343560985299</v>
      </c>
    </row>
    <row r="15" spans="2:13" x14ac:dyDescent="0.25">
      <c r="B15" t="s">
        <v>9</v>
      </c>
      <c r="C15" s="28">
        <v>2</v>
      </c>
      <c r="E15" t="s">
        <v>15</v>
      </c>
      <c r="F15" s="26">
        <f>1-_xlfn.HYPGEOM.DIST(C15,C9,C12,C6,TRUE)</f>
        <v>0.34865310026034724</v>
      </c>
      <c r="H15" s="12">
        <v>9</v>
      </c>
      <c r="I15" s="12">
        <f t="shared" si="2"/>
        <v>15</v>
      </c>
      <c r="J15" s="6">
        <f t="shared" si="1"/>
        <v>0.99814504902492995</v>
      </c>
      <c r="K15" s="6">
        <f t="shared" si="0"/>
        <v>0.98025802176532573</v>
      </c>
      <c r="L15" s="6">
        <f t="shared" si="0"/>
        <v>0.90685953059660496</v>
      </c>
      <c r="M15" s="6">
        <f t="shared" si="0"/>
        <v>0.73722746211778378</v>
      </c>
    </row>
    <row r="16" spans="2:13" ht="15.75" thickBot="1" x14ac:dyDescent="0.3">
      <c r="B16" s="8" t="s">
        <v>10</v>
      </c>
      <c r="C16" s="28"/>
      <c r="E16" s="8" t="str">
        <f>"Probability to get more than "&amp;TEXT($C$15,"0")&amp;" card"</f>
        <v>Probability to get more than 2 card</v>
      </c>
      <c r="F16" s="26"/>
      <c r="H16" s="13">
        <v>10</v>
      </c>
      <c r="I16" s="13">
        <f t="shared" si="2"/>
        <v>16</v>
      </c>
      <c r="J16" s="6">
        <f t="shared" si="1"/>
        <v>0.99888702941495799</v>
      </c>
      <c r="K16" s="6">
        <f t="shared" si="0"/>
        <v>0.98701534317450956</v>
      </c>
      <c r="L16" s="6">
        <f t="shared" si="0"/>
        <v>0.93295677190103909</v>
      </c>
      <c r="M16" s="6">
        <f t="shared" si="0"/>
        <v>0.79377148494405747</v>
      </c>
    </row>
    <row r="17" spans="5:6" x14ac:dyDescent="0.25">
      <c r="F17" s="4"/>
    </row>
    <row r="18" spans="5:6" x14ac:dyDescent="0.25">
      <c r="E18" t="s">
        <v>16</v>
      </c>
      <c r="F18" s="26">
        <f>1-_xlfn.HYPGEOM.DIST(C15-1,C9,C12,C6,TRUE)</f>
        <v>0.68565432229955914</v>
      </c>
    </row>
    <row r="19" spans="5:6" x14ac:dyDescent="0.25">
      <c r="E19" s="8" t="str">
        <f>"Probability to get "&amp;TEXT($C$15,"0")&amp;" or more cards"</f>
        <v>Probability to get 2 or more cards</v>
      </c>
      <c r="F19" s="26"/>
    </row>
    <row r="20" spans="5:6" x14ac:dyDescent="0.25">
      <c r="F20" s="4"/>
    </row>
    <row r="21" spans="5:6" x14ac:dyDescent="0.25">
      <c r="E21" t="s">
        <v>17</v>
      </c>
      <c r="F21" s="26">
        <f>_xlfn.HYPGEOM.DIST(0,C9,C12,C6,FALSE)</f>
        <v>6.9854595044542486E-2</v>
      </c>
    </row>
    <row r="22" spans="5:6" x14ac:dyDescent="0.25">
      <c r="E22" s="8" t="s">
        <v>18</v>
      </c>
      <c r="F22" s="26"/>
    </row>
    <row r="23" spans="5:6" x14ac:dyDescent="0.25">
      <c r="F23" s="4"/>
    </row>
    <row r="24" spans="5:6" x14ac:dyDescent="0.25">
      <c r="E24" t="s">
        <v>19</v>
      </c>
      <c r="F24" s="27">
        <v>0.47</v>
      </c>
    </row>
    <row r="25" spans="5:6" x14ac:dyDescent="0.25">
      <c r="E25" s="8" t="s">
        <v>22</v>
      </c>
      <c r="F25" s="27"/>
    </row>
    <row r="26" spans="5:6" x14ac:dyDescent="0.25">
      <c r="F26" s="4"/>
    </row>
    <row r="27" spans="5:6" x14ac:dyDescent="0.25">
      <c r="E27" t="s">
        <v>20</v>
      </c>
      <c r="F27" s="27">
        <v>0.39</v>
      </c>
    </row>
    <row r="28" spans="5:6" x14ac:dyDescent="0.25">
      <c r="F28" s="27"/>
    </row>
    <row r="29" spans="5:6" x14ac:dyDescent="0.25">
      <c r="F29" s="4"/>
    </row>
    <row r="30" spans="5:6" x14ac:dyDescent="0.25">
      <c r="E30" t="s">
        <v>21</v>
      </c>
      <c r="F30" s="27">
        <v>0.63</v>
      </c>
    </row>
    <row r="31" spans="5:6" x14ac:dyDescent="0.25">
      <c r="F31" s="27"/>
    </row>
  </sheetData>
  <sheetProtection sheet="1" objects="1" scenarios="1"/>
  <mergeCells count="13">
    <mergeCell ref="C6:C7"/>
    <mergeCell ref="C9:C10"/>
    <mergeCell ref="C12:C13"/>
    <mergeCell ref="C15:C16"/>
    <mergeCell ref="F6:F7"/>
    <mergeCell ref="F9:F10"/>
    <mergeCell ref="F12:F13"/>
    <mergeCell ref="F15:F16"/>
    <mergeCell ref="F18:F19"/>
    <mergeCell ref="F21:F22"/>
    <mergeCell ref="F24:F25"/>
    <mergeCell ref="F27:F28"/>
    <mergeCell ref="F30:F31"/>
  </mergeCells>
  <conditionalFormatting sqref="J7:M16">
    <cfRule type="colorScale" priority="1">
      <colorScale>
        <cfvo type="num" val="0"/>
        <cfvo type="num" val="1"/>
        <color rgb="FFFCFCFF"/>
        <color rgb="FF63BE7B"/>
      </colorScale>
    </cfRule>
  </conditionalFormatting>
  <dataValidations count="1">
    <dataValidation type="list" allowBlank="1" showInputMessage="1" showErrorMessage="1" sqref="M4" xr:uid="{44A923F3-4372-4FB8-B6DA-3C3355CEE0B2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B92D-F1F8-4387-BB39-3D49ED4C252B}">
  <dimension ref="B1:O36"/>
  <sheetViews>
    <sheetView showGridLines="0" tabSelected="1" workbookViewId="0">
      <selection activeCell="C12" sqref="C12:C13"/>
    </sheetView>
  </sheetViews>
  <sheetFormatPr defaultRowHeight="15" x14ac:dyDescent="0.25"/>
  <cols>
    <col min="1" max="1" width="2.28515625" customWidth="1"/>
    <col min="2" max="2" width="29.140625" customWidth="1"/>
    <col min="4" max="4" width="15.7109375" customWidth="1"/>
    <col min="5" max="5" width="35.5703125" bestFit="1" customWidth="1"/>
    <col min="7" max="7" width="15.7109375" customWidth="1"/>
    <col min="9" max="9" width="14.28515625" customWidth="1"/>
    <col min="10" max="15" width="10.7109375" customWidth="1"/>
  </cols>
  <sheetData>
    <row r="1" spans="2:15" ht="21" x14ac:dyDescent="0.35">
      <c r="B1" s="1" t="s">
        <v>39</v>
      </c>
    </row>
    <row r="2" spans="2:15" x14ac:dyDescent="0.25">
      <c r="B2" s="9" t="s">
        <v>40</v>
      </c>
    </row>
    <row r="4" spans="2:15" x14ac:dyDescent="0.25">
      <c r="B4" s="2" t="s">
        <v>2</v>
      </c>
      <c r="E4" s="2" t="s">
        <v>67</v>
      </c>
      <c r="I4" s="29" t="s">
        <v>68</v>
      </c>
      <c r="J4" s="29"/>
      <c r="K4" s="29"/>
      <c r="L4" s="29"/>
      <c r="M4" s="29"/>
      <c r="N4" s="29"/>
      <c r="O4" s="29"/>
    </row>
    <row r="5" spans="2:15" hidden="1" x14ac:dyDescent="0.25">
      <c r="I5" s="3" t="s">
        <v>25</v>
      </c>
      <c r="J5" s="3">
        <f>IF(C30="Yes",7,8)</f>
        <v>7</v>
      </c>
      <c r="K5" s="3">
        <f>J5+1</f>
        <v>8</v>
      </c>
      <c r="L5" s="3">
        <f t="shared" ref="L5:N5" si="0">K5+1</f>
        <v>9</v>
      </c>
      <c r="M5" s="3">
        <f t="shared" si="0"/>
        <v>10</v>
      </c>
      <c r="N5" s="3">
        <f t="shared" si="0"/>
        <v>11</v>
      </c>
      <c r="O5" s="3">
        <f>N5+1</f>
        <v>12</v>
      </c>
    </row>
    <row r="6" spans="2:15" x14ac:dyDescent="0.25">
      <c r="B6" t="s">
        <v>36</v>
      </c>
      <c r="C6" s="28">
        <v>60</v>
      </c>
      <c r="E6" t="s">
        <v>57</v>
      </c>
      <c r="F6" s="31">
        <f>C12/C9</f>
        <v>1.868421052631579</v>
      </c>
      <c r="I6" s="21" t="s">
        <v>24</v>
      </c>
      <c r="J6" s="21">
        <v>1</v>
      </c>
      <c r="K6" s="21">
        <v>2</v>
      </c>
      <c r="L6" s="21">
        <v>3</v>
      </c>
      <c r="M6" s="21">
        <v>4</v>
      </c>
      <c r="N6" s="21">
        <v>5</v>
      </c>
      <c r="O6" s="21">
        <v>6</v>
      </c>
    </row>
    <row r="7" spans="2:15" x14ac:dyDescent="0.25">
      <c r="B7" s="9" t="s">
        <v>37</v>
      </c>
      <c r="C7" s="28"/>
      <c r="E7" s="9" t="s">
        <v>58</v>
      </c>
      <c r="F7" s="31"/>
      <c r="I7" s="3"/>
    </row>
    <row r="8" spans="2:15" x14ac:dyDescent="0.25">
      <c r="C8" s="24"/>
      <c r="H8" s="3">
        <v>1</v>
      </c>
      <c r="I8" s="3" t="s">
        <v>26</v>
      </c>
      <c r="J8" s="6">
        <f>IFERROR(1-_xlfn.HYPGEOM.DIST($H8-1,J$5,$F$9,$C$6,TRUE),"-")</f>
        <v>0.96732255341255924</v>
      </c>
      <c r="K8" s="6">
        <f t="shared" ref="K8:O8" si="1">IFERROR(1-_xlfn.HYPGEOM.DIST($H8-1,K$5,$F$9,$C$6,TRUE),"-")</f>
        <v>0.9808867765243271</v>
      </c>
      <c r="L8" s="6">
        <f t="shared" si="1"/>
        <v>0.98897314030249639</v>
      </c>
      <c r="M8" s="6">
        <f t="shared" si="1"/>
        <v>0.99372982487789008</v>
      </c>
      <c r="N8" s="6">
        <f t="shared" si="1"/>
        <v>0.99648870193161843</v>
      </c>
      <c r="O8" s="6">
        <f t="shared" si="1"/>
        <v>0.99806520310517755</v>
      </c>
    </row>
    <row r="9" spans="2:15" x14ac:dyDescent="0.25">
      <c r="B9" t="s">
        <v>41</v>
      </c>
      <c r="C9" s="28">
        <v>38</v>
      </c>
      <c r="E9" t="s">
        <v>59</v>
      </c>
      <c r="F9" s="27">
        <f>C6-C9</f>
        <v>22</v>
      </c>
      <c r="H9" s="3">
        <v>2</v>
      </c>
      <c r="I9" s="3" t="s">
        <v>27</v>
      </c>
      <c r="J9" s="6">
        <f t="shared" ref="J9:O11" si="2">IFERROR(1-_xlfn.HYPGEOM.DIST($H9-1,J$5,$F$9,$C$6,TRUE),"-")</f>
        <v>0.81006234171050062</v>
      </c>
      <c r="K9" s="6">
        <f t="shared" si="2"/>
        <v>0.87237299163018422</v>
      </c>
      <c r="L9" s="6">
        <f t="shared" si="2"/>
        <v>0.91619586629897276</v>
      </c>
      <c r="M9" s="6">
        <f t="shared" si="2"/>
        <v>0.94616297912395309</v>
      </c>
      <c r="N9" s="6">
        <f t="shared" si="2"/>
        <v>0.9661410543406066</v>
      </c>
      <c r="O9" s="6">
        <f t="shared" si="2"/>
        <v>0.97914718902246889</v>
      </c>
    </row>
    <row r="10" spans="2:15" x14ac:dyDescent="0.25">
      <c r="B10" s="9" t="s">
        <v>42</v>
      </c>
      <c r="C10" s="28"/>
      <c r="E10" s="9" t="s">
        <v>60</v>
      </c>
      <c r="F10" s="27"/>
      <c r="H10" s="3">
        <v>3</v>
      </c>
      <c r="I10" s="3" t="s">
        <v>28</v>
      </c>
      <c r="J10" s="6">
        <f t="shared" si="2"/>
        <v>0.50983830118838847</v>
      </c>
      <c r="K10" s="6">
        <f t="shared" si="2"/>
        <v>0.62313039195144992</v>
      </c>
      <c r="L10" s="6">
        <f>IFERROR(1-_xlfn.HYPGEOM.DIST($H10-1,L$5,$F$9,$C$6,TRUE),"-")</f>
        <v>0.71899293028942468</v>
      </c>
      <c r="M10" s="6">
        <f t="shared" si="2"/>
        <v>0.79632741499905135</v>
      </c>
      <c r="N10" s="6">
        <f t="shared" si="2"/>
        <v>0.85626164064901211</v>
      </c>
      <c r="O10" s="6">
        <f t="shared" si="2"/>
        <v>0.90111038093129547</v>
      </c>
    </row>
    <row r="11" spans="2:15" x14ac:dyDescent="0.25">
      <c r="C11" s="24"/>
      <c r="H11" s="3">
        <v>4</v>
      </c>
      <c r="I11" s="3" t="s">
        <v>29</v>
      </c>
      <c r="J11" s="6">
        <f t="shared" si="2"/>
        <v>0.21550100655886739</v>
      </c>
      <c r="K11" s="6">
        <f t="shared" si="2"/>
        <v>0.32101814991662025</v>
      </c>
      <c r="L11" s="6">
        <f t="shared" si="2"/>
        <v>0.43140531527549986</v>
      </c>
      <c r="M11" s="6">
        <f t="shared" si="2"/>
        <v>0.53854579930029556</v>
      </c>
      <c r="N11" s="6">
        <f t="shared" si="2"/>
        <v>0.6365028132658227</v>
      </c>
      <c r="O11" s="6">
        <f t="shared" si="2"/>
        <v>0.72171541980216158</v>
      </c>
    </row>
    <row r="12" spans="2:15" x14ac:dyDescent="0.25">
      <c r="B12" t="s">
        <v>43</v>
      </c>
      <c r="C12" s="28">
        <v>71</v>
      </c>
      <c r="I12" s="3"/>
      <c r="J12" s="3"/>
      <c r="K12" s="3"/>
      <c r="L12" s="3"/>
      <c r="M12" s="3"/>
      <c r="N12" s="3"/>
      <c r="O12" s="3"/>
    </row>
    <row r="13" spans="2:15" x14ac:dyDescent="0.25">
      <c r="B13" s="9" t="s">
        <v>44</v>
      </c>
      <c r="C13" s="28"/>
      <c r="H13" s="3">
        <v>1</v>
      </c>
      <c r="I13" s="3" t="s">
        <v>26</v>
      </c>
      <c r="J13" s="37">
        <f t="shared" ref="J13:O16" si="3">IFERROR(1-_xlfn.HYPGEOM.DIST($H13-1,J$5,$F$14,$C$6,TRUE),"-")</f>
        <v>0.94178783746288131</v>
      </c>
      <c r="K13" s="37">
        <f t="shared" si="3"/>
        <v>0.96265634856109361</v>
      </c>
      <c r="L13" s="37">
        <f t="shared" si="3"/>
        <v>0.9763011442791556</v>
      </c>
      <c r="M13" s="37">
        <f t="shared" si="3"/>
        <v>0.98513012974378389</v>
      </c>
      <c r="N13" s="37">
        <f t="shared" si="3"/>
        <v>0.99078068044114598</v>
      </c>
      <c r="O13" s="37">
        <f t="shared" si="3"/>
        <v>0.99435551863743632</v>
      </c>
    </row>
    <row r="14" spans="2:15" x14ac:dyDescent="0.25">
      <c r="C14" s="24"/>
      <c r="E14" t="s">
        <v>69</v>
      </c>
      <c r="F14" s="27">
        <f>IF(C15&gt;0,ROUND((C15/SUM($C$15:$C$28))*$F$9,0),"-")</f>
        <v>19</v>
      </c>
      <c r="H14" s="3">
        <v>2</v>
      </c>
      <c r="I14" s="3" t="s">
        <v>27</v>
      </c>
      <c r="J14" s="37">
        <f t="shared" si="3"/>
        <v>0.72058161982183011</v>
      </c>
      <c r="K14" s="37">
        <f t="shared" si="3"/>
        <v>0.79570825977539483</v>
      </c>
      <c r="L14" s="37">
        <f t="shared" si="3"/>
        <v>0.85349798281659806</v>
      </c>
      <c r="M14" s="37">
        <f t="shared" si="3"/>
        <v>0.89684027509750086</v>
      </c>
      <c r="N14" s="37">
        <f t="shared" si="3"/>
        <v>0.92862462277016278</v>
      </c>
      <c r="O14" s="37">
        <f t="shared" si="3"/>
        <v>0.95145746028195255</v>
      </c>
    </row>
    <row r="15" spans="2:15" x14ac:dyDescent="0.25">
      <c r="B15" t="s">
        <v>53</v>
      </c>
      <c r="C15" s="28">
        <f>8*4</f>
        <v>32</v>
      </c>
      <c r="E15" s="9" t="s">
        <v>61</v>
      </c>
      <c r="F15" s="27"/>
      <c r="H15" s="3">
        <v>3</v>
      </c>
      <c r="I15" s="3" t="s">
        <v>28</v>
      </c>
      <c r="J15" s="37">
        <f t="shared" si="3"/>
        <v>0.38877229336025332</v>
      </c>
      <c r="K15" s="37">
        <f t="shared" si="3"/>
        <v>0.4952016999611365</v>
      </c>
      <c r="L15" s="37">
        <f t="shared" si="3"/>
        <v>0.593444229131183</v>
      </c>
      <c r="M15" s="37">
        <f t="shared" si="3"/>
        <v>0.6801288136929875</v>
      </c>
      <c r="N15" s="37">
        <f t="shared" si="3"/>
        <v>0.7538107105705224</v>
      </c>
      <c r="O15" s="37">
        <f t="shared" si="3"/>
        <v>0.81446043521121392</v>
      </c>
    </row>
    <row r="16" spans="2:15" x14ac:dyDescent="0.25">
      <c r="B16" s="9" t="s">
        <v>45</v>
      </c>
      <c r="C16" s="28"/>
      <c r="H16" s="3">
        <v>4</v>
      </c>
      <c r="I16" s="3" t="s">
        <v>29</v>
      </c>
      <c r="J16" s="37">
        <f t="shared" si="3"/>
        <v>0.1346840703941814</v>
      </c>
      <c r="K16" s="37">
        <f t="shared" si="3"/>
        <v>0.21138994902544861</v>
      </c>
      <c r="L16" s="37">
        <f t="shared" si="3"/>
        <v>0.29871664162104516</v>
      </c>
      <c r="M16" s="37">
        <f t="shared" si="3"/>
        <v>0.39118019848697061</v>
      </c>
      <c r="N16" s="37">
        <f t="shared" si="3"/>
        <v>0.48364375535289561</v>
      </c>
      <c r="O16" s="37">
        <f t="shared" si="3"/>
        <v>0.57186153664844763</v>
      </c>
    </row>
    <row r="17" spans="2:15" x14ac:dyDescent="0.25">
      <c r="C17" s="24"/>
      <c r="I17" s="3"/>
      <c r="J17" s="3"/>
      <c r="K17" s="3"/>
      <c r="L17" s="3"/>
      <c r="M17" s="3"/>
      <c r="N17" s="3"/>
      <c r="O17" s="3"/>
    </row>
    <row r="18" spans="2:15" x14ac:dyDescent="0.25">
      <c r="B18" t="s">
        <v>54</v>
      </c>
      <c r="C18" s="28">
        <v>0</v>
      </c>
      <c r="H18" s="3">
        <v>1</v>
      </c>
      <c r="I18" s="3" t="s">
        <v>26</v>
      </c>
      <c r="J18" s="3" t="str">
        <f t="shared" ref="J18:O21" si="4">IFERROR(1-_xlfn.HYPGEOM.DIST($H18-1,J$5,$F$19,$C$6,TRUE),"-")</f>
        <v>-</v>
      </c>
      <c r="K18" s="3" t="str">
        <f t="shared" si="4"/>
        <v>-</v>
      </c>
      <c r="L18" s="3" t="str">
        <f t="shared" si="4"/>
        <v>-</v>
      </c>
      <c r="M18" s="3" t="str">
        <f t="shared" si="4"/>
        <v>-</v>
      </c>
      <c r="N18" s="3" t="str">
        <f t="shared" si="4"/>
        <v>-</v>
      </c>
      <c r="O18" s="3" t="str">
        <f t="shared" si="4"/>
        <v>-</v>
      </c>
    </row>
    <row r="19" spans="2:15" x14ac:dyDescent="0.25">
      <c r="B19" s="9" t="s">
        <v>46</v>
      </c>
      <c r="C19" s="28"/>
      <c r="E19" t="s">
        <v>70</v>
      </c>
      <c r="F19" s="27" t="str">
        <f>IF(C18&gt;0,ROUND((C18/SUM($C$15:$C$28))*$F$9,0),"-")</f>
        <v>-</v>
      </c>
      <c r="H19" s="3">
        <v>2</v>
      </c>
      <c r="I19" s="3" t="s">
        <v>27</v>
      </c>
      <c r="J19" s="3" t="str">
        <f t="shared" si="4"/>
        <v>-</v>
      </c>
      <c r="K19" s="3" t="str">
        <f t="shared" si="4"/>
        <v>-</v>
      </c>
      <c r="L19" s="3" t="str">
        <f t="shared" si="4"/>
        <v>-</v>
      </c>
      <c r="M19" s="3" t="str">
        <f t="shared" si="4"/>
        <v>-</v>
      </c>
      <c r="N19" s="3" t="str">
        <f t="shared" si="4"/>
        <v>-</v>
      </c>
      <c r="O19" s="3" t="str">
        <f t="shared" si="4"/>
        <v>-</v>
      </c>
    </row>
    <row r="20" spans="2:15" x14ac:dyDescent="0.25">
      <c r="C20" s="24"/>
      <c r="E20" s="9" t="s">
        <v>62</v>
      </c>
      <c r="F20" s="27"/>
      <c r="H20" s="3">
        <v>3</v>
      </c>
      <c r="I20" s="3" t="s">
        <v>28</v>
      </c>
      <c r="J20" s="3" t="str">
        <f t="shared" si="4"/>
        <v>-</v>
      </c>
      <c r="K20" s="3" t="str">
        <f t="shared" si="4"/>
        <v>-</v>
      </c>
      <c r="L20" s="3" t="str">
        <f t="shared" si="4"/>
        <v>-</v>
      </c>
      <c r="M20" s="3" t="str">
        <f t="shared" si="4"/>
        <v>-</v>
      </c>
      <c r="N20" s="3" t="str">
        <f t="shared" si="4"/>
        <v>-</v>
      </c>
      <c r="O20" s="3" t="str">
        <f t="shared" si="4"/>
        <v>-</v>
      </c>
    </row>
    <row r="21" spans="2:15" x14ac:dyDescent="0.25">
      <c r="B21" t="s">
        <v>47</v>
      </c>
      <c r="C21" s="28">
        <v>6</v>
      </c>
      <c r="H21" s="3">
        <v>4</v>
      </c>
      <c r="I21" s="3" t="s">
        <v>29</v>
      </c>
      <c r="J21" s="3" t="str">
        <f t="shared" si="4"/>
        <v>-</v>
      </c>
      <c r="K21" s="3" t="str">
        <f t="shared" si="4"/>
        <v>-</v>
      </c>
      <c r="L21" s="3" t="str">
        <f t="shared" si="4"/>
        <v>-</v>
      </c>
      <c r="M21" s="3" t="str">
        <f t="shared" si="4"/>
        <v>-</v>
      </c>
      <c r="N21" s="3" t="str">
        <f t="shared" si="4"/>
        <v>-</v>
      </c>
      <c r="O21" s="3" t="str">
        <f t="shared" si="4"/>
        <v>-</v>
      </c>
    </row>
    <row r="22" spans="2:15" x14ac:dyDescent="0.25">
      <c r="B22" s="9" t="s">
        <v>48</v>
      </c>
      <c r="C22" s="28"/>
      <c r="I22" s="3"/>
      <c r="J22" s="3"/>
      <c r="K22" s="3"/>
      <c r="L22" s="3"/>
      <c r="M22" s="3"/>
      <c r="N22" s="3"/>
      <c r="O22" s="3"/>
    </row>
    <row r="23" spans="2:15" x14ac:dyDescent="0.25">
      <c r="C23" s="24"/>
      <c r="H23" s="3">
        <v>1</v>
      </c>
      <c r="I23" s="3" t="s">
        <v>26</v>
      </c>
      <c r="J23" s="6">
        <f>IFERROR(1-_xlfn.HYPGEOM.DIST($H23-1,J$5,$F$24,$C$6,TRUE),"-")</f>
        <v>0.31542957334891852</v>
      </c>
      <c r="K23" s="6">
        <f t="shared" ref="K23:O23" si="5">IFERROR(1-_xlfn.HYPGEOM.DIST($H23-1,K$5,$F$24,$C$6,TRUE),"-")</f>
        <v>0.3541788427819984</v>
      </c>
      <c r="L23" s="6">
        <f t="shared" si="5"/>
        <v>0.39143775569842187</v>
      </c>
      <c r="M23" s="6">
        <f t="shared" si="5"/>
        <v>0.42723553477498533</v>
      </c>
      <c r="N23" s="6">
        <f t="shared" si="5"/>
        <v>0.46160140268848626</v>
      </c>
      <c r="O23" s="6">
        <f t="shared" si="5"/>
        <v>0.49456458211572174</v>
      </c>
    </row>
    <row r="24" spans="2:15" x14ac:dyDescent="0.25">
      <c r="B24" t="s">
        <v>55</v>
      </c>
      <c r="C24" s="28">
        <v>0</v>
      </c>
      <c r="E24" t="s">
        <v>63</v>
      </c>
      <c r="F24" s="27">
        <f>IF(C21&gt;0,ROUND((C21/SUM($C$15:$C$28))*$F$9,0),"-")</f>
        <v>3</v>
      </c>
      <c r="H24" s="3">
        <v>2</v>
      </c>
      <c r="I24" s="3" t="s">
        <v>27</v>
      </c>
      <c r="J24" s="6">
        <f t="shared" ref="J24:O26" si="6">IFERROR(1-_xlfn.HYPGEOM.DIST($H24-1,J$5,$F$24,$C$6,TRUE),"-")</f>
        <v>3.3547632963179419E-2</v>
      </c>
      <c r="K24" s="6">
        <f t="shared" si="6"/>
        <v>4.4184687317358251E-2</v>
      </c>
      <c r="L24" s="6">
        <f t="shared" si="6"/>
        <v>5.6107539450613642E-2</v>
      </c>
      <c r="M24" s="6">
        <f t="shared" si="6"/>
        <v>6.9257744009351363E-2</v>
      </c>
      <c r="N24" s="6">
        <f t="shared" si="6"/>
        <v>8.3576855639976633E-2</v>
      </c>
      <c r="O24" s="6">
        <f t="shared" si="6"/>
        <v>9.9006428988895445E-2</v>
      </c>
    </row>
    <row r="25" spans="2:15" x14ac:dyDescent="0.25">
      <c r="B25" s="9" t="s">
        <v>49</v>
      </c>
      <c r="C25" s="28"/>
      <c r="E25" s="9" t="s">
        <v>64</v>
      </c>
      <c r="F25" s="27"/>
      <c r="H25" s="3">
        <v>3</v>
      </c>
      <c r="I25" s="3" t="s">
        <v>28</v>
      </c>
      <c r="J25" s="6">
        <f t="shared" si="6"/>
        <v>1.0227936879018129E-3</v>
      </c>
      <c r="K25" s="6">
        <f t="shared" si="6"/>
        <v>1.6364699006429229E-3</v>
      </c>
      <c r="L25" s="6">
        <f t="shared" si="6"/>
        <v>2.4547048509643288E-3</v>
      </c>
      <c r="M25" s="6">
        <f t="shared" si="6"/>
        <v>3.506721215663311E-3</v>
      </c>
      <c r="N25" s="6">
        <f t="shared" si="6"/>
        <v>4.8217416715371497E-3</v>
      </c>
      <c r="O25" s="6">
        <f t="shared" si="6"/>
        <v>6.4289888953827923E-3</v>
      </c>
    </row>
    <row r="26" spans="2:15" x14ac:dyDescent="0.25">
      <c r="C26" s="24"/>
      <c r="H26" s="3">
        <v>4</v>
      </c>
      <c r="I26" s="3" t="s">
        <v>29</v>
      </c>
      <c r="J26" s="6">
        <f t="shared" si="6"/>
        <v>0</v>
      </c>
      <c r="K26" s="6">
        <f t="shared" si="6"/>
        <v>0</v>
      </c>
      <c r="L26" s="6">
        <f t="shared" si="6"/>
        <v>0</v>
      </c>
      <c r="M26" s="6">
        <f t="shared" si="6"/>
        <v>0</v>
      </c>
      <c r="N26" s="6">
        <f t="shared" si="6"/>
        <v>0</v>
      </c>
      <c r="O26" s="6">
        <f t="shared" si="6"/>
        <v>0</v>
      </c>
    </row>
    <row r="27" spans="2:15" x14ac:dyDescent="0.25">
      <c r="B27" t="s">
        <v>56</v>
      </c>
      <c r="C27" s="28">
        <v>0</v>
      </c>
      <c r="I27" s="3"/>
      <c r="J27" s="3"/>
      <c r="K27" s="3"/>
      <c r="L27" s="3"/>
      <c r="M27" s="3"/>
      <c r="N27" s="3"/>
      <c r="O27" s="3"/>
    </row>
    <row r="28" spans="2:15" x14ac:dyDescent="0.25">
      <c r="B28" s="9" t="s">
        <v>50</v>
      </c>
      <c r="C28" s="28"/>
      <c r="H28" s="3">
        <v>1</v>
      </c>
      <c r="I28" s="3" t="s">
        <v>26</v>
      </c>
      <c r="J28" s="6" t="str">
        <f>IFERROR(1-_xlfn.HYPGEOM.DIST($H28-1,J$5,$F$29,$C$6,TRUE),"-")</f>
        <v>-</v>
      </c>
      <c r="K28" s="6" t="str">
        <f t="shared" ref="K28:O31" si="7">IFERROR(1-_xlfn.HYPGEOM.DIST($H28-1,K$5,$F$29,$C$6,TRUE),"-")</f>
        <v>-</v>
      </c>
      <c r="L28" s="6" t="str">
        <f t="shared" si="7"/>
        <v>-</v>
      </c>
      <c r="M28" s="6" t="str">
        <f t="shared" si="7"/>
        <v>-</v>
      </c>
      <c r="N28" s="6" t="str">
        <f t="shared" si="7"/>
        <v>-</v>
      </c>
      <c r="O28" s="6" t="str">
        <f t="shared" si="7"/>
        <v>-</v>
      </c>
    </row>
    <row r="29" spans="2:15" x14ac:dyDescent="0.25">
      <c r="C29" s="24"/>
      <c r="E29" t="s">
        <v>71</v>
      </c>
      <c r="F29" s="27" t="str">
        <f>IF(C24&gt;0,ROUND((C24/SUM($C$15:$C$28))*$F$9,0),"-")</f>
        <v>-</v>
      </c>
      <c r="H29" s="3">
        <v>2</v>
      </c>
      <c r="I29" s="3" t="s">
        <v>27</v>
      </c>
      <c r="J29" s="6" t="str">
        <f t="shared" ref="J29:J31" si="8">IFERROR(1-_xlfn.HYPGEOM.DIST($H29-1,J$5,$F$29,$C$6,TRUE),"-")</f>
        <v>-</v>
      </c>
      <c r="K29" s="6" t="str">
        <f t="shared" si="7"/>
        <v>-</v>
      </c>
      <c r="L29" s="6" t="str">
        <f t="shared" si="7"/>
        <v>-</v>
      </c>
      <c r="M29" s="6" t="str">
        <f t="shared" si="7"/>
        <v>-</v>
      </c>
      <c r="N29" s="6" t="str">
        <f t="shared" si="7"/>
        <v>-</v>
      </c>
      <c r="O29" s="6" t="str">
        <f t="shared" si="7"/>
        <v>-</v>
      </c>
    </row>
    <row r="30" spans="2:15" x14ac:dyDescent="0.25">
      <c r="B30" t="s">
        <v>30</v>
      </c>
      <c r="C30" s="28" t="s">
        <v>31</v>
      </c>
      <c r="E30" s="9" t="s">
        <v>65</v>
      </c>
      <c r="F30" s="27"/>
      <c r="H30" s="3">
        <v>3</v>
      </c>
      <c r="I30" s="3" t="s">
        <v>28</v>
      </c>
      <c r="J30" s="6" t="str">
        <f t="shared" si="8"/>
        <v>-</v>
      </c>
      <c r="K30" s="6" t="str">
        <f t="shared" si="7"/>
        <v>-</v>
      </c>
      <c r="L30" s="6" t="str">
        <f t="shared" si="7"/>
        <v>-</v>
      </c>
      <c r="M30" s="6" t="str">
        <f t="shared" si="7"/>
        <v>-</v>
      </c>
      <c r="N30" s="6" t="str">
        <f t="shared" si="7"/>
        <v>-</v>
      </c>
      <c r="O30" s="6" t="str">
        <f t="shared" si="7"/>
        <v>-</v>
      </c>
    </row>
    <row r="31" spans="2:15" x14ac:dyDescent="0.25">
      <c r="B31" s="9" t="s">
        <v>38</v>
      </c>
      <c r="C31" s="28"/>
      <c r="H31" s="3">
        <v>4</v>
      </c>
      <c r="I31" s="3" t="s">
        <v>29</v>
      </c>
      <c r="J31" s="6" t="str">
        <f t="shared" si="8"/>
        <v>-</v>
      </c>
      <c r="K31" s="6" t="str">
        <f t="shared" si="7"/>
        <v>-</v>
      </c>
      <c r="L31" s="6" t="str">
        <f t="shared" si="7"/>
        <v>-</v>
      </c>
      <c r="M31" s="6" t="str">
        <f t="shared" si="7"/>
        <v>-</v>
      </c>
      <c r="N31" s="6" t="str">
        <f t="shared" si="7"/>
        <v>-</v>
      </c>
      <c r="O31" s="6" t="str">
        <f t="shared" si="7"/>
        <v>-</v>
      </c>
    </row>
    <row r="32" spans="2:15" x14ac:dyDescent="0.25">
      <c r="C32" s="24"/>
      <c r="I32" s="3"/>
      <c r="J32" s="3"/>
      <c r="K32" s="3"/>
      <c r="L32" s="3"/>
      <c r="M32" s="3"/>
      <c r="N32" s="3"/>
      <c r="O32" s="3"/>
    </row>
    <row r="33" spans="2:15" x14ac:dyDescent="0.25">
      <c r="B33" t="s">
        <v>51</v>
      </c>
      <c r="C33" s="30">
        <v>0.9</v>
      </c>
      <c r="H33" s="3">
        <v>1</v>
      </c>
      <c r="I33" s="3" t="s">
        <v>26</v>
      </c>
      <c r="J33" s="3" t="str">
        <f>IFERROR(1-_xlfn.HYPGEOM.DIST($H33-1,J$5,$F$34,$C$6,TRUE),"-")</f>
        <v>-</v>
      </c>
      <c r="K33" s="3" t="str">
        <f t="shared" ref="K33:O36" si="9">IFERROR(1-_xlfn.HYPGEOM.DIST($H33-1,K$5,$F$34,$C$6,TRUE),"-")</f>
        <v>-</v>
      </c>
      <c r="L33" s="3" t="str">
        <f t="shared" si="9"/>
        <v>-</v>
      </c>
      <c r="M33" s="3" t="str">
        <f t="shared" si="9"/>
        <v>-</v>
      </c>
      <c r="N33" s="3" t="str">
        <f t="shared" si="9"/>
        <v>-</v>
      </c>
      <c r="O33" s="3" t="str">
        <f t="shared" si="9"/>
        <v>-</v>
      </c>
    </row>
    <row r="34" spans="2:15" x14ac:dyDescent="0.25">
      <c r="B34" s="9" t="s">
        <v>52</v>
      </c>
      <c r="C34" s="30"/>
      <c r="E34" t="s">
        <v>72</v>
      </c>
      <c r="F34" s="27" t="str">
        <f>IF(C27&gt;0,ROUND((C27/SUM($C$15:$C$28))*$F$9,0),"-")</f>
        <v>-</v>
      </c>
      <c r="H34" s="3">
        <v>2</v>
      </c>
      <c r="I34" s="3" t="s">
        <v>27</v>
      </c>
      <c r="J34" s="3" t="str">
        <f t="shared" ref="J34:J36" si="10">IFERROR(1-_xlfn.HYPGEOM.DIST($H34-1,J$5,$F$34,$C$6,TRUE),"-")</f>
        <v>-</v>
      </c>
      <c r="K34" s="3" t="str">
        <f t="shared" si="9"/>
        <v>-</v>
      </c>
      <c r="L34" s="3" t="str">
        <f t="shared" si="9"/>
        <v>-</v>
      </c>
      <c r="M34" s="3" t="str">
        <f t="shared" si="9"/>
        <v>-</v>
      </c>
      <c r="N34" s="3" t="str">
        <f t="shared" si="9"/>
        <v>-</v>
      </c>
      <c r="O34" s="3" t="str">
        <f t="shared" si="9"/>
        <v>-</v>
      </c>
    </row>
    <row r="35" spans="2:15" x14ac:dyDescent="0.25">
      <c r="E35" s="9" t="s">
        <v>66</v>
      </c>
      <c r="F35" s="27"/>
      <c r="H35" s="3">
        <v>3</v>
      </c>
      <c r="I35" s="3" t="s">
        <v>28</v>
      </c>
      <c r="J35" s="3" t="str">
        <f t="shared" si="10"/>
        <v>-</v>
      </c>
      <c r="K35" s="3" t="str">
        <f t="shared" si="9"/>
        <v>-</v>
      </c>
      <c r="L35" s="3" t="str">
        <f t="shared" si="9"/>
        <v>-</v>
      </c>
      <c r="M35" s="3" t="str">
        <f t="shared" si="9"/>
        <v>-</v>
      </c>
      <c r="N35" s="3" t="str">
        <f t="shared" si="9"/>
        <v>-</v>
      </c>
      <c r="O35" s="3" t="str">
        <f t="shared" si="9"/>
        <v>-</v>
      </c>
    </row>
    <row r="36" spans="2:15" x14ac:dyDescent="0.25">
      <c r="H36" s="3">
        <v>4</v>
      </c>
      <c r="I36" s="3" t="s">
        <v>29</v>
      </c>
      <c r="J36" s="3" t="str">
        <f t="shared" si="10"/>
        <v>-</v>
      </c>
      <c r="K36" s="3" t="str">
        <f t="shared" si="9"/>
        <v>-</v>
      </c>
      <c r="L36" s="3" t="str">
        <f t="shared" si="9"/>
        <v>-</v>
      </c>
      <c r="M36" s="3" t="str">
        <f t="shared" si="9"/>
        <v>-</v>
      </c>
      <c r="N36" s="3" t="str">
        <f t="shared" si="9"/>
        <v>-</v>
      </c>
      <c r="O36" s="3" t="str">
        <f t="shared" si="9"/>
        <v>-</v>
      </c>
    </row>
  </sheetData>
  <sheetProtection sheet="1" objects="1" scenarios="1"/>
  <mergeCells count="18">
    <mergeCell ref="C21:C22"/>
    <mergeCell ref="C24:C25"/>
    <mergeCell ref="C27:C28"/>
    <mergeCell ref="I4:O4"/>
    <mergeCell ref="C33:C34"/>
    <mergeCell ref="F6:F7"/>
    <mergeCell ref="F9:F10"/>
    <mergeCell ref="F14:F15"/>
    <mergeCell ref="F19:F20"/>
    <mergeCell ref="F24:F25"/>
    <mergeCell ref="F29:F30"/>
    <mergeCell ref="F34:F35"/>
    <mergeCell ref="C30:C31"/>
    <mergeCell ref="C6:C7"/>
    <mergeCell ref="C9:C10"/>
    <mergeCell ref="C12:C13"/>
    <mergeCell ref="C15:C16"/>
    <mergeCell ref="C18:C19"/>
  </mergeCells>
  <conditionalFormatting sqref="J8:O36">
    <cfRule type="cellIs" dxfId="0" priority="1" operator="greaterThanOrEqual">
      <formula>$C$33</formula>
    </cfRule>
    <cfRule type="colorScale" priority="2">
      <colorScale>
        <cfvo type="num" val="0"/>
        <cfvo type="num" val="1"/>
        <color rgb="FFFCFCFF"/>
        <color rgb="FF63BE7B"/>
      </colorScale>
    </cfRule>
  </conditionalFormatting>
  <dataValidations disablePrompts="1" count="1">
    <dataValidation type="list" allowBlank="1" showInputMessage="1" showErrorMessage="1" sqref="C30" xr:uid="{AD3BB2B0-C7FA-408B-9FEC-C26B406CDBA3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2D8A-9CFA-4AD2-9A67-28DADBBF1E5E}">
  <dimension ref="B1:U36"/>
  <sheetViews>
    <sheetView showGridLines="0" workbookViewId="0">
      <selection activeCell="X14" sqref="X14"/>
    </sheetView>
  </sheetViews>
  <sheetFormatPr defaultRowHeight="15" x14ac:dyDescent="0.25"/>
  <cols>
    <col min="1" max="1" width="2.28515625" customWidth="1"/>
    <col min="2" max="2" width="13.42578125" customWidth="1"/>
    <col min="3" max="3" width="11.7109375" hidden="1" customWidth="1"/>
    <col min="4" max="6" width="11.7109375" customWidth="1"/>
    <col min="11" max="11" width="12.7109375" bestFit="1" customWidth="1"/>
    <col min="12" max="12" width="0" hidden="1" customWidth="1"/>
  </cols>
  <sheetData>
    <row r="1" spans="2:21" ht="21" x14ac:dyDescent="0.35">
      <c r="B1" s="1" t="s">
        <v>34</v>
      </c>
    </row>
    <row r="2" spans="2:21" x14ac:dyDescent="0.25">
      <c r="B2" s="9" t="s">
        <v>35</v>
      </c>
    </row>
    <row r="3" spans="2:21" x14ac:dyDescent="0.25">
      <c r="B3" s="9"/>
    </row>
    <row r="4" spans="2:21" x14ac:dyDescent="0.25">
      <c r="B4" s="36" t="s">
        <v>77</v>
      </c>
      <c r="C4" s="36"/>
      <c r="D4" s="36"/>
      <c r="E4" s="36"/>
      <c r="F4" s="36"/>
      <c r="G4" s="36"/>
      <c r="H4" s="36"/>
      <c r="I4" s="36"/>
      <c r="K4" s="36" t="s">
        <v>78</v>
      </c>
      <c r="L4" s="36"/>
      <c r="M4" s="36"/>
      <c r="N4" s="36"/>
      <c r="O4" s="36"/>
      <c r="P4" s="36"/>
      <c r="Q4" s="36"/>
      <c r="R4" s="36"/>
    </row>
    <row r="5" spans="2:21" ht="15.75" thickBot="1" x14ac:dyDescent="0.3"/>
    <row r="6" spans="2:21" ht="15" customHeight="1" x14ac:dyDescent="0.25">
      <c r="B6" s="32" t="s">
        <v>32</v>
      </c>
      <c r="C6" s="14"/>
      <c r="D6" s="34" t="s">
        <v>73</v>
      </c>
      <c r="E6" s="34"/>
      <c r="F6" s="34"/>
      <c r="G6" s="34"/>
      <c r="H6" s="34"/>
      <c r="I6" s="35"/>
      <c r="K6" s="32" t="s">
        <v>32</v>
      </c>
      <c r="L6" s="14"/>
      <c r="M6" s="34" t="s">
        <v>73</v>
      </c>
      <c r="N6" s="34"/>
      <c r="O6" s="34"/>
      <c r="P6" s="34"/>
      <c r="Q6" s="34"/>
      <c r="R6" s="35"/>
      <c r="U6" s="23" t="s">
        <v>74</v>
      </c>
    </row>
    <row r="7" spans="2:21" ht="15" customHeight="1" thickBot="1" x14ac:dyDescent="0.3">
      <c r="B7" s="33"/>
      <c r="C7" s="15" t="s">
        <v>33</v>
      </c>
      <c r="D7" s="16">
        <v>2</v>
      </c>
      <c r="E7" s="16">
        <v>3</v>
      </c>
      <c r="F7" s="16">
        <v>4</v>
      </c>
      <c r="G7" s="16">
        <v>5</v>
      </c>
      <c r="H7" s="16">
        <v>6</v>
      </c>
      <c r="I7" s="17">
        <v>7</v>
      </c>
      <c r="K7" s="33"/>
      <c r="L7" s="15" t="s">
        <v>33</v>
      </c>
      <c r="M7" s="16">
        <v>2</v>
      </c>
      <c r="N7" s="16">
        <v>3</v>
      </c>
      <c r="O7" s="16">
        <v>4</v>
      </c>
      <c r="P7" s="16">
        <v>5</v>
      </c>
      <c r="Q7" s="16">
        <v>6</v>
      </c>
      <c r="R7" s="17">
        <v>7</v>
      </c>
      <c r="U7" s="22" t="s">
        <v>75</v>
      </c>
    </row>
    <row r="8" spans="2:21" ht="15" hidden="1" customHeight="1" x14ac:dyDescent="0.25">
      <c r="B8" s="11"/>
      <c r="C8" t="s">
        <v>25</v>
      </c>
      <c r="D8" s="3">
        <v>8</v>
      </c>
      <c r="E8" s="3">
        <f>D8+1</f>
        <v>9</v>
      </c>
      <c r="F8" s="3">
        <f t="shared" ref="F8:I8" si="0">E8+1</f>
        <v>10</v>
      </c>
      <c r="G8" s="3">
        <f t="shared" si="0"/>
        <v>11</v>
      </c>
      <c r="H8" s="3">
        <f t="shared" si="0"/>
        <v>12</v>
      </c>
      <c r="I8" s="3">
        <f t="shared" si="0"/>
        <v>13</v>
      </c>
      <c r="K8" s="11"/>
      <c r="L8" t="s">
        <v>25</v>
      </c>
      <c r="M8" s="3">
        <v>9</v>
      </c>
      <c r="N8" s="3">
        <f>M8+1</f>
        <v>10</v>
      </c>
      <c r="O8" s="3">
        <f t="shared" ref="O8:R8" si="1">N8+1</f>
        <v>11</v>
      </c>
      <c r="P8" s="3">
        <f t="shared" si="1"/>
        <v>12</v>
      </c>
      <c r="Q8" s="3">
        <f t="shared" si="1"/>
        <v>13</v>
      </c>
      <c r="R8" s="3">
        <f t="shared" si="1"/>
        <v>14</v>
      </c>
    </row>
    <row r="9" spans="2:21" x14ac:dyDescent="0.25">
      <c r="B9" s="12">
        <v>16</v>
      </c>
      <c r="D9" s="10">
        <f t="shared" ref="D9:I19" si="2">1-_xlfn.HYPGEOM.DIST(D$7-1,D$8,$B9,60,TRUE)</f>
        <v>0.69109853984637559</v>
      </c>
      <c r="E9" s="10">
        <f t="shared" si="2"/>
        <v>0.44916173189388653</v>
      </c>
      <c r="F9" s="10">
        <f t="shared" si="2"/>
        <v>0.24991965475654287</v>
      </c>
      <c r="G9" s="10">
        <f t="shared" si="2"/>
        <v>0.12041230461726948</v>
      </c>
      <c r="H9" s="10">
        <f t="shared" si="2"/>
        <v>5.0636915970803775E-2</v>
      </c>
      <c r="I9" s="10">
        <f t="shared" si="2"/>
        <v>1.8656529507840247E-2</v>
      </c>
      <c r="K9" s="12">
        <v>16</v>
      </c>
      <c r="M9" s="10">
        <f t="shared" ref="M9:R19" si="3">1-_xlfn.HYPGEOM.DIST(M$7-1,M$8,$B9,60,TRUE)</f>
        <v>0.76022334211851539</v>
      </c>
      <c r="N9" s="10">
        <f t="shared" si="3"/>
        <v>0.53455119352417713</v>
      </c>
      <c r="O9" s="10">
        <f t="shared" si="3"/>
        <v>0.32392385483612807</v>
      </c>
      <c r="P9" s="10">
        <f t="shared" si="3"/>
        <v>0.17025186793617353</v>
      </c>
      <c r="Q9" s="10">
        <f t="shared" si="3"/>
        <v>7.8048675796201006E-2</v>
      </c>
      <c r="R9" s="10">
        <f t="shared" si="3"/>
        <v>3.1293156377704245E-2</v>
      </c>
      <c r="U9" s="22" t="s">
        <v>82</v>
      </c>
    </row>
    <row r="10" spans="2:21" x14ac:dyDescent="0.25">
      <c r="B10" s="12">
        <v>17</v>
      </c>
      <c r="D10" s="10">
        <f t="shared" si="2"/>
        <v>0.72922191564494976</v>
      </c>
      <c r="E10" s="10">
        <f t="shared" si="2"/>
        <v>0.49864880624780494</v>
      </c>
      <c r="F10" s="10">
        <f t="shared" si="2"/>
        <v>0.29520194501503028</v>
      </c>
      <c r="G10" s="10">
        <f t="shared" si="2"/>
        <v>0.15278914215208794</v>
      </c>
      <c r="H10" s="10">
        <f t="shared" si="2"/>
        <v>6.9666567419839787E-2</v>
      </c>
      <c r="I10" s="10">
        <f t="shared" si="2"/>
        <v>2.810528005371582E-2</v>
      </c>
      <c r="K10" s="12">
        <v>17</v>
      </c>
      <c r="M10" s="10">
        <f t="shared" si="3"/>
        <v>0.79509994690127672</v>
      </c>
      <c r="N10" s="10">
        <f t="shared" si="3"/>
        <v>0.58584031820470828</v>
      </c>
      <c r="O10" s="10">
        <f t="shared" si="3"/>
        <v>0.37658068950813972</v>
      </c>
      <c r="P10" s="10">
        <f t="shared" si="3"/>
        <v>0.21216240981797918</v>
      </c>
      <c r="Q10" s="10">
        <f t="shared" si="3"/>
        <v>0.10529052801937488</v>
      </c>
      <c r="R10" s="10">
        <f t="shared" si="3"/>
        <v>4.616991255631675E-2</v>
      </c>
    </row>
    <row r="11" spans="2:21" x14ac:dyDescent="0.25">
      <c r="B11" s="12">
        <v>18</v>
      </c>
      <c r="D11" s="10">
        <f t="shared" si="2"/>
        <v>0.76407599032126228</v>
      </c>
      <c r="E11" s="10">
        <f t="shared" si="2"/>
        <v>0.54690829426116072</v>
      </c>
      <c r="F11" s="10">
        <f t="shared" si="2"/>
        <v>0.34251516855753572</v>
      </c>
      <c r="G11" s="10">
        <f t="shared" si="2"/>
        <v>0.18922032427981761</v>
      </c>
      <c r="H11" s="10">
        <f t="shared" si="2"/>
        <v>9.2863565019536964E-2</v>
      </c>
      <c r="I11" s="10">
        <f t="shared" si="2"/>
        <v>4.0670320420218564E-2</v>
      </c>
      <c r="K11" s="12">
        <v>18</v>
      </c>
      <c r="M11" s="10">
        <f t="shared" si="3"/>
        <v>0.82612390348129128</v>
      </c>
      <c r="N11" s="10">
        <f t="shared" si="3"/>
        <v>0.63450534813414294</v>
      </c>
      <c r="O11" s="10">
        <f t="shared" si="3"/>
        <v>0.43011222243051828</v>
      </c>
      <c r="P11" s="10">
        <f t="shared" si="3"/>
        <v>0.25804658089430321</v>
      </c>
      <c r="Q11" s="10">
        <f t="shared" si="3"/>
        <v>0.1376006318189531</v>
      </c>
      <c r="R11" s="10">
        <f t="shared" si="3"/>
        <v>6.5418485032661344E-2</v>
      </c>
    </row>
    <row r="12" spans="2:21" x14ac:dyDescent="0.25">
      <c r="B12" s="12">
        <v>19</v>
      </c>
      <c r="D12" s="10">
        <f t="shared" si="2"/>
        <v>0.79570825977539483</v>
      </c>
      <c r="E12" s="10">
        <f t="shared" si="2"/>
        <v>0.593444229131183</v>
      </c>
      <c r="F12" s="10">
        <f t="shared" si="2"/>
        <v>0.39118019848697061</v>
      </c>
      <c r="G12" s="10">
        <f t="shared" si="2"/>
        <v>0.22936897397160094</v>
      </c>
      <c r="H12" s="10">
        <f t="shared" si="2"/>
        <v>0.12039406766533123</v>
      </c>
      <c r="I12" s="10">
        <f t="shared" si="2"/>
        <v>5.6825372320007617E-2</v>
      </c>
      <c r="K12" s="12">
        <v>19</v>
      </c>
      <c r="M12" s="10">
        <f t="shared" si="3"/>
        <v>0.85349798281659806</v>
      </c>
      <c r="N12" s="10">
        <f t="shared" si="3"/>
        <v>0.6801288136929875</v>
      </c>
      <c r="O12" s="10">
        <f t="shared" si="3"/>
        <v>0.48364375535289561</v>
      </c>
      <c r="P12" s="10">
        <f t="shared" si="3"/>
        <v>0.30720819276179268</v>
      </c>
      <c r="Q12" s="10">
        <f t="shared" si="3"/>
        <v>0.17488152081846631</v>
      </c>
      <c r="R12" s="10">
        <f t="shared" si="3"/>
        <v>8.9479200628091671E-2</v>
      </c>
    </row>
    <row r="13" spans="2:21" x14ac:dyDescent="0.25">
      <c r="B13" s="12">
        <v>20</v>
      </c>
      <c r="D13" s="10">
        <f t="shared" si="2"/>
        <v>0.82421159200709937</v>
      </c>
      <c r="E13" s="10">
        <f t="shared" si="2"/>
        <v>0.63784365049210712</v>
      </c>
      <c r="F13" s="10">
        <f t="shared" si="2"/>
        <v>0.44051288888799744</v>
      </c>
      <c r="G13" s="10">
        <f t="shared" si="2"/>
        <v>0.27278174152450485</v>
      </c>
      <c r="H13" s="10">
        <f t="shared" si="2"/>
        <v>0.15228916219399546</v>
      </c>
      <c r="I13" s="10">
        <f t="shared" si="2"/>
        <v>7.698130011242732E-2</v>
      </c>
      <c r="K13" s="12">
        <v>20</v>
      </c>
      <c r="M13" s="10">
        <f t="shared" si="3"/>
        <v>0.87745957529709717</v>
      </c>
      <c r="N13" s="10">
        <f t="shared" si="3"/>
        <v>0.72241397689386844</v>
      </c>
      <c r="O13" s="10">
        <f t="shared" si="3"/>
        <v>0.53635925880999391</v>
      </c>
      <c r="P13" s="10">
        <f t="shared" si="3"/>
        <v>0.35884786961772608</v>
      </c>
      <c r="Q13" s="10">
        <f t="shared" si="3"/>
        <v>0.21683875826391175</v>
      </c>
      <c r="R13" s="10">
        <f t="shared" si="3"/>
        <v>0.11864096849797556</v>
      </c>
    </row>
    <row r="14" spans="2:21" x14ac:dyDescent="0.25">
      <c r="B14" s="12">
        <v>21</v>
      </c>
      <c r="D14" s="10">
        <f t="shared" si="2"/>
        <v>0.84971457347757207</v>
      </c>
      <c r="E14" s="10">
        <f t="shared" si="2"/>
        <v>0.67977643733298043</v>
      </c>
      <c r="F14" s="10">
        <f t="shared" si="2"/>
        <v>0.48984557928902517</v>
      </c>
      <c r="G14" s="10">
        <f t="shared" si="2"/>
        <v>0.31890780704946509</v>
      </c>
      <c r="H14" s="10">
        <f t="shared" si="2"/>
        <v>0.18843693599314826</v>
      </c>
      <c r="I14" s="10">
        <f t="shared" si="2"/>
        <v>0.10145635528893715</v>
      </c>
      <c r="K14" s="12">
        <v>21</v>
      </c>
      <c r="M14" s="10">
        <f t="shared" si="3"/>
        <v>0.89826832666174117</v>
      </c>
      <c r="N14" s="10">
        <f t="shared" si="3"/>
        <v>0.76117537649467559</v>
      </c>
      <c r="O14" s="10">
        <f t="shared" si="3"/>
        <v>0.58752430628305941</v>
      </c>
      <c r="P14" s="10">
        <f t="shared" si="3"/>
        <v>0.41210128637540633</v>
      </c>
      <c r="Q14" s="10">
        <f t="shared" si="3"/>
        <v>0.26299171945390132</v>
      </c>
      <c r="R14" s="10">
        <f t="shared" si="3"/>
        <v>0.15301019491605306</v>
      </c>
    </row>
    <row r="15" spans="2:21" x14ac:dyDescent="0.25">
      <c r="B15" s="12">
        <v>22</v>
      </c>
      <c r="D15" s="10">
        <f t="shared" si="2"/>
        <v>0.87237299163018422</v>
      </c>
      <c r="E15" s="10">
        <f t="shared" si="2"/>
        <v>0.71899293028942468</v>
      </c>
      <c r="F15" s="10">
        <f t="shared" si="2"/>
        <v>0.53854579930029556</v>
      </c>
      <c r="G15" s="10">
        <f t="shared" si="2"/>
        <v>0.36712102486062326</v>
      </c>
      <c r="H15" s="10">
        <f t="shared" si="2"/>
        <v>0.22858181939509192</v>
      </c>
      <c r="I15" s="10">
        <f t="shared" si="2"/>
        <v>0.13044988219034104</v>
      </c>
      <c r="K15" s="12">
        <v>22</v>
      </c>
      <c r="M15" s="10">
        <f t="shared" si="3"/>
        <v>0.91619586629897276</v>
      </c>
      <c r="N15" s="10">
        <f t="shared" si="3"/>
        <v>0.79632741499905135</v>
      </c>
      <c r="O15" s="10">
        <f t="shared" si="3"/>
        <v>0.6365028132658227</v>
      </c>
      <c r="P15" s="10">
        <f t="shared" si="3"/>
        <v>0.46607760019314559</v>
      </c>
      <c r="Q15" s="10">
        <f t="shared" si="3"/>
        <v>0.31269490842773617</v>
      </c>
      <c r="R15" s="10">
        <f t="shared" si="3"/>
        <v>0.19249074218604978</v>
      </c>
    </row>
    <row r="16" spans="2:21" x14ac:dyDescent="0.25">
      <c r="B16" s="12">
        <v>23</v>
      </c>
      <c r="D16" s="10">
        <f t="shared" si="2"/>
        <v>0.89236237305805266</v>
      </c>
      <c r="E16" s="10">
        <f t="shared" si="2"/>
        <v>0.75531978692276247</v>
      </c>
      <c r="F16" s="10">
        <f t="shared" si="2"/>
        <v>0.58603188640269788</v>
      </c>
      <c r="G16" s="10">
        <f t="shared" si="2"/>
        <v>0.41674398588263351</v>
      </c>
      <c r="H16" s="10">
        <f t="shared" si="2"/>
        <v>0.27233104217368065</v>
      </c>
      <c r="I16" s="10">
        <f t="shared" si="2"/>
        <v>0.16402133439196653</v>
      </c>
      <c r="K16" s="12">
        <v>23</v>
      </c>
      <c r="M16" s="10">
        <f t="shared" si="3"/>
        <v>0.93151739766813557</v>
      </c>
      <c r="N16" s="10">
        <f t="shared" si="3"/>
        <v>0.8278717442885043</v>
      </c>
      <c r="O16" s="10">
        <f t="shared" si="3"/>
        <v>0.68276782955702053</v>
      </c>
      <c r="P16" s="10">
        <f t="shared" si="3"/>
        <v>0.51989608853188574</v>
      </c>
      <c r="Q16" s="10">
        <f t="shared" si="3"/>
        <v>0.36516793455800833</v>
      </c>
      <c r="R16" s="10">
        <f t="shared" si="3"/>
        <v>0.236776487643513</v>
      </c>
    </row>
    <row r="17" spans="2:21" x14ac:dyDescent="0.25">
      <c r="B17" s="12">
        <v>24</v>
      </c>
      <c r="D17" s="10">
        <f t="shared" si="2"/>
        <v>0.90987149954216828</v>
      </c>
      <c r="E17" s="10">
        <f t="shared" si="2"/>
        <v>0.78865447003675193</v>
      </c>
      <c r="F17" s="10">
        <f t="shared" si="2"/>
        <v>0.63178537302974225</v>
      </c>
      <c r="G17" s="10">
        <f t="shared" si="2"/>
        <v>0.46707282117238225</v>
      </c>
      <c r="H17" s="10">
        <f t="shared" si="2"/>
        <v>0.31916767256577372</v>
      </c>
      <c r="I17" s="10">
        <f t="shared" si="2"/>
        <v>0.20207609658554182</v>
      </c>
      <c r="K17" s="12">
        <v>24</v>
      </c>
      <c r="M17" s="10">
        <f t="shared" si="3"/>
        <v>0.94450493654371592</v>
      </c>
      <c r="N17" s="10">
        <f t="shared" si="3"/>
        <v>0.85588408303975605</v>
      </c>
      <c r="O17" s="10">
        <f t="shared" si="3"/>
        <v>0.72590683123394828</v>
      </c>
      <c r="P17" s="10">
        <f t="shared" si="3"/>
        <v>0.572719355891389</v>
      </c>
      <c r="Q17" s="10">
        <f t="shared" si="3"/>
        <v>0.41953188054882939</v>
      </c>
      <c r="R17" s="10">
        <f t="shared" si="3"/>
        <v>0.28535703512467303</v>
      </c>
    </row>
    <row r="18" spans="2:21" x14ac:dyDescent="0.25">
      <c r="B18" s="12">
        <v>25</v>
      </c>
      <c r="D18" s="10">
        <f t="shared" si="2"/>
        <v>0.92509682691966033</v>
      </c>
      <c r="E18" s="10">
        <f t="shared" si="2"/>
        <v>0.81895872741310616</v>
      </c>
      <c r="F18" s="10">
        <f t="shared" si="2"/>
        <v>0.67536012219835628</v>
      </c>
      <c r="G18" s="10">
        <f t="shared" si="2"/>
        <v>0.51740165646213154</v>
      </c>
      <c r="H18" s="10">
        <f t="shared" si="2"/>
        <v>0.36846938876797708</v>
      </c>
      <c r="I18" s="10">
        <f t="shared" si="2"/>
        <v>0.24435916568951499</v>
      </c>
      <c r="K18" s="12">
        <v>25</v>
      </c>
      <c r="M18" s="10">
        <f t="shared" si="3"/>
        <v>0.95542199820724716</v>
      </c>
      <c r="N18" s="10">
        <f t="shared" si="3"/>
        <v>0.88050098679085598</v>
      </c>
      <c r="O18" s="10">
        <f t="shared" si="3"/>
        <v>0.76562210261905606</v>
      </c>
      <c r="P18" s="10">
        <f t="shared" si="3"/>
        <v>0.62378184767224187</v>
      </c>
      <c r="Q18" s="10">
        <f t="shared" si="3"/>
        <v>0.47484957997808641</v>
      </c>
      <c r="R18" s="10">
        <f t="shared" si="3"/>
        <v>0.3375361416785122</v>
      </c>
    </row>
    <row r="19" spans="2:21" ht="15.75" thickBot="1" x14ac:dyDescent="0.3">
      <c r="B19" s="13">
        <v>26</v>
      </c>
      <c r="D19" s="10">
        <f t="shared" si="2"/>
        <v>0.9382377344776146</v>
      </c>
      <c r="E19" s="10">
        <f t="shared" si="2"/>
        <v>0.84625138157193425</v>
      </c>
      <c r="F19" s="10">
        <f t="shared" si="2"/>
        <v>0.71638829511685609</v>
      </c>
      <c r="G19" s="10">
        <f t="shared" si="2"/>
        <v>0.56704574569351629</v>
      </c>
      <c r="H19" s="10">
        <f t="shared" si="2"/>
        <v>0.41953188054882962</v>
      </c>
      <c r="I19" s="10">
        <f t="shared" si="2"/>
        <v>0.29045724854722932</v>
      </c>
      <c r="K19" s="13">
        <v>26</v>
      </c>
      <c r="M19" s="10">
        <f t="shared" si="3"/>
        <v>0.96451954959352326</v>
      </c>
      <c r="N19" s="10">
        <f t="shared" si="3"/>
        <v>0.90190699005268204</v>
      </c>
      <c r="O19" s="10">
        <f t="shared" si="3"/>
        <v>0.80172689478733594</v>
      </c>
      <c r="P19" s="10">
        <f t="shared" si="3"/>
        <v>0.67241279222543548</v>
      </c>
      <c r="Q19" s="10">
        <f t="shared" si="3"/>
        <v>0.53016727940734421</v>
      </c>
      <c r="R19" s="10">
        <f t="shared" si="3"/>
        <v>0.39246151699834153</v>
      </c>
    </row>
    <row r="22" spans="2:21" x14ac:dyDescent="0.25">
      <c r="B22" s="36" t="s">
        <v>79</v>
      </c>
      <c r="C22" s="36"/>
      <c r="D22" s="36"/>
      <c r="E22" s="36"/>
      <c r="F22" s="36"/>
      <c r="G22" s="36"/>
      <c r="H22" s="36"/>
      <c r="I22" s="36"/>
      <c r="K22" s="36" t="s">
        <v>80</v>
      </c>
      <c r="L22" s="36"/>
      <c r="M22" s="36"/>
      <c r="N22" s="36"/>
      <c r="O22" s="36"/>
      <c r="P22" s="36"/>
      <c r="Q22" s="36"/>
      <c r="R22" s="36"/>
    </row>
    <row r="23" spans="2:21" ht="15.75" thickBot="1" x14ac:dyDescent="0.3"/>
    <row r="24" spans="2:21" x14ac:dyDescent="0.25">
      <c r="B24" s="32" t="s">
        <v>32</v>
      </c>
      <c r="C24" s="14"/>
      <c r="D24" s="34" t="s">
        <v>73</v>
      </c>
      <c r="E24" s="34"/>
      <c r="F24" s="34"/>
      <c r="G24" s="34"/>
      <c r="H24" s="34"/>
      <c r="I24" s="35"/>
      <c r="K24" s="32" t="s">
        <v>32</v>
      </c>
      <c r="L24" s="14"/>
      <c r="M24" s="34" t="s">
        <v>73</v>
      </c>
      <c r="N24" s="34"/>
      <c r="O24" s="34"/>
      <c r="P24" s="34"/>
      <c r="Q24" s="34"/>
      <c r="R24" s="35"/>
      <c r="U24" s="23" t="s">
        <v>74</v>
      </c>
    </row>
    <row r="25" spans="2:21" ht="15.75" thickBot="1" x14ac:dyDescent="0.3">
      <c r="B25" s="33"/>
      <c r="C25" s="15" t="s">
        <v>33</v>
      </c>
      <c r="D25" s="16">
        <v>2</v>
      </c>
      <c r="E25" s="16">
        <v>3</v>
      </c>
      <c r="F25" s="16">
        <v>4</v>
      </c>
      <c r="G25" s="16">
        <v>5</v>
      </c>
      <c r="H25" s="16">
        <v>6</v>
      </c>
      <c r="I25" s="17">
        <v>7</v>
      </c>
      <c r="K25" s="33"/>
      <c r="L25" s="15" t="s">
        <v>33</v>
      </c>
      <c r="M25" s="16">
        <v>2</v>
      </c>
      <c r="N25" s="16">
        <v>3</v>
      </c>
      <c r="O25" s="16">
        <v>4</v>
      </c>
      <c r="P25" s="16">
        <v>5</v>
      </c>
      <c r="Q25" s="16">
        <v>6</v>
      </c>
      <c r="R25" s="17">
        <v>7</v>
      </c>
      <c r="U25" s="22" t="s">
        <v>81</v>
      </c>
    </row>
    <row r="26" spans="2:21" x14ac:dyDescent="0.25">
      <c r="B26" s="12">
        <v>16</v>
      </c>
      <c r="D26" s="10">
        <v>0.98112500000000002</v>
      </c>
      <c r="E26" s="10">
        <v>0.68342999999999998</v>
      </c>
      <c r="F26" s="10">
        <v>0.388239</v>
      </c>
      <c r="G26" s="10">
        <v>0.187027</v>
      </c>
      <c r="H26" s="10">
        <v>7.8094999999999998E-2</v>
      </c>
      <c r="I26" s="10">
        <v>2.809E-2</v>
      </c>
      <c r="K26" s="12">
        <v>16</v>
      </c>
      <c r="M26" s="10">
        <v>0.98514699999999999</v>
      </c>
      <c r="N26" s="10">
        <v>0.76581200000000005</v>
      </c>
      <c r="O26" s="10">
        <v>0.48456100000000002</v>
      </c>
      <c r="P26" s="10">
        <v>0.25953799999999999</v>
      </c>
      <c r="Q26" s="10">
        <v>0.118755</v>
      </c>
      <c r="R26" s="10">
        <v>4.6946000000000002E-2</v>
      </c>
      <c r="U26" s="22" t="s">
        <v>83</v>
      </c>
    </row>
    <row r="27" spans="2:21" x14ac:dyDescent="0.25">
      <c r="B27" s="12">
        <v>17</v>
      </c>
      <c r="D27" s="10">
        <v>0.98787899999999995</v>
      </c>
      <c r="E27" s="10">
        <v>0.71974199999999999</v>
      </c>
      <c r="F27" s="10">
        <v>0.43538300000000002</v>
      </c>
      <c r="G27" s="10">
        <v>0.22545899999999999</v>
      </c>
      <c r="H27" s="10">
        <v>0.101428</v>
      </c>
      <c r="I27" s="10">
        <v>4.0315999999999998E-2</v>
      </c>
      <c r="K27" s="12">
        <v>17</v>
      </c>
      <c r="M27" s="10">
        <v>0.99080900000000005</v>
      </c>
      <c r="N27" s="10">
        <v>0.79904900000000001</v>
      </c>
      <c r="O27" s="10">
        <v>0.53574200000000005</v>
      </c>
      <c r="P27" s="10">
        <v>0.30704799999999999</v>
      </c>
      <c r="Q27" s="10">
        <v>0.15226700000000001</v>
      </c>
      <c r="R27" s="10">
        <v>6.5817000000000001E-2</v>
      </c>
    </row>
    <row r="28" spans="2:21" x14ac:dyDescent="0.25">
      <c r="B28" s="12">
        <v>18</v>
      </c>
      <c r="D28" s="10">
        <v>0.99241400000000002</v>
      </c>
      <c r="E28" s="10">
        <v>0.75373500000000004</v>
      </c>
      <c r="F28" s="10">
        <v>0.48134100000000002</v>
      </c>
      <c r="G28" s="10">
        <v>0.26651799999999998</v>
      </c>
      <c r="H28" s="10">
        <v>0.12842100000000001</v>
      </c>
      <c r="I28" s="10">
        <v>5.5459000000000001E-2</v>
      </c>
      <c r="K28" s="12">
        <v>18</v>
      </c>
      <c r="M28" s="10">
        <v>0.99424400000000002</v>
      </c>
      <c r="N28" s="10">
        <v>0.82792100000000002</v>
      </c>
      <c r="O28" s="10">
        <v>0.584036</v>
      </c>
      <c r="P28" s="10">
        <v>0.35572799999999999</v>
      </c>
      <c r="Q28" s="10">
        <v>0.190139</v>
      </c>
      <c r="R28" s="10">
        <v>8.9190000000000005E-2</v>
      </c>
    </row>
    <row r="29" spans="2:21" x14ac:dyDescent="0.25">
      <c r="B29" s="12">
        <v>19</v>
      </c>
      <c r="D29" s="10">
        <v>0.99526800000000004</v>
      </c>
      <c r="E29" s="10">
        <v>0.78229400000000004</v>
      </c>
      <c r="F29" s="10">
        <v>0.52435900000000002</v>
      </c>
      <c r="G29" s="10">
        <v>0.30778</v>
      </c>
      <c r="H29" s="10">
        <v>0.15926699999999999</v>
      </c>
      <c r="I29" s="10">
        <v>7.3987999999999998E-2</v>
      </c>
      <c r="K29" s="12">
        <v>19</v>
      </c>
      <c r="M29" s="10">
        <v>0.99648800000000004</v>
      </c>
      <c r="N29" s="10">
        <v>0.85333800000000004</v>
      </c>
      <c r="O29" s="10">
        <v>0.62889099999999998</v>
      </c>
      <c r="P29" s="10">
        <v>0.406277</v>
      </c>
      <c r="Q29" s="10">
        <v>0.23200799999999999</v>
      </c>
      <c r="R29" s="10">
        <v>0.11719499999999999</v>
      </c>
    </row>
    <row r="30" spans="2:21" x14ac:dyDescent="0.25">
      <c r="B30" s="12">
        <v>20</v>
      </c>
      <c r="D30" s="10">
        <v>0.99715600000000004</v>
      </c>
      <c r="E30" s="10">
        <v>0.80893300000000001</v>
      </c>
      <c r="F30" s="10">
        <v>0.56716599999999995</v>
      </c>
      <c r="G30" s="10">
        <v>0.35067199999999998</v>
      </c>
      <c r="H30" s="10">
        <v>0.19404099999999999</v>
      </c>
      <c r="I30" s="10">
        <v>9.6199000000000007E-2</v>
      </c>
      <c r="K30" s="12">
        <v>20</v>
      </c>
      <c r="M30" s="10">
        <v>0.99796300000000004</v>
      </c>
      <c r="N30" s="10">
        <v>0.87524299999999999</v>
      </c>
      <c r="O30" s="10">
        <v>0.67189100000000002</v>
      </c>
      <c r="P30" s="10">
        <v>0.45595200000000002</v>
      </c>
      <c r="Q30" s="10">
        <v>0.2742</v>
      </c>
      <c r="R30" s="10">
        <v>0.149177</v>
      </c>
    </row>
    <row r="31" spans="2:21" x14ac:dyDescent="0.25">
      <c r="B31" s="12">
        <v>21</v>
      </c>
      <c r="D31" s="10">
        <v>0.99821700000000002</v>
      </c>
      <c r="E31" s="10">
        <v>0.83304800000000001</v>
      </c>
      <c r="F31" s="10">
        <v>0.60882400000000003</v>
      </c>
      <c r="G31" s="10">
        <v>0.39567600000000003</v>
      </c>
      <c r="H31" s="10">
        <v>0.231713</v>
      </c>
      <c r="I31" s="10">
        <v>0.121907</v>
      </c>
      <c r="K31" s="12">
        <v>21</v>
      </c>
      <c r="M31" s="10">
        <v>0.99879799999999996</v>
      </c>
      <c r="N31" s="10">
        <v>0.89473899999999995</v>
      </c>
      <c r="O31" s="10">
        <v>0.71052300000000002</v>
      </c>
      <c r="P31" s="10">
        <v>0.50412699999999999</v>
      </c>
      <c r="Q31" s="10">
        <v>0.32206899999999999</v>
      </c>
      <c r="R31" s="10">
        <v>0.185693</v>
      </c>
    </row>
    <row r="32" spans="2:21" x14ac:dyDescent="0.25">
      <c r="B32" s="12">
        <v>22</v>
      </c>
      <c r="D32" s="10">
        <v>0.99895500000000004</v>
      </c>
      <c r="E32" s="10">
        <v>0.85478600000000005</v>
      </c>
      <c r="F32" s="10">
        <v>0.64835900000000002</v>
      </c>
      <c r="G32" s="10">
        <v>0.44102400000000003</v>
      </c>
      <c r="H32" s="10">
        <v>0.27146399999999998</v>
      </c>
      <c r="I32" s="10">
        <v>0.15135699999999999</v>
      </c>
      <c r="K32" s="12">
        <v>22</v>
      </c>
      <c r="M32" s="10">
        <v>0.99934199999999995</v>
      </c>
      <c r="N32" s="10">
        <v>0.91138300000000005</v>
      </c>
      <c r="O32" s="10">
        <v>0.74662499999999998</v>
      </c>
      <c r="P32" s="10">
        <v>0.55273499999999998</v>
      </c>
      <c r="Q32" s="10">
        <v>0.37095699999999998</v>
      </c>
      <c r="R32" s="10">
        <v>0.22631100000000001</v>
      </c>
    </row>
    <row r="33" spans="2:18" x14ac:dyDescent="0.25">
      <c r="B33" s="12">
        <v>23</v>
      </c>
      <c r="D33" s="10">
        <v>0.99942200000000003</v>
      </c>
      <c r="E33" s="10">
        <v>0.87351299999999998</v>
      </c>
      <c r="F33" s="10">
        <v>0.68458200000000002</v>
      </c>
      <c r="G33" s="10">
        <v>0.48682199999999998</v>
      </c>
      <c r="H33" s="10">
        <v>0.31340899999999999</v>
      </c>
      <c r="I33" s="10">
        <v>0.18588499999999999</v>
      </c>
      <c r="K33" s="12">
        <v>23</v>
      </c>
      <c r="M33" s="10">
        <v>0.99965700000000002</v>
      </c>
      <c r="N33" s="10">
        <v>0.92539199999999999</v>
      </c>
      <c r="O33" s="10">
        <v>0.78082700000000005</v>
      </c>
      <c r="P33" s="10">
        <v>0.60028499999999996</v>
      </c>
      <c r="Q33" s="10">
        <v>0.42077799999999999</v>
      </c>
      <c r="R33" s="10">
        <v>0.26940900000000001</v>
      </c>
    </row>
    <row r="34" spans="2:18" x14ac:dyDescent="0.25">
      <c r="B34" s="12">
        <v>24</v>
      </c>
      <c r="D34" s="10">
        <v>0.99963100000000005</v>
      </c>
      <c r="E34" s="10">
        <v>0.89137299999999997</v>
      </c>
      <c r="F34" s="10">
        <v>0.72002500000000003</v>
      </c>
      <c r="G34" s="10">
        <v>0.53210299999999999</v>
      </c>
      <c r="H34" s="10">
        <v>0.35845100000000002</v>
      </c>
      <c r="I34" s="10">
        <v>0.22204199999999999</v>
      </c>
      <c r="K34" s="12">
        <v>24</v>
      </c>
      <c r="M34" s="10">
        <v>0.99978800000000001</v>
      </c>
      <c r="N34" s="10">
        <v>0.93783099999999997</v>
      </c>
      <c r="O34" s="10">
        <v>0.81112200000000001</v>
      </c>
      <c r="P34" s="10">
        <v>0.64529899999999996</v>
      </c>
      <c r="Q34" s="10">
        <v>0.472028</v>
      </c>
      <c r="R34" s="10">
        <v>0.31823499999999999</v>
      </c>
    </row>
    <row r="35" spans="2:18" x14ac:dyDescent="0.25">
      <c r="B35" s="12">
        <v>25</v>
      </c>
      <c r="D35" s="10">
        <v>0.99978900000000004</v>
      </c>
      <c r="E35" s="10">
        <v>0.90676900000000005</v>
      </c>
      <c r="F35" s="10">
        <v>0.75289700000000004</v>
      </c>
      <c r="G35" s="10">
        <v>0.57437700000000003</v>
      </c>
      <c r="H35" s="10">
        <v>0.40503499999999998</v>
      </c>
      <c r="I35" s="10">
        <v>0.26321099999999997</v>
      </c>
      <c r="K35" s="12">
        <v>25</v>
      </c>
      <c r="M35" s="10">
        <v>0.99985800000000002</v>
      </c>
      <c r="N35" s="10">
        <v>0.94849700000000003</v>
      </c>
      <c r="O35" s="10">
        <v>0.83918499999999996</v>
      </c>
      <c r="P35" s="10">
        <v>0.688195</v>
      </c>
      <c r="Q35" s="10">
        <v>0.521698</v>
      </c>
      <c r="R35" s="10">
        <v>0.366836</v>
      </c>
    </row>
    <row r="36" spans="2:18" ht="15.75" thickBot="1" x14ac:dyDescent="0.3">
      <c r="B36" s="13">
        <v>26</v>
      </c>
      <c r="D36" s="10">
        <v>0.99986799999999998</v>
      </c>
      <c r="E36" s="10">
        <v>0.92045699999999997</v>
      </c>
      <c r="F36" s="10">
        <v>0.783632</v>
      </c>
      <c r="G36" s="10">
        <v>0.61740300000000004</v>
      </c>
      <c r="H36" s="10">
        <v>0.45185999999999998</v>
      </c>
      <c r="I36" s="10">
        <v>0.30556800000000001</v>
      </c>
      <c r="K36" s="13">
        <v>26</v>
      </c>
      <c r="M36" s="10">
        <v>0.99992899999999996</v>
      </c>
      <c r="N36" s="10">
        <v>0.95785299999999995</v>
      </c>
      <c r="O36" s="10">
        <v>0.86352600000000002</v>
      </c>
      <c r="P36" s="10">
        <v>0.72801499999999997</v>
      </c>
      <c r="Q36" s="10">
        <v>0.57186300000000001</v>
      </c>
      <c r="R36" s="10">
        <v>0.41872399999999999</v>
      </c>
    </row>
  </sheetData>
  <mergeCells count="12">
    <mergeCell ref="K24:K25"/>
    <mergeCell ref="M24:R24"/>
    <mergeCell ref="K6:K7"/>
    <mergeCell ref="M6:R6"/>
    <mergeCell ref="B4:I4"/>
    <mergeCell ref="K4:R4"/>
    <mergeCell ref="K22:R22"/>
    <mergeCell ref="B22:I22"/>
    <mergeCell ref="B24:B25"/>
    <mergeCell ref="D24:I24"/>
    <mergeCell ref="D6:I6"/>
    <mergeCell ref="B6:B7"/>
  </mergeCells>
  <conditionalFormatting sqref="D9:I19">
    <cfRule type="colorScale" priority="4">
      <colorScale>
        <cfvo type="num" val="0"/>
        <cfvo type="num" val="1"/>
        <color rgb="FFFCFCFF"/>
        <color rgb="FF63BE7B"/>
      </colorScale>
    </cfRule>
  </conditionalFormatting>
  <conditionalFormatting sqref="M9:R19">
    <cfRule type="colorScale" priority="3">
      <colorScale>
        <cfvo type="num" val="0"/>
        <cfvo type="num" val="1"/>
        <color rgb="FFFCFCFF"/>
        <color rgb="FF63BE7B"/>
      </colorScale>
    </cfRule>
  </conditionalFormatting>
  <conditionalFormatting sqref="D26:I36">
    <cfRule type="colorScale" priority="2">
      <colorScale>
        <cfvo type="num" val="0"/>
        <cfvo type="num" val="1"/>
        <color rgb="FFFCFCFF"/>
        <color rgb="FF63BE7B"/>
      </colorScale>
    </cfRule>
  </conditionalFormatting>
  <conditionalFormatting sqref="M26:R36">
    <cfRule type="colorScale" priority="1">
      <colorScale>
        <cfvo type="num" val="0"/>
        <cfvo type="num" val="1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7F8D-A3E9-484C-81B0-040470518CE2}">
  <dimension ref="B1:B2"/>
  <sheetViews>
    <sheetView showGridLines="0" workbookViewId="0">
      <selection activeCell="B2" sqref="B2"/>
    </sheetView>
  </sheetViews>
  <sheetFormatPr defaultRowHeight="15" x14ac:dyDescent="0.25"/>
  <cols>
    <col min="1" max="1" width="2.28515625" customWidth="1"/>
    <col min="2" max="2" width="29.140625" customWidth="1"/>
  </cols>
  <sheetData>
    <row r="1" spans="2:2" ht="21" x14ac:dyDescent="0.35">
      <c r="B1" s="1" t="s">
        <v>76</v>
      </c>
    </row>
    <row r="2" spans="2:2" x14ac:dyDescent="0.25">
      <c r="B2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Hypergeometric Calculator</vt:lpstr>
      <vt:lpstr>Mana Calculator</vt:lpstr>
      <vt:lpstr>Land Prob Table</vt:lpstr>
      <vt:lpstr>Mana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Aniceto</dc:creator>
  <cp:lastModifiedBy>José Aniceto</cp:lastModifiedBy>
  <dcterms:created xsi:type="dcterms:W3CDTF">2022-07-04T10:55:51Z</dcterms:created>
  <dcterms:modified xsi:type="dcterms:W3CDTF">2022-07-11T20:51:07Z</dcterms:modified>
</cp:coreProperties>
</file>