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_r\Downloads\"/>
    </mc:Choice>
  </mc:AlternateContent>
  <xr:revisionPtr revIDLastSave="0" documentId="13_ncr:1_{BACF7714-79DA-4E33-A5EC-2B2049952BB1}" xr6:coauthVersionLast="47" xr6:coauthVersionMax="47" xr10:uidLastSave="{00000000-0000-0000-0000-000000000000}"/>
  <bookViews>
    <workbookView xWindow="-110" yWindow="-110" windowWidth="19420" windowHeight="10420" activeTab="2" xr2:uid="{CBF21C7E-BE89-4C7D-9961-3A7ABCA03754}"/>
  </bookViews>
  <sheets>
    <sheet name="01 ACEL SIN MASA" sheetId="2" r:id="rId1"/>
    <sheet name="05 DATOS EQUIPO" sheetId="3" r:id="rId2"/>
    <sheet name="ACEL TRANS" sheetId="4" r:id="rId3"/>
    <sheet name="INCERTIDUMBRES" sheetId="5" r:id="rId4"/>
    <sheet name="07 RESULT ACEL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6" l="1"/>
  <c r="Q21" i="6"/>
  <c r="I21" i="6"/>
  <c r="I24" i="6" s="1"/>
  <c r="C21" i="6"/>
  <c r="P12" i="6" s="1"/>
  <c r="H20" i="6"/>
  <c r="E20" i="6"/>
  <c r="C20" i="6"/>
  <c r="P11" i="6" s="1"/>
  <c r="E19" i="6"/>
  <c r="C19" i="6"/>
  <c r="P10" i="6" s="1"/>
  <c r="B19" i="6"/>
  <c r="C18" i="6"/>
  <c r="Q18" i="6" s="1"/>
  <c r="J14" i="6"/>
  <c r="I14" i="6"/>
  <c r="C14" i="6"/>
  <c r="I13" i="6"/>
  <c r="E21" i="6" s="1"/>
  <c r="G13" i="6"/>
  <c r="E13" i="6"/>
  <c r="C13" i="6"/>
  <c r="E18" i="6" s="1"/>
  <c r="J11" i="6"/>
  <c r="I11" i="6"/>
  <c r="H11" i="6"/>
  <c r="H14" i="6" s="1"/>
  <c r="G11" i="6"/>
  <c r="G14" i="6" s="1"/>
  <c r="F11" i="6"/>
  <c r="F14" i="6" s="1"/>
  <c r="E11" i="6"/>
  <c r="E14" i="6" s="1"/>
  <c r="D11" i="6"/>
  <c r="D14" i="6" s="1"/>
  <c r="C11" i="6"/>
  <c r="E10" i="6"/>
  <c r="E12" i="6" s="1"/>
  <c r="D10" i="6"/>
  <c r="D18" i="6" s="1"/>
  <c r="R18" i="6" s="1"/>
  <c r="J8" i="6"/>
  <c r="J10" i="6" s="1"/>
  <c r="D21" i="6" s="1"/>
  <c r="R21" i="6" s="1"/>
  <c r="I8" i="6"/>
  <c r="I10" i="6" s="1"/>
  <c r="I12" i="6" s="1"/>
  <c r="H8" i="6"/>
  <c r="H10" i="6" s="1"/>
  <c r="D20" i="6" s="1"/>
  <c r="R20" i="6" s="1"/>
  <c r="G8" i="6"/>
  <c r="G10" i="6" s="1"/>
  <c r="G12" i="6" s="1"/>
  <c r="F8" i="6"/>
  <c r="F10" i="6" s="1"/>
  <c r="D19" i="6" s="1"/>
  <c r="R19" i="6" s="1"/>
  <c r="E8" i="6"/>
  <c r="D8" i="6"/>
  <c r="C8" i="6"/>
  <c r="C10" i="6" s="1"/>
  <c r="J5" i="6"/>
  <c r="B21" i="6" s="1"/>
  <c r="H5" i="6"/>
  <c r="B20" i="6" s="1"/>
  <c r="F5" i="6"/>
  <c r="D5" i="6"/>
  <c r="B18" i="6" s="1"/>
  <c r="A2" i="6"/>
  <c r="BB14" i="5"/>
  <c r="BC14" i="5" s="1"/>
  <c r="AV14" i="5"/>
  <c r="AO14" i="5"/>
  <c r="N14" i="5"/>
  <c r="R14" i="5" s="1"/>
  <c r="BB13" i="5"/>
  <c r="BC13" i="5" s="1"/>
  <c r="AV13" i="5"/>
  <c r="AO13" i="5"/>
  <c r="N13" i="5"/>
  <c r="R13" i="5" s="1"/>
  <c r="F14" i="5"/>
  <c r="Y14" i="5" s="1"/>
  <c r="D14" i="5"/>
  <c r="AR14" i="5" s="1"/>
  <c r="C14" i="5"/>
  <c r="AH14" i="5" s="1"/>
  <c r="BB12" i="5"/>
  <c r="BC12" i="5" s="1"/>
  <c r="AV12" i="5"/>
  <c r="AO12" i="5"/>
  <c r="N12" i="5"/>
  <c r="R12" i="5" s="1"/>
  <c r="F13" i="5"/>
  <c r="AT13" i="5" s="1"/>
  <c r="D13" i="5"/>
  <c r="AR13" i="5" s="1"/>
  <c r="C13" i="5"/>
  <c r="AH13" i="5" s="1"/>
  <c r="BB11" i="5"/>
  <c r="BC11" i="5" s="1"/>
  <c r="AV11" i="5"/>
  <c r="AT11" i="5"/>
  <c r="AO11" i="5"/>
  <c r="Y11" i="5"/>
  <c r="AC11" i="5" s="1"/>
  <c r="N11" i="5"/>
  <c r="R11" i="5" s="1"/>
  <c r="F12" i="5"/>
  <c r="Y12" i="5" s="1"/>
  <c r="D12" i="5"/>
  <c r="AR12" i="5" s="1"/>
  <c r="C12" i="5"/>
  <c r="AH12" i="5" s="1"/>
  <c r="D11" i="5"/>
  <c r="AR11" i="5" s="1"/>
  <c r="C11" i="5"/>
  <c r="Z11" i="5" s="1"/>
  <c r="AA11" i="5" s="1"/>
  <c r="AR5" i="4"/>
  <c r="AK5" i="4"/>
  <c r="K5" i="4"/>
  <c r="O5" i="4" s="1"/>
  <c r="AR4" i="4"/>
  <c r="AP4" i="4"/>
  <c r="AK4" i="4"/>
  <c r="U4" i="4"/>
  <c r="Y4" i="4" s="1"/>
  <c r="K4" i="4"/>
  <c r="O4" i="4" s="1"/>
  <c r="F5" i="4"/>
  <c r="AP5" i="4" s="1"/>
  <c r="D5" i="4"/>
  <c r="AN5" i="4" s="1"/>
  <c r="C5" i="4"/>
  <c r="AD5" i="4" s="1"/>
  <c r="D4" i="4"/>
  <c r="AN4" i="4" s="1"/>
  <c r="C4" i="4"/>
  <c r="L4" i="4" s="1"/>
  <c r="E37" i="3"/>
  <c r="E36" i="3"/>
  <c r="I34" i="3"/>
  <c r="H34" i="3"/>
  <c r="G34" i="3"/>
  <c r="F34" i="3"/>
  <c r="D34" i="3"/>
  <c r="C34" i="3"/>
  <c r="B34" i="3"/>
  <c r="A34" i="3"/>
  <c r="H16" i="3"/>
  <c r="D16" i="3"/>
  <c r="H15" i="3"/>
  <c r="H14" i="3"/>
  <c r="H13" i="3"/>
  <c r="E8" i="3"/>
  <c r="M4" i="4" l="1"/>
  <c r="P4" i="4" s="1"/>
  <c r="AD4" i="4"/>
  <c r="G4" i="4" s="1"/>
  <c r="U5" i="4"/>
  <c r="Y5" i="4" s="1"/>
  <c r="Z12" i="5"/>
  <c r="AA12" i="5" s="1"/>
  <c r="Z14" i="5"/>
  <c r="O11" i="5"/>
  <c r="P11" i="5" s="1"/>
  <c r="AT12" i="5"/>
  <c r="Y13" i="5"/>
  <c r="AC13" i="5" s="1"/>
  <c r="Z13" i="5"/>
  <c r="AA13" i="5" s="1"/>
  <c r="O12" i="5"/>
  <c r="P12" i="5" s="1"/>
  <c r="J18" i="6"/>
  <c r="J19" i="6"/>
  <c r="Q20" i="6"/>
  <c r="P9" i="6"/>
  <c r="Q19" i="6"/>
  <c r="I23" i="6"/>
  <c r="C12" i="6" s="1"/>
  <c r="AE11" i="5"/>
  <c r="AD11" i="5"/>
  <c r="G13" i="5"/>
  <c r="AL13" i="5"/>
  <c r="AS13" i="5" s="1"/>
  <c r="AU13" i="5" s="1"/>
  <c r="AL12" i="5"/>
  <c r="AS12" i="5" s="1"/>
  <c r="AU12" i="5" s="1"/>
  <c r="G12" i="5"/>
  <c r="AC12" i="5"/>
  <c r="T11" i="5"/>
  <c r="S11" i="5"/>
  <c r="AL14" i="5"/>
  <c r="AS14" i="5" s="1"/>
  <c r="G14" i="5"/>
  <c r="AA14" i="5"/>
  <c r="AC14" i="5"/>
  <c r="P14" i="5"/>
  <c r="AT14" i="5"/>
  <c r="AH11" i="5"/>
  <c r="O13" i="5"/>
  <c r="P13" i="5" s="1"/>
  <c r="O14" i="5"/>
  <c r="AH5" i="4"/>
  <c r="AO5" i="4" s="1"/>
  <c r="AQ5" i="4" s="1"/>
  <c r="V4" i="4"/>
  <c r="W4" i="4" s="1"/>
  <c r="L5" i="4"/>
  <c r="M5" i="4" s="1"/>
  <c r="V5" i="4"/>
  <c r="AH4" i="4" l="1"/>
  <c r="AO4" i="4" s="1"/>
  <c r="AQ4" i="4" s="1"/>
  <c r="AS4" i="4" s="1"/>
  <c r="Q4" i="4"/>
  <c r="W5" i="4"/>
  <c r="Z5" i="4" s="1"/>
  <c r="AU14" i="5"/>
  <c r="AX14" i="5" s="1"/>
  <c r="AX12" i="5"/>
  <c r="AW12" i="5"/>
  <c r="AW13" i="5"/>
  <c r="AX13" i="5"/>
  <c r="T14" i="5"/>
  <c r="S14" i="5"/>
  <c r="AE13" i="5"/>
  <c r="AD13" i="5"/>
  <c r="T12" i="5"/>
  <c r="S12" i="5"/>
  <c r="BD14" i="5"/>
  <c r="BE14" i="5" s="1"/>
  <c r="BN14" i="5"/>
  <c r="BN12" i="5"/>
  <c r="BD12" i="5"/>
  <c r="BE12" i="5" s="1"/>
  <c r="AE14" i="5"/>
  <c r="AD14" i="5"/>
  <c r="BN13" i="5"/>
  <c r="BD13" i="5"/>
  <c r="BE13" i="5" s="1"/>
  <c r="AE12" i="5"/>
  <c r="AD12" i="5"/>
  <c r="T13" i="5"/>
  <c r="S13" i="5"/>
  <c r="G11" i="5"/>
  <c r="AL11" i="5"/>
  <c r="AS11" i="5" s="1"/>
  <c r="AU11" i="5" s="1"/>
  <c r="AA4" i="4"/>
  <c r="Z4" i="4"/>
  <c r="Q5" i="4"/>
  <c r="P5" i="4"/>
  <c r="AT4" i="4"/>
  <c r="AT5" i="4"/>
  <c r="AS5" i="4"/>
  <c r="AA5" i="4" l="1"/>
  <c r="AW14" i="5"/>
  <c r="BK13" i="5"/>
  <c r="BM13" i="5" s="1"/>
  <c r="BO13" i="5" s="1"/>
  <c r="BD11" i="5"/>
  <c r="BE11" i="5" s="1"/>
  <c r="BK14" i="5"/>
  <c r="BM14" i="5" s="1"/>
  <c r="BO14" i="5" s="1"/>
  <c r="BK12" i="5"/>
  <c r="BM12" i="5" s="1"/>
  <c r="BO12" i="5" s="1"/>
  <c r="BN11" i="5"/>
  <c r="BK11" i="5"/>
  <c r="BH14" i="5"/>
  <c r="BG14" i="5"/>
  <c r="BH13" i="5"/>
  <c r="BG13" i="5"/>
  <c r="BH12" i="5"/>
  <c r="BG12" i="5"/>
  <c r="AX11" i="5"/>
  <c r="AW11" i="5"/>
  <c r="BM11" i="5" l="1"/>
  <c r="BO11" i="5" s="1"/>
  <c r="BQ12" i="5"/>
  <c r="BR12" i="5"/>
  <c r="BT12" i="5"/>
  <c r="BX12" i="5" s="1"/>
  <c r="BQ14" i="5"/>
  <c r="BR14" i="5"/>
  <c r="BR13" i="5"/>
  <c r="BQ13" i="5"/>
  <c r="BT13" i="5"/>
  <c r="BH11" i="5"/>
  <c r="BG11" i="5"/>
  <c r="BZ13" i="5" l="1"/>
  <c r="BV13" i="5"/>
  <c r="BU13" i="5"/>
  <c r="BW13" i="5"/>
  <c r="BX13" i="5"/>
  <c r="BY12" i="5"/>
  <c r="BT11" i="5"/>
  <c r="BX11" i="5" s="1"/>
  <c r="BT14" i="5"/>
  <c r="BZ12" i="5"/>
  <c r="BW12" i="5"/>
  <c r="BU12" i="5"/>
  <c r="BV12" i="5"/>
  <c r="BY13" i="5"/>
  <c r="BQ11" i="5"/>
  <c r="BR11" i="5"/>
  <c r="BZ11" i="5" l="1"/>
  <c r="BU11" i="5"/>
  <c r="BV11" i="5"/>
  <c r="BW11" i="5"/>
  <c r="CA12" i="5"/>
  <c r="CB12" i="5" s="1"/>
  <c r="CC12" i="5" s="1"/>
  <c r="CD12" i="5" s="1"/>
  <c r="CE12" i="5" s="1"/>
  <c r="BZ14" i="5"/>
  <c r="BU14" i="5"/>
  <c r="BW14" i="5"/>
  <c r="BV14" i="5"/>
  <c r="BX14" i="5"/>
  <c r="BY11" i="5"/>
  <c r="BY14" i="5"/>
  <c r="CA13" i="5"/>
  <c r="CB13" i="5" s="1"/>
  <c r="CC13" i="5" s="1"/>
  <c r="CD13" i="5" s="1"/>
  <c r="CE13" i="5" s="1"/>
  <c r="CA11" i="5" l="1"/>
  <c r="CB11" i="5" s="1"/>
  <c r="CC11" i="5" s="1"/>
  <c r="CD11" i="5" s="1"/>
  <c r="CE11" i="5" s="1"/>
  <c r="CA14" i="5"/>
  <c r="CB14" i="5" s="1"/>
  <c r="CC14" i="5" s="1"/>
  <c r="CD14" i="5" s="1"/>
  <c r="CE1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secon</author>
  </authors>
  <commentList>
    <comment ref="E11" authorId="0" shapeId="0" xr:uid="{896C0D1D-413B-4811-B7BA-DCF2FC6EB14D}">
      <text>
        <r>
          <rPr>
            <b/>
            <sz val="9"/>
            <color indexed="81"/>
            <rFont val="Tahoma"/>
            <family val="2"/>
          </rPr>
          <t>secon:</t>
        </r>
        <r>
          <rPr>
            <sz val="9"/>
            <color indexed="81"/>
            <rFont val="Tahoma"/>
            <family val="2"/>
          </rPr>
          <t xml:space="preserve">
Actualizado a certificado 2020</t>
        </r>
      </text>
    </comment>
    <comment ref="F11" authorId="0" shapeId="0" xr:uid="{76182298-B051-46F5-9B8E-109D9BD97812}">
      <text>
        <r>
          <rPr>
            <b/>
            <sz val="9"/>
            <color indexed="81"/>
            <rFont val="Tahoma"/>
            <family val="2"/>
          </rPr>
          <t>secon:</t>
        </r>
        <r>
          <rPr>
            <sz val="9"/>
            <color indexed="81"/>
            <rFont val="Tahoma"/>
            <family val="2"/>
          </rPr>
          <t xml:space="preserve">
Actualizado a certificado 2021 2693
</t>
        </r>
      </text>
    </comment>
  </commentList>
</comments>
</file>

<file path=xl/sharedStrings.xml><?xml version="1.0" encoding="utf-8"?>
<sst xmlns="http://schemas.openxmlformats.org/spreadsheetml/2006/main" count="400" uniqueCount="205">
  <si>
    <t>CLIENTE</t>
  </si>
  <si>
    <t>MARCA</t>
  </si>
  <si>
    <t>MODELO</t>
  </si>
  <si>
    <t>NO.SERIE</t>
  </si>
  <si>
    <t>REGISTRO. INT INTERNO</t>
  </si>
  <si>
    <t>EQUILIBRA</t>
  </si>
  <si>
    <t>PCB</t>
  </si>
  <si>
    <t>394C06</t>
  </si>
  <si>
    <t>LW15705</t>
  </si>
  <si>
    <t>TEMPERATURA °C</t>
  </si>
  <si>
    <t>HUMEDAD RELATIVA %</t>
  </si>
  <si>
    <t>PROMEDIOS</t>
  </si>
  <si>
    <t>Y</t>
  </si>
  <si>
    <t>DESVIACIONES</t>
  </si>
  <si>
    <t xml:space="preserve">ESTANDAR </t>
  </si>
  <si>
    <t>DE</t>
  </si>
  <si>
    <t>CALIBRACION</t>
  </si>
  <si>
    <t>CANAL 0</t>
  </si>
  <si>
    <t>FREC.CNL 0</t>
  </si>
  <si>
    <t>THD CNL 0</t>
  </si>
  <si>
    <t>CANAL 1</t>
  </si>
  <si>
    <t>FREC CNL 1</t>
  </si>
  <si>
    <t>THD CNL 1</t>
  </si>
  <si>
    <t>NaN</t>
  </si>
  <si>
    <t xml:space="preserve">CANAL 1 </t>
  </si>
  <si>
    <t>FREC.CNL 1</t>
  </si>
  <si>
    <t>FECHA Y HORA</t>
  </si>
  <si>
    <t>ENES</t>
  </si>
  <si>
    <t>CALCULOS PARA LA CALIBRACIÓN DE CALIBRADOR DE ACELERÓMETROS</t>
  </si>
  <si>
    <t>Nombre de Equipo:</t>
  </si>
  <si>
    <t>CALIBRADOR DE ACELEROMETROS</t>
  </si>
  <si>
    <t>FECHA:</t>
  </si>
  <si>
    <t>Datos del Cliente</t>
  </si>
  <si>
    <t>CLIENTE:</t>
  </si>
  <si>
    <t>ENES 2</t>
  </si>
  <si>
    <t>MARCA:</t>
  </si>
  <si>
    <t>EN1</t>
  </si>
  <si>
    <t>MODELO:</t>
  </si>
  <si>
    <t>LAXCE</t>
  </si>
  <si>
    <t>NO. DE SERIE:</t>
  </si>
  <si>
    <t>NO. DE IDENTIFICACIÓN:</t>
  </si>
  <si>
    <t>ACELERÓMETRO PATRÓN</t>
  </si>
  <si>
    <t>Brüel &amp; Kjær</t>
  </si>
  <si>
    <t>PESO ACELERÓMETRO PATRÓN:</t>
  </si>
  <si>
    <t>PAP</t>
  </si>
  <si>
    <t>g</t>
  </si>
  <si>
    <t>PESO MASA M1:</t>
  </si>
  <si>
    <t>PM1</t>
  </si>
  <si>
    <t>PESO MASA M2:</t>
  </si>
  <si>
    <t>PM2</t>
  </si>
  <si>
    <t>PESO MASA M3:</t>
  </si>
  <si>
    <t>PM3</t>
  </si>
  <si>
    <r>
      <t>PESO OPRESOR CHICO O</t>
    </r>
    <r>
      <rPr>
        <b/>
        <vertAlign val="subscript"/>
        <sz val="10"/>
        <rFont val="Arial"/>
        <family val="2"/>
      </rPr>
      <t>CHcobre</t>
    </r>
    <r>
      <rPr>
        <b/>
        <sz val="10"/>
        <rFont val="Arial"/>
        <family val="2"/>
      </rPr>
      <t>:</t>
    </r>
  </si>
  <si>
    <r>
      <t>P0</t>
    </r>
    <r>
      <rPr>
        <b/>
        <vertAlign val="subscript"/>
        <sz val="10"/>
        <rFont val="Arial"/>
        <family val="2"/>
      </rPr>
      <t>CH</t>
    </r>
  </si>
  <si>
    <r>
      <t>PESO OPRESOR GRANDE O</t>
    </r>
    <r>
      <rPr>
        <b/>
        <vertAlign val="subscript"/>
        <sz val="10"/>
        <rFont val="Arial"/>
        <family val="2"/>
      </rPr>
      <t>GD</t>
    </r>
    <r>
      <rPr>
        <b/>
        <sz val="10"/>
        <rFont val="Arial"/>
        <family val="2"/>
      </rPr>
      <t>:</t>
    </r>
  </si>
  <si>
    <r>
      <t>P0</t>
    </r>
    <r>
      <rPr>
        <b/>
        <vertAlign val="subscript"/>
        <sz val="10"/>
        <rFont val="Arial"/>
        <family val="2"/>
      </rPr>
      <t>GD</t>
    </r>
  </si>
  <si>
    <t>PESO OPRESOR MEDIANO OMED:</t>
  </si>
  <si>
    <t>P0MD</t>
  </si>
  <si>
    <r>
      <t>P0</t>
    </r>
    <r>
      <rPr>
        <b/>
        <vertAlign val="subscript"/>
        <sz val="10"/>
        <rFont val="Arial"/>
        <family val="2"/>
      </rPr>
      <t>CH2</t>
    </r>
  </si>
  <si>
    <t>sin masa</t>
  </si>
  <si>
    <t>masa 1</t>
  </si>
  <si>
    <t>masa 2</t>
  </si>
  <si>
    <t>masa 3</t>
  </si>
  <si>
    <t>TEMPERATURA:</t>
  </si>
  <si>
    <r>
      <t>o</t>
    </r>
    <r>
      <rPr>
        <b/>
        <sz val="10"/>
        <rFont val="Arial"/>
        <family val="2"/>
      </rPr>
      <t>C</t>
    </r>
  </si>
  <si>
    <t>HUMEDAD:</t>
  </si>
  <si>
    <t>%</t>
  </si>
  <si>
    <t>HOJA DE CÁLCULOS VALIDADA 26 DE SEPTIEMBRE DE 2016 (CELSO GUILLERMO GARCÍA DÍAZ)</t>
  </si>
  <si>
    <t>Incertidumbre Acelerómetro Triaxial Kistler  Mod 8792A500 NS C102744</t>
  </si>
  <si>
    <t>Incertidumbre Amplificador Patrón ( NEXUS 2693 CANAL 3 SENSIBILIDAD DE 100)</t>
  </si>
  <si>
    <t>Incertidumbre TARJETA NI USB 4431 CANAL 0</t>
  </si>
  <si>
    <t>i</t>
  </si>
  <si>
    <t>Masa</t>
  </si>
  <si>
    <t>Frecuencia</t>
  </si>
  <si>
    <t>Tensión patrón</t>
  </si>
  <si>
    <t>Sensibilidad</t>
  </si>
  <si>
    <t>Aceleración RMS</t>
  </si>
  <si>
    <t>Incertidumbre Original</t>
  </si>
  <si>
    <t>Tipo Distr</t>
  </si>
  <si>
    <t>Inc. Estandar</t>
  </si>
  <si>
    <t>Coef. Sens.</t>
  </si>
  <si>
    <t>Contribución</t>
  </si>
  <si>
    <t>GdL</t>
  </si>
  <si>
    <r>
      <t>Ui</t>
    </r>
    <r>
      <rPr>
        <b/>
        <vertAlign val="superscript"/>
        <sz val="11"/>
        <rFont val="Arial"/>
        <family val="2"/>
      </rPr>
      <t>4</t>
    </r>
    <r>
      <rPr>
        <b/>
        <sz val="11"/>
        <rFont val="Arial"/>
        <family val="2"/>
      </rPr>
      <t>(y)</t>
    </r>
  </si>
  <si>
    <r>
      <t>Uc</t>
    </r>
    <r>
      <rPr>
        <b/>
        <vertAlign val="superscript"/>
        <sz val="11"/>
        <rFont val="Arial"/>
        <family val="2"/>
      </rPr>
      <t>2</t>
    </r>
  </si>
  <si>
    <t>Incertidumbre original</t>
  </si>
  <si>
    <t>Error</t>
  </si>
  <si>
    <t>Tensión</t>
  </si>
  <si>
    <t>Certificado</t>
  </si>
  <si>
    <t>Resolución</t>
  </si>
  <si>
    <t>Repetibilidad</t>
  </si>
  <si>
    <t>Uc</t>
  </si>
  <si>
    <t>Contribucion</t>
  </si>
  <si>
    <t>mV</t>
  </si>
  <si>
    <t>desv, [mV]</t>
  </si>
  <si>
    <t>Patrón</t>
  </si>
  <si>
    <t>nexus</t>
  </si>
  <si>
    <t>Referencia</t>
  </si>
  <si>
    <t>CNM-CC-510-118-2020</t>
  </si>
  <si>
    <t>Unidad</t>
  </si>
  <si>
    <t>B. Normal. K=</t>
  </si>
  <si>
    <t xml:space="preserve">Δui </t>
  </si>
  <si>
    <t>total</t>
  </si>
  <si>
    <t>CNM-CC-510-028/2021</t>
  </si>
  <si>
    <t>Δui (%)</t>
  </si>
  <si>
    <t>mV/V</t>
  </si>
  <si>
    <t>corregida</t>
  </si>
  <si>
    <t>CNM-CC-510-011-2021</t>
  </si>
  <si>
    <t>resolución</t>
  </si>
  <si>
    <t>Distribición</t>
  </si>
  <si>
    <t>lecturas</t>
  </si>
  <si>
    <t>Aceleración Eje X</t>
  </si>
  <si>
    <t>Aceleración Eje Y</t>
  </si>
  <si>
    <t>μV/V</t>
  </si>
  <si>
    <t>A normal</t>
  </si>
  <si>
    <t>Incertidumbre Acelerómetro Patrón (B&amp;K Mod 4371 NS 1781565</t>
  </si>
  <si>
    <t>Incertidumbre Amplificador Patrón ( NEXUS 2693 CANAL 1 SENSIBILIDAD DE 100)</t>
  </si>
  <si>
    <t>THD</t>
  </si>
  <si>
    <t>Vibración Transversal</t>
  </si>
  <si>
    <t>Incertidumbre combinada</t>
  </si>
  <si>
    <t>frecuencia</t>
  </si>
  <si>
    <t>THD %</t>
  </si>
  <si>
    <t>Coef. Sens</t>
  </si>
  <si>
    <t xml:space="preserve">contribucion </t>
  </si>
  <si>
    <t>GDL</t>
  </si>
  <si>
    <t>TO %</t>
  </si>
  <si>
    <t>TO</t>
  </si>
  <si>
    <t>Contribución  %</t>
  </si>
  <si>
    <t>Veffectivos</t>
  </si>
  <si>
    <t>K</t>
  </si>
  <si>
    <t>Uexp</t>
  </si>
  <si>
    <t>Urel</t>
  </si>
  <si>
    <t>Urel Certificado</t>
  </si>
  <si>
    <t>Patron</t>
  </si>
  <si>
    <t>A. patron</t>
  </si>
  <si>
    <t>M. Patrón</t>
  </si>
  <si>
    <t>OT</t>
  </si>
  <si>
    <t>Acelerómetro</t>
  </si>
  <si>
    <t>Acelerómetro y masa 1</t>
  </si>
  <si>
    <t>Acelerómetro y masa 2</t>
  </si>
  <si>
    <t>Acelerómetro y masa 3</t>
  </si>
  <si>
    <t>FACTOR RMS</t>
  </si>
  <si>
    <t xml:space="preserve">RESULTADOS DE LA CALIBRACIÓN EN ACELERACIÓN EN EL SISTEMA  CON TARJETA DE ADQUISICION </t>
  </si>
  <si>
    <t>CA04 2021</t>
  </si>
  <si>
    <t>CA 2020</t>
  </si>
  <si>
    <t>PESOS TOTALES:</t>
  </si>
  <si>
    <t>PAP+=</t>
  </si>
  <si>
    <t>PAP+PM1+PCH=</t>
  </si>
  <si>
    <r>
      <t>PAP+PM2</t>
    </r>
    <r>
      <rPr>
        <b/>
        <vertAlign val="subscript"/>
        <sz val="10"/>
        <rFont val="Arial"/>
        <family val="2"/>
      </rPr>
      <t>+</t>
    </r>
    <r>
      <rPr>
        <b/>
        <sz val="10"/>
        <rFont val="Arial"/>
        <family val="2"/>
      </rPr>
      <t>OPgd=</t>
    </r>
  </si>
  <si>
    <t>PAP+PM3+M2+OPCh+OPcch=</t>
  </si>
  <si>
    <t>SIN MASA</t>
  </si>
  <si>
    <t>MASA 1</t>
  </si>
  <si>
    <t>MASA 2</t>
  </si>
  <si>
    <t>MASA 3</t>
  </si>
  <si>
    <t>Masa agregada (g)</t>
  </si>
  <si>
    <t>Aceleración (m/s2) RMS</t>
  </si>
  <si>
    <t>Frecuencia (Hz)</t>
  </si>
  <si>
    <r>
      <t>E</t>
    </r>
    <r>
      <rPr>
        <vertAlign val="subscript"/>
        <sz val="10"/>
        <rFont val="Arial"/>
        <family val="2"/>
      </rPr>
      <t>PATRÓN</t>
    </r>
    <r>
      <rPr>
        <sz val="10"/>
        <rFont val="Arial"/>
        <family val="2"/>
      </rPr>
      <t xml:space="preserve"> (Mv)</t>
    </r>
  </si>
  <si>
    <t>Frec. (Hz)</t>
  </si>
  <si>
    <t>Promedio</t>
  </si>
  <si>
    <t>Desv. Std.</t>
  </si>
  <si>
    <r>
      <t>Acel. Prom. (m/s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 rms</t>
    </r>
  </si>
  <si>
    <t>DISTORSION ARM.</t>
  </si>
  <si>
    <t>Incert. "A"</t>
  </si>
  <si>
    <t>DATOS PARA CERTIFICADO</t>
  </si>
  <si>
    <t>Tol PCB</t>
  </si>
  <si>
    <t>nominal</t>
  </si>
  <si>
    <t>Sensibilidad Nexus @ 160 Hz CH1 -10mv</t>
  </si>
  <si>
    <t>PROMEDIOS DEL PATRÓN</t>
  </si>
  <si>
    <t>Nominal</t>
  </si>
  <si>
    <t>Error Acel (%)</t>
  </si>
  <si>
    <t>Error en Frec</t>
  </si>
  <si>
    <t>2692 (Medias)</t>
  </si>
  <si>
    <t>2693 (Medias)</t>
  </si>
  <si>
    <r>
      <t>E</t>
    </r>
    <r>
      <rPr>
        <b/>
        <vertAlign val="subscript"/>
        <sz val="12"/>
        <rFont val="Arial"/>
        <family val="2"/>
      </rPr>
      <t>PATRÓN (mV)</t>
    </r>
  </si>
  <si>
    <t>Frecuencia(hz)</t>
  </si>
  <si>
    <t>SENSIBILIDAD ACELERÓMETRO:</t>
  </si>
  <si>
    <r>
      <t>pC/ms</t>
    </r>
    <r>
      <rPr>
        <vertAlign val="superscript"/>
        <sz val="12"/>
        <rFont val="Arial"/>
        <family val="2"/>
      </rPr>
      <t xml:space="preserve">-2 </t>
    </r>
    <r>
      <rPr>
        <sz val="12"/>
        <rFont val="Arial"/>
        <family val="2"/>
      </rPr>
      <t>@ 160 Hz</t>
    </r>
  </si>
  <si>
    <t>SENSIBILIDAD NEXUS (CH1):</t>
  </si>
  <si>
    <t>mV/pC</t>
  </si>
  <si>
    <t>SENSIBILIDAD CONJUNTO:</t>
  </si>
  <si>
    <r>
      <t>mV/ms</t>
    </r>
    <r>
      <rPr>
        <vertAlign val="superscript"/>
        <sz val="12"/>
        <rFont val="Arial"/>
        <family val="2"/>
      </rPr>
      <t>-2</t>
    </r>
  </si>
  <si>
    <t>con masa</t>
  </si>
  <si>
    <t>GRÁFICA PARA CERTIFICADO</t>
  </si>
  <si>
    <t>Incertidumbre Original(%)</t>
  </si>
  <si>
    <t>Tipo Distr B. Normal. K=</t>
  </si>
  <si>
    <t xml:space="preserve">GdL Δui </t>
  </si>
  <si>
    <t>GdL total</t>
  </si>
  <si>
    <t>VIBRACIÓN TRANSVERSAL</t>
  </si>
  <si>
    <t>GdL Δui (%)</t>
  </si>
  <si>
    <t>Tensión patrón mV</t>
  </si>
  <si>
    <t>Tensión patron desv, [mV]</t>
  </si>
  <si>
    <t>Sensibilidad Patrón</t>
  </si>
  <si>
    <t>Sensibilidad nexus</t>
  </si>
  <si>
    <t>Aceleración RMS Referencia</t>
  </si>
  <si>
    <t>Error mV/V</t>
  </si>
  <si>
    <t>Tensión corregida</t>
  </si>
  <si>
    <t>Tipo Distr Unidad</t>
  </si>
  <si>
    <t>Certificado Inc. Estandar</t>
  </si>
  <si>
    <t>Resolución:B. Normal. K=</t>
  </si>
  <si>
    <t>Resolución: resolución</t>
  </si>
  <si>
    <t>Resolución: Inc. Estandar</t>
  </si>
  <si>
    <t>Repetibilidad: Distribición</t>
  </si>
  <si>
    <t>Repetibilidad: lecturas</t>
  </si>
  <si>
    <t>Repetibilidad: Inc.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</si>
</sst>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0.000"/>
    <numFmt numFmtId="167" formatCode="0.0000000"/>
    <numFmt numFmtId="168" formatCode="0.0000"/>
    <numFmt numFmtId="169" formatCode="0.0%"/>
    <numFmt numFmtId="170" formatCode="0.000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4"/>
      <name val="Arial Black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color indexed="17"/>
      <name val="Arial"/>
      <family val="2"/>
    </font>
    <font>
      <b/>
      <sz val="11"/>
      <color indexed="17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sz val="14"/>
      <name val="Arial"/>
      <family val="2"/>
    </font>
    <font>
      <sz val="11"/>
      <color theme="1"/>
      <name val="Arial Black"/>
      <family val="2"/>
    </font>
    <font>
      <b/>
      <sz val="2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7"/>
      <name val="Arial"/>
      <family val="2"/>
    </font>
    <font>
      <vertAlign val="subscript"/>
      <sz val="10"/>
      <name val="Arial"/>
      <family val="2"/>
    </font>
    <font>
      <sz val="12"/>
      <name val="Arial"/>
      <family val="2"/>
    </font>
    <font>
      <sz val="10"/>
      <color indexed="17"/>
      <name val="Arial"/>
      <family val="2"/>
    </font>
    <font>
      <b/>
      <sz val="18"/>
      <name val="Arial"/>
      <family val="2"/>
    </font>
    <font>
      <vertAlign val="superscript"/>
      <sz val="12"/>
      <name val="Arial"/>
      <family val="2"/>
    </font>
    <font>
      <b/>
      <sz val="10"/>
      <color indexed="10"/>
      <name val="Arial"/>
      <family val="2"/>
    </font>
    <font>
      <b/>
      <sz val="14"/>
      <color indexed="12"/>
      <name val="Arial"/>
      <family val="2"/>
    </font>
    <font>
      <b/>
      <sz val="11"/>
      <color rgb="FF3F3F76"/>
      <name val="Calibri"/>
      <family val="2"/>
      <scheme val="minor"/>
    </font>
    <font>
      <b/>
      <vertAlign val="subscript"/>
      <sz val="12"/>
      <name val="Arial"/>
      <family val="2"/>
    </font>
    <font>
      <sz val="14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theme="5" tint="0.59999389629810485"/>
      </bottom>
      <diagonal/>
    </border>
    <border>
      <left/>
      <right/>
      <top/>
      <bottom style="double">
        <color theme="3" tint="0.59999389629810485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theme="5" tint="0.59999389629810485"/>
      </left>
      <right/>
      <top style="double">
        <color theme="5" tint="0.59999389629810485"/>
      </top>
      <bottom style="double">
        <color theme="5" tint="0.59999389629810485"/>
      </bottom>
      <diagonal/>
    </border>
    <border>
      <left/>
      <right style="double">
        <color theme="5" tint="0.59999389629810485"/>
      </right>
      <top style="double">
        <color theme="5" tint="0.59999389629810485"/>
      </top>
      <bottom style="double">
        <color theme="5" tint="0.59999389629810485"/>
      </bottom>
      <diagonal/>
    </border>
    <border>
      <left style="double">
        <color theme="5" tint="0.59999389629810485"/>
      </left>
      <right style="double">
        <color theme="5" tint="0.59999389629810485"/>
      </right>
      <top style="double">
        <color theme="5" tint="0.59999389629810485"/>
      </top>
      <bottom style="double">
        <color theme="5" tint="0.59999389629810485"/>
      </bottom>
      <diagonal/>
    </border>
    <border>
      <left style="double">
        <color theme="5" tint="0.59999389629810485"/>
      </left>
      <right style="double">
        <color theme="5" tint="0.59999389629810485"/>
      </right>
      <top style="double">
        <color theme="5" tint="0.59999389629810485"/>
      </top>
      <bottom/>
      <diagonal/>
    </border>
    <border>
      <left/>
      <right style="double">
        <color theme="5" tint="0.59999389629810485"/>
      </right>
      <top style="double">
        <color theme="5" tint="0.59999389629810485"/>
      </top>
      <bottom/>
      <diagonal/>
    </border>
    <border>
      <left style="double">
        <color theme="5" tint="0.59999389629810485"/>
      </left>
      <right style="medium">
        <color theme="5" tint="0.59999389629810485"/>
      </right>
      <top style="double">
        <color theme="5" tint="0.59999389629810485"/>
      </top>
      <bottom style="double">
        <color theme="5" tint="0.59999389629810485"/>
      </bottom>
      <diagonal/>
    </border>
    <border>
      <left style="medium">
        <color theme="5" tint="0.59999389629810485"/>
      </left>
      <right/>
      <top style="double">
        <color theme="5" tint="0.59999389629810485"/>
      </top>
      <bottom style="double">
        <color theme="5" tint="0.59999389629810485"/>
      </bottom>
      <diagonal/>
    </border>
    <border>
      <left/>
      <right style="double">
        <color theme="5" tint="0.59999389629810485"/>
      </right>
      <top/>
      <bottom/>
      <diagonal/>
    </border>
    <border>
      <left style="double">
        <color theme="3" tint="0.59999389629810485"/>
      </left>
      <right/>
      <top style="double">
        <color theme="3" tint="0.59999389629810485"/>
      </top>
      <bottom style="double">
        <color theme="3" tint="0.59999389629810485"/>
      </bottom>
      <diagonal/>
    </border>
    <border>
      <left/>
      <right style="double">
        <color theme="3" tint="0.59999389629810485"/>
      </right>
      <top style="double">
        <color theme="3" tint="0.59999389629810485"/>
      </top>
      <bottom style="double">
        <color theme="3" tint="0.59999389629810485"/>
      </bottom>
      <diagonal/>
    </border>
    <border>
      <left/>
      <right style="double">
        <color theme="3" tint="0.59999389629810485"/>
      </right>
      <top style="double">
        <color theme="3" tint="0.59999389629810485"/>
      </top>
      <bottom style="medium">
        <color theme="3" tint="0.59999389629810485"/>
      </bottom>
      <diagonal/>
    </border>
    <border>
      <left/>
      <right style="medium">
        <color theme="3" tint="0.59999389629810485"/>
      </right>
      <top/>
      <bottom style="medium">
        <color theme="3" tint="0.59999389629810485"/>
      </bottom>
      <diagonal/>
    </border>
    <border>
      <left style="medium">
        <color theme="3" tint="0.59999389629810485"/>
      </left>
      <right style="double">
        <color theme="3" tint="0.59999389629810485"/>
      </right>
      <top/>
      <bottom style="medium">
        <color theme="3" tint="0.59999389629810485"/>
      </bottom>
      <diagonal/>
    </border>
    <border>
      <left/>
      <right/>
      <top/>
      <bottom style="medium">
        <color theme="3" tint="0.59999389629810485"/>
      </bottom>
      <diagonal/>
    </border>
    <border>
      <left style="double">
        <color theme="3" tint="0.59999389629810485"/>
      </left>
      <right style="double">
        <color theme="3" tint="0.59999389629810485"/>
      </right>
      <top/>
      <bottom style="medium">
        <color theme="3" tint="0.59999389629810485"/>
      </bottom>
      <diagonal/>
    </border>
    <border>
      <left style="double">
        <color theme="9" tint="-0.249977111117893"/>
      </left>
      <right style="double">
        <color theme="9" tint="-0.249977111117893"/>
      </right>
      <top style="double">
        <color theme="9" tint="-0.249977111117893"/>
      </top>
      <bottom style="medium">
        <color theme="9" tint="-0.249977111117893"/>
      </bottom>
      <diagonal/>
    </border>
    <border>
      <left/>
      <right style="double">
        <color theme="9" tint="-0.249977111117893"/>
      </right>
      <top style="double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double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double">
        <color theme="9" tint="-0.249977111117893"/>
      </right>
      <top style="double">
        <color theme="9" tint="-0.249977111117893"/>
      </top>
      <bottom style="medium">
        <color theme="9" tint="-0.249977111117893"/>
      </bottom>
      <diagonal/>
    </border>
    <border>
      <left style="double">
        <color theme="9" tint="-0.249977111117893"/>
      </left>
      <right/>
      <top style="double">
        <color theme="9" tint="-0.249977111117893"/>
      </top>
      <bottom style="medium">
        <color theme="9" tint="-0.249977111117893"/>
      </bottom>
      <diagonal/>
    </border>
    <border>
      <left/>
      <right/>
      <top style="double">
        <color theme="9" tint="-0.249977111117893"/>
      </top>
      <bottom style="medium">
        <color theme="9" tint="-0.249977111117893"/>
      </bottom>
      <diagonal/>
    </border>
    <border>
      <left style="double">
        <color theme="9" tint="-0.249977111117893"/>
      </left>
      <right style="double">
        <color theme="9" tint="-0.249977111117893"/>
      </right>
      <top style="double">
        <color theme="9" tint="-0.249977111117893"/>
      </top>
      <bottom/>
      <diagonal/>
    </border>
    <border>
      <left/>
      <right style="double">
        <color theme="5" tint="0.59999389629810485"/>
      </right>
      <top/>
      <bottom style="double">
        <color theme="5" tint="0.59999389629810485"/>
      </bottom>
      <diagonal/>
    </border>
    <border>
      <left style="double">
        <color theme="5" tint="0.59999389629810485"/>
      </left>
      <right style="double">
        <color theme="5" tint="0.59999389629810485"/>
      </right>
      <top/>
      <bottom style="double">
        <color theme="5" tint="0.59999389629810485"/>
      </bottom>
      <diagonal/>
    </border>
    <border>
      <left style="double">
        <color theme="5" tint="0.59999389629810485"/>
      </left>
      <right/>
      <top/>
      <bottom style="double">
        <color theme="5" tint="0.59999389629810485"/>
      </bottom>
      <diagonal/>
    </border>
    <border>
      <left style="double">
        <color theme="3" tint="0.59999389629810485"/>
      </left>
      <right style="double">
        <color theme="3" tint="0.59999389629810485"/>
      </right>
      <top style="double">
        <color theme="3" tint="0.59999389629810485"/>
      </top>
      <bottom/>
      <diagonal/>
    </border>
    <border>
      <left/>
      <right style="double">
        <color theme="3" tint="0.59999389629810485"/>
      </right>
      <top style="medium">
        <color theme="3" tint="0.59999389629810485"/>
      </top>
      <bottom style="double">
        <color theme="3" tint="0.59999389629810485"/>
      </bottom>
      <diagonal/>
    </border>
    <border>
      <left/>
      <right style="medium">
        <color theme="3" tint="0.59999389629810485"/>
      </right>
      <top style="medium">
        <color theme="3" tint="0.59999389629810485"/>
      </top>
      <bottom style="double">
        <color theme="3" tint="0.59999389629810485"/>
      </bottom>
      <diagonal/>
    </border>
    <border>
      <left style="medium">
        <color theme="3" tint="0.59999389629810485"/>
      </left>
      <right style="double">
        <color theme="3" tint="0.59999389629810485"/>
      </right>
      <top style="medium">
        <color theme="3" tint="0.59999389629810485"/>
      </top>
      <bottom style="double">
        <color theme="3" tint="0.59999389629810485"/>
      </bottom>
      <diagonal/>
    </border>
    <border>
      <left/>
      <right/>
      <top style="medium">
        <color theme="3" tint="0.59999389629810485"/>
      </top>
      <bottom style="double">
        <color theme="3" tint="0.59999389629810485"/>
      </bottom>
      <diagonal/>
    </border>
    <border>
      <left style="double">
        <color theme="3" tint="0.59999389629810485"/>
      </left>
      <right style="double">
        <color theme="3" tint="0.59999389629810485"/>
      </right>
      <top style="medium">
        <color theme="3" tint="0.59999389629810485"/>
      </top>
      <bottom style="double">
        <color theme="3" tint="0.59999389629810485"/>
      </bottom>
      <diagonal/>
    </border>
    <border>
      <left style="double">
        <color theme="9" tint="-0.249977111117893"/>
      </left>
      <right style="double">
        <color theme="9" tint="-0.249977111117893"/>
      </right>
      <top style="medium">
        <color theme="9" tint="-0.249977111117893"/>
      </top>
      <bottom/>
      <diagonal/>
    </border>
    <border>
      <left/>
      <right style="double">
        <color theme="9" tint="-0.249977111117893"/>
      </right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 style="double">
        <color theme="9" tint="-0.249977111117893"/>
      </right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 style="double">
        <color theme="9" tint="-0.249977111117893"/>
      </left>
      <right style="double">
        <color theme="9" tint="-0.249977111117893"/>
      </right>
      <top/>
      <bottom style="double">
        <color theme="9" tint="-0.249977111117893"/>
      </bottom>
      <diagonal/>
    </border>
    <border>
      <left style="double">
        <color theme="5" tint="0.59999389629810485"/>
      </left>
      <right style="double">
        <color theme="5" tint="0.59999389629810485"/>
      </right>
      <top style="double">
        <color theme="5" tint="0.59999389629810485"/>
      </top>
      <bottom style="medium">
        <color theme="5" tint="0.59999389629810485"/>
      </bottom>
      <diagonal/>
    </border>
    <border>
      <left style="double">
        <color theme="5" tint="0.59999389629810485"/>
      </left>
      <right style="double">
        <color theme="5" tint="0.59999389629810485"/>
      </right>
      <top/>
      <bottom style="medium">
        <color theme="5" tint="0.59999389629810485"/>
      </bottom>
      <diagonal/>
    </border>
    <border>
      <left/>
      <right style="double">
        <color theme="5" tint="0.59999389629810485"/>
      </right>
      <top style="double">
        <color theme="5" tint="0.59999389629810485"/>
      </top>
      <bottom style="medium">
        <color theme="5" tint="0.59999389629810485"/>
      </bottom>
      <diagonal/>
    </border>
    <border>
      <left style="medium">
        <color theme="9" tint="-0.249977111117893"/>
      </left>
      <right style="double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double">
        <color theme="9" tint="-0.249977111117893"/>
      </top>
      <bottom style="double">
        <color theme="9" tint="-0.249977111117893"/>
      </bottom>
      <diagonal/>
    </border>
    <border>
      <left style="medium">
        <color theme="9" tint="-0.249977111117893"/>
      </left>
      <right style="double">
        <color theme="9" tint="-0.249977111117893"/>
      </right>
      <top style="double">
        <color theme="9" tint="-0.249977111117893"/>
      </top>
      <bottom style="double">
        <color theme="9" tint="-0.249977111117893"/>
      </bottom>
      <diagonal/>
    </border>
    <border>
      <left style="double">
        <color theme="9" tint="-0.249977111117893"/>
      </left>
      <right style="double">
        <color theme="9" tint="-0.249977111117893"/>
      </right>
      <top style="double">
        <color theme="9" tint="-0.249977111117893"/>
      </top>
      <bottom style="double">
        <color theme="9" tint="-0.249977111117893"/>
      </bottom>
      <diagonal/>
    </border>
    <border>
      <left style="double">
        <color theme="5" tint="0.59999389629810485"/>
      </left>
      <right style="double">
        <color theme="5" tint="0.59999389629810485"/>
      </right>
      <top style="medium">
        <color theme="5" tint="0.59999389629810485"/>
      </top>
      <bottom style="medium">
        <color theme="5" tint="0.59999389629810485"/>
      </bottom>
      <diagonal/>
    </border>
    <border>
      <left/>
      <right style="double">
        <color theme="5" tint="0.59999389629810485"/>
      </right>
      <top style="medium">
        <color theme="5" tint="0.59999389629810485"/>
      </top>
      <bottom style="medium">
        <color theme="5" tint="0.59999389629810485"/>
      </bottom>
      <diagonal/>
    </border>
    <border>
      <left style="double">
        <color theme="3" tint="0.59999389629810485"/>
      </left>
      <right style="double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/>
      <right style="double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/>
      <right style="medium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 style="medium">
        <color theme="3" tint="0.59999389629810485"/>
      </left>
      <right style="double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/>
      <right/>
      <top style="medium">
        <color theme="3" tint="0.59999389629810485"/>
      </top>
      <bottom style="medium">
        <color theme="3" tint="0.59999389629810485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theme="9" tint="-0.249977111117893"/>
      </left>
      <right style="double">
        <color theme="9" tint="-0.249977111117893"/>
      </right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double">
        <color theme="9" tint="-0.249977111117893"/>
      </left>
      <right style="double">
        <color theme="9" tint="-0.249977111117893"/>
      </right>
      <top/>
      <bottom style="medium">
        <color theme="9" tint="-0.249977111117893"/>
      </bottom>
      <diagonal/>
    </border>
    <border>
      <left/>
      <right style="double">
        <color theme="9" tint="-0.249977111117893"/>
      </right>
      <top/>
      <bottom style="medium">
        <color theme="9" tint="-0.249977111117893"/>
      </bottom>
      <diagonal/>
    </border>
    <border>
      <left style="double">
        <color theme="9" tint="-0.249977111117893"/>
      </left>
      <right style="double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 style="double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double">
        <color rgb="FFFA6050"/>
      </left>
      <right style="double">
        <color rgb="FFFA6050"/>
      </right>
      <top style="double">
        <color rgb="FFFA6050"/>
      </top>
      <bottom/>
      <diagonal/>
    </border>
    <border>
      <left style="double">
        <color rgb="FFFA6050"/>
      </left>
      <right/>
      <top style="double">
        <color rgb="FFFA6050"/>
      </top>
      <bottom/>
      <diagonal/>
    </border>
    <border>
      <left/>
      <right/>
      <top style="double">
        <color rgb="FFFA6050"/>
      </top>
      <bottom/>
      <diagonal/>
    </border>
    <border>
      <left/>
      <right style="double">
        <color rgb="FFFA6050"/>
      </right>
      <top style="double">
        <color rgb="FFFA6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FA6050"/>
      </left>
      <right style="double">
        <color rgb="FFFA6050"/>
      </right>
      <top/>
      <bottom style="double">
        <color rgb="FFFA6050"/>
      </bottom>
      <diagonal/>
    </border>
    <border>
      <left style="double">
        <color rgb="FFFA6050"/>
      </left>
      <right style="double">
        <color rgb="FFFA6050"/>
      </right>
      <top style="double">
        <color rgb="FFFA6050"/>
      </top>
      <bottom style="medium">
        <color rgb="FFFA6050"/>
      </bottom>
      <diagonal/>
    </border>
    <border>
      <left/>
      <right style="double">
        <color rgb="FFFA6050"/>
      </right>
      <top style="double">
        <color rgb="FFFA6050"/>
      </top>
      <bottom style="medium">
        <color rgb="FFFA6050"/>
      </bottom>
      <diagonal/>
    </border>
    <border>
      <left/>
      <right style="double">
        <color rgb="FFFA6050"/>
      </right>
      <top style="medium">
        <color rgb="FFFA6050"/>
      </top>
      <bottom style="medium">
        <color rgb="FFFA6050"/>
      </bottom>
      <diagonal/>
    </border>
    <border>
      <left/>
      <right/>
      <top style="medium">
        <color rgb="FFFA6050"/>
      </top>
      <bottom style="medium">
        <color rgb="FFFA6050"/>
      </bottom>
      <diagonal/>
    </border>
    <border>
      <left style="double">
        <color rgb="FFFA6050"/>
      </left>
      <right style="double">
        <color rgb="FFFA6050"/>
      </right>
      <top style="medium">
        <color rgb="FFFA6050"/>
      </top>
      <bottom style="medium">
        <color rgb="FFFA605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theme="5" tint="0.59999389629810485"/>
      </left>
      <right/>
      <top style="double">
        <color theme="5" tint="0.59999389629810485"/>
      </top>
      <bottom/>
      <diagonal/>
    </border>
    <border>
      <left/>
      <right/>
      <top/>
      <bottom style="double">
        <color theme="9" tint="-0.249977111117893"/>
      </bottom>
      <diagonal/>
    </border>
    <border>
      <left style="double">
        <color theme="3" tint="0.59999389629810485"/>
      </left>
      <right/>
      <top style="double">
        <color theme="3" tint="0.59999389629810485"/>
      </top>
      <bottom/>
      <diagonal/>
    </border>
    <border>
      <left style="double">
        <color theme="3" tint="0.59999389629810485"/>
      </left>
      <right/>
      <top/>
      <bottom/>
      <diagonal/>
    </border>
    <border>
      <left/>
      <right style="double">
        <color theme="3" tint="0.59999389629810485"/>
      </right>
      <top style="double">
        <color theme="3" tint="0.59999389629810485"/>
      </top>
      <bottom/>
      <diagonal/>
    </border>
    <border>
      <left/>
      <right style="double">
        <color theme="3" tint="0.59999389629810485"/>
      </right>
      <top/>
      <bottom style="double">
        <color theme="3" tint="0.59999389629810485"/>
      </bottom>
      <diagonal/>
    </border>
    <border>
      <left style="double">
        <color theme="3" tint="0.59999389629810485"/>
      </left>
      <right style="medium">
        <color theme="3" tint="0.59999389629810485"/>
      </right>
      <top/>
      <bottom/>
      <diagonal/>
    </border>
    <border>
      <left style="double">
        <color theme="3" tint="0.59999389629810485"/>
      </left>
      <right style="medium">
        <color theme="3" tint="0.59999389629810485"/>
      </right>
      <top/>
      <bottom style="double">
        <color theme="3" tint="0.59999389629810485"/>
      </bottom>
      <diagonal/>
    </border>
    <border>
      <left style="medium">
        <color theme="3" tint="0.59999389629810485"/>
      </left>
      <right style="double">
        <color theme="3" tint="0.59999389629810485"/>
      </right>
      <top/>
      <bottom/>
      <diagonal/>
    </border>
    <border>
      <left style="medium">
        <color theme="3" tint="0.59999389629810485"/>
      </left>
      <right style="double">
        <color theme="3" tint="0.59999389629810485"/>
      </right>
      <top/>
      <bottom style="double">
        <color theme="3" tint="0.59999389629810485"/>
      </bottom>
      <diagonal/>
    </border>
    <border>
      <left style="medium">
        <color theme="9" tint="-0.249977111117893"/>
      </left>
      <right style="double">
        <color theme="9" tint="-0.249977111117893"/>
      </right>
      <top style="double">
        <color theme="9" tint="-0.249977111117893"/>
      </top>
      <bottom/>
      <diagonal/>
    </border>
    <border>
      <left style="medium">
        <color theme="9" tint="-0.249977111117893"/>
      </left>
      <right style="double">
        <color theme="9" tint="-0.249977111117893"/>
      </right>
      <top/>
      <bottom/>
      <diagonal/>
    </border>
    <border>
      <left style="double">
        <color theme="9" tint="-0.249977111117893"/>
      </left>
      <right style="medium">
        <color theme="9" tint="-0.249977111117893"/>
      </right>
      <top style="double">
        <color theme="9" tint="-0.249977111117893"/>
      </top>
      <bottom/>
      <diagonal/>
    </border>
    <border>
      <left style="double">
        <color theme="9" tint="-0.249977111117893"/>
      </left>
      <right style="medium">
        <color theme="9" tint="-0.249977111117893"/>
      </right>
      <top/>
      <bottom/>
      <diagonal/>
    </border>
    <border>
      <left style="double">
        <color theme="9" tint="-0.249977111117893"/>
      </left>
      <right style="double">
        <color theme="9" tint="-0.249977111117893"/>
      </right>
      <top/>
      <bottom/>
      <diagonal/>
    </border>
    <border>
      <left style="double">
        <color theme="9" tint="-0.249977111117893"/>
      </left>
      <right/>
      <top style="double">
        <color theme="9" tint="-0.249977111117893"/>
      </top>
      <bottom/>
      <diagonal/>
    </border>
    <border>
      <left style="double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 style="double">
        <color theme="9" tint="-0.249977111117893"/>
      </top>
      <bottom/>
      <diagonal/>
    </border>
    <border>
      <left/>
      <right style="double">
        <color theme="9" tint="-0.249977111117893"/>
      </right>
      <top style="double">
        <color theme="9" tint="-0.249977111117893"/>
      </top>
      <bottom/>
      <diagonal/>
    </border>
    <border>
      <left/>
      <right style="double">
        <color theme="9" tint="-0.249977111117893"/>
      </right>
      <top/>
      <bottom/>
      <diagonal/>
    </border>
    <border>
      <left/>
      <right style="double">
        <color theme="9" tint="-0.249977111117893"/>
      </right>
      <top/>
      <bottom style="double">
        <color theme="9" tint="-0.249977111117893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9" fontId="6" fillId="0" borderId="0" applyFont="0" applyFill="0" applyBorder="0" applyAlignment="0" applyProtection="0"/>
  </cellStyleXfs>
  <cellXfs count="319">
    <xf numFmtId="0" fontId="0" fillId="0" borderId="0" xfId="0"/>
    <xf numFmtId="0" fontId="5" fillId="6" borderId="0" xfId="5" applyFill="1" applyAlignment="1">
      <alignment horizontal="center" vertical="center"/>
    </xf>
    <xf numFmtId="0" fontId="5" fillId="0" borderId="0" xfId="5"/>
    <xf numFmtId="0" fontId="6" fillId="0" borderId="0" xfId="5" applyFont="1"/>
    <xf numFmtId="0" fontId="7" fillId="0" borderId="0" xfId="5" applyFont="1"/>
    <xf numFmtId="0" fontId="5" fillId="0" borderId="0" xfId="5" applyAlignment="1">
      <alignment horizontal="center" vertical="center"/>
    </xf>
    <xf numFmtId="0" fontId="5" fillId="7" borderId="0" xfId="5" applyFill="1" applyAlignment="1">
      <alignment horizontal="center" vertical="center"/>
    </xf>
    <xf numFmtId="0" fontId="5" fillId="8" borderId="0" xfId="5" applyFill="1" applyAlignment="1">
      <alignment horizontal="center" vertical="center"/>
    </xf>
    <xf numFmtId="0" fontId="5" fillId="9" borderId="0" xfId="5" applyFill="1" applyAlignment="1">
      <alignment horizontal="center" vertical="center"/>
    </xf>
    <xf numFmtId="0" fontId="5" fillId="10" borderId="0" xfId="5" applyFill="1" applyAlignment="1">
      <alignment horizontal="center" vertical="center"/>
    </xf>
    <xf numFmtId="14" fontId="6" fillId="10" borderId="0" xfId="5" applyNumberFormat="1" applyFont="1" applyFill="1" applyAlignment="1">
      <alignment horizontal="center" vertical="center"/>
    </xf>
    <xf numFmtId="0" fontId="5" fillId="11" borderId="0" xfId="5" applyFill="1"/>
    <xf numFmtId="0" fontId="5" fillId="8" borderId="0" xfId="5" applyFill="1"/>
    <xf numFmtId="0" fontId="10" fillId="8" borderId="0" xfId="5" applyFont="1" applyFill="1" applyAlignment="1">
      <alignment horizontal="right"/>
    </xf>
    <xf numFmtId="0" fontId="11" fillId="8" borderId="0" xfId="5" applyFont="1" applyFill="1"/>
    <xf numFmtId="0" fontId="5" fillId="8" borderId="0" xfId="5" applyFill="1" applyAlignment="1">
      <alignment horizontal="right"/>
    </xf>
    <xf numFmtId="14" fontId="12" fillId="8" borderId="0" xfId="5" applyNumberFormat="1" applyFont="1" applyFill="1"/>
    <xf numFmtId="0" fontId="10" fillId="8" borderId="0" xfId="5" applyFont="1" applyFill="1"/>
    <xf numFmtId="0" fontId="9" fillId="8" borderId="0" xfId="5" applyFont="1" applyFill="1"/>
    <xf numFmtId="0" fontId="13" fillId="8" borderId="0" xfId="5" applyFont="1" applyFill="1" applyAlignment="1">
      <alignment horizontal="left"/>
    </xf>
    <xf numFmtId="0" fontId="13" fillId="8" borderId="0" xfId="5" applyFont="1" applyFill="1" applyAlignment="1">
      <alignment horizontal="center" vertical="center"/>
    </xf>
    <xf numFmtId="0" fontId="13" fillId="8" borderId="0" xfId="5" applyFont="1" applyFill="1" applyAlignment="1">
      <alignment horizontal="center"/>
    </xf>
    <xf numFmtId="0" fontId="11" fillId="0" borderId="0" xfId="5" applyFont="1"/>
    <xf numFmtId="0" fontId="13" fillId="8" borderId="0" xfId="5" applyFont="1" applyFill="1" applyAlignment="1">
      <alignment vertical="center"/>
    </xf>
    <xf numFmtId="0" fontId="10" fillId="0" borderId="0" xfId="5" applyFont="1" applyAlignment="1">
      <alignment horizontal="right"/>
    </xf>
    <xf numFmtId="0" fontId="11" fillId="0" borderId="0" xfId="5" applyFont="1" applyAlignment="1">
      <alignment horizontal="center"/>
    </xf>
    <xf numFmtId="0" fontId="10" fillId="0" borderId="0" xfId="5" applyFont="1"/>
    <xf numFmtId="0" fontId="14" fillId="8" borderId="0" xfId="5" applyFont="1" applyFill="1"/>
    <xf numFmtId="0" fontId="13" fillId="8" borderId="0" xfId="5" applyFont="1" applyFill="1"/>
    <xf numFmtId="0" fontId="15" fillId="8" borderId="3" xfId="5" applyFont="1" applyFill="1" applyBorder="1" applyAlignment="1">
      <alignment horizontal="center"/>
    </xf>
    <xf numFmtId="0" fontId="6" fillId="8" borderId="3" xfId="5" applyFont="1" applyFill="1" applyBorder="1" applyAlignment="1">
      <alignment horizontal="center"/>
    </xf>
    <xf numFmtId="0" fontId="5" fillId="8" borderId="0" xfId="5" applyFill="1" applyAlignment="1">
      <alignment horizontal="center"/>
    </xf>
    <xf numFmtId="2" fontId="15" fillId="8" borderId="3" xfId="5" applyNumberFormat="1" applyFont="1" applyFill="1" applyBorder="1" applyAlignment="1">
      <alignment horizontal="center"/>
    </xf>
    <xf numFmtId="2" fontId="5" fillId="0" borderId="0" xfId="5" applyNumberFormat="1"/>
    <xf numFmtId="0" fontId="15" fillId="8" borderId="4" xfId="5" applyFont="1" applyFill="1" applyBorder="1" applyAlignment="1">
      <alignment horizontal="center"/>
    </xf>
    <xf numFmtId="0" fontId="6" fillId="8" borderId="4" xfId="5" applyFont="1" applyFill="1" applyBorder="1" applyAlignment="1">
      <alignment horizontal="center"/>
    </xf>
    <xf numFmtId="0" fontId="5" fillId="8" borderId="3" xfId="5" applyFill="1" applyBorder="1" applyAlignment="1">
      <alignment horizontal="center"/>
    </xf>
    <xf numFmtId="0" fontId="5" fillId="8" borderId="3" xfId="5" applyFill="1" applyBorder="1" applyAlignment="1">
      <alignment horizontal="center" vertical="center"/>
    </xf>
    <xf numFmtId="2" fontId="5" fillId="8" borderId="3" xfId="5" applyNumberFormat="1" applyFill="1" applyBorder="1" applyAlignment="1">
      <alignment horizontal="center"/>
    </xf>
    <xf numFmtId="2" fontId="5" fillId="8" borderId="3" xfId="5" applyNumberFormat="1" applyFill="1" applyBorder="1" applyAlignment="1">
      <alignment horizontal="center" vertical="center"/>
    </xf>
    <xf numFmtId="2" fontId="5" fillId="8" borderId="0" xfId="5" applyNumberFormat="1" applyFill="1"/>
    <xf numFmtId="164" fontId="11" fillId="8" borderId="0" xfId="5" applyNumberFormat="1" applyFont="1" applyFill="1" applyAlignment="1">
      <alignment horizontal="center"/>
    </xf>
    <xf numFmtId="0" fontId="17" fillId="8" borderId="0" xfId="5" applyFont="1" applyFill="1"/>
    <xf numFmtId="0" fontId="18" fillId="12" borderId="0" xfId="5" applyFont="1" applyFill="1" applyAlignment="1">
      <alignment vertical="center"/>
    </xf>
    <xf numFmtId="0" fontId="5" fillId="12" borderId="0" xfId="5" applyFill="1" applyAlignment="1">
      <alignment vertical="center"/>
    </xf>
    <xf numFmtId="0" fontId="19" fillId="0" borderId="0" xfId="5" applyFont="1" applyAlignment="1">
      <alignment horizontal="center" vertical="center"/>
    </xf>
    <xf numFmtId="0" fontId="19" fillId="0" borderId="0" xfId="5" applyFont="1" applyAlignment="1">
      <alignment vertical="center"/>
    </xf>
    <xf numFmtId="0" fontId="20" fillId="0" borderId="0" xfId="5" applyFont="1" applyAlignment="1">
      <alignment vertical="center"/>
    </xf>
    <xf numFmtId="0" fontId="5" fillId="0" borderId="5" xfId="5" applyBorder="1"/>
    <xf numFmtId="0" fontId="5" fillId="0" borderId="6" xfId="5" applyBorder="1"/>
    <xf numFmtId="0" fontId="21" fillId="16" borderId="7" xfId="3" applyFont="1" applyFill="1" applyBorder="1" applyAlignment="1">
      <alignment horizontal="center"/>
    </xf>
    <xf numFmtId="0" fontId="22" fillId="17" borderId="10" xfId="5" applyFont="1" applyFill="1" applyBorder="1" applyAlignment="1">
      <alignment horizontal="center" vertical="center"/>
    </xf>
    <xf numFmtId="0" fontId="22" fillId="18" borderId="18" xfId="5" applyFont="1" applyFill="1" applyBorder="1" applyAlignment="1">
      <alignment horizontal="center" vertical="center"/>
    </xf>
    <xf numFmtId="0" fontId="22" fillId="15" borderId="23" xfId="5" applyFont="1" applyFill="1" applyBorder="1" applyAlignment="1">
      <alignment horizontal="center" vertical="center"/>
    </xf>
    <xf numFmtId="0" fontId="22" fillId="15" borderId="24" xfId="5" applyFont="1" applyFill="1" applyBorder="1" applyAlignment="1">
      <alignment horizontal="center" vertical="center"/>
    </xf>
    <xf numFmtId="0" fontId="22" fillId="0" borderId="0" xfId="5" applyFont="1" applyAlignment="1">
      <alignment vertical="center"/>
    </xf>
    <xf numFmtId="0" fontId="22" fillId="0" borderId="0" xfId="5" applyFont="1" applyAlignment="1">
      <alignment horizontal="center" vertical="center"/>
    </xf>
    <xf numFmtId="0" fontId="24" fillId="17" borderId="11" xfId="5" applyFont="1" applyFill="1" applyBorder="1" applyAlignment="1">
      <alignment horizontal="center" vertical="center"/>
    </xf>
    <xf numFmtId="0" fontId="22" fillId="17" borderId="11" xfId="5" applyFont="1" applyFill="1" applyBorder="1" applyAlignment="1">
      <alignment vertical="center"/>
    </xf>
    <xf numFmtId="0" fontId="22" fillId="17" borderId="30" xfId="5" applyFont="1" applyFill="1" applyBorder="1" applyAlignment="1">
      <alignment vertical="center"/>
    </xf>
    <xf numFmtId="0" fontId="22" fillId="17" borderId="31" xfId="5" applyFont="1" applyFill="1" applyBorder="1" applyAlignment="1">
      <alignment horizontal="center" vertical="center"/>
    </xf>
    <xf numFmtId="0" fontId="22" fillId="17" borderId="32" xfId="5" applyFont="1" applyFill="1" applyBorder="1" applyAlignment="1">
      <alignment horizontal="center" vertical="center"/>
    </xf>
    <xf numFmtId="0" fontId="24" fillId="18" borderId="33" xfId="5" applyFont="1" applyFill="1" applyBorder="1" applyAlignment="1">
      <alignment horizontal="center" vertical="center"/>
    </xf>
    <xf numFmtId="0" fontId="22" fillId="18" borderId="33" xfId="5" applyFont="1" applyFill="1" applyBorder="1" applyAlignment="1">
      <alignment horizontal="center" vertical="center"/>
    </xf>
    <xf numFmtId="0" fontId="22" fillId="18" borderId="34" xfId="5" applyFont="1" applyFill="1" applyBorder="1" applyAlignment="1">
      <alignment horizontal="center" vertical="center"/>
    </xf>
    <xf numFmtId="0" fontId="22" fillId="18" borderId="35" xfId="5" applyFont="1" applyFill="1" applyBorder="1" applyAlignment="1">
      <alignment horizontal="center" vertical="center"/>
    </xf>
    <xf numFmtId="0" fontId="22" fillId="18" borderId="36" xfId="5" applyFont="1" applyFill="1" applyBorder="1" applyAlignment="1">
      <alignment horizontal="center" vertical="center"/>
    </xf>
    <xf numFmtId="0" fontId="22" fillId="15" borderId="39" xfId="5" applyFont="1" applyFill="1" applyBorder="1" applyAlignment="1">
      <alignment horizontal="center" vertical="center"/>
    </xf>
    <xf numFmtId="0" fontId="22" fillId="15" borderId="40" xfId="5" applyFont="1" applyFill="1" applyBorder="1" applyAlignment="1">
      <alignment horizontal="center" vertical="center"/>
    </xf>
    <xf numFmtId="0" fontId="22" fillId="15" borderId="41" xfId="5" applyFont="1" applyFill="1" applyBorder="1" applyAlignment="1">
      <alignment horizontal="center" vertical="center"/>
    </xf>
    <xf numFmtId="0" fontId="22" fillId="15" borderId="42" xfId="5" applyFont="1" applyFill="1" applyBorder="1" applyAlignment="1">
      <alignment horizontal="center" vertical="center"/>
    </xf>
    <xf numFmtId="0" fontId="22" fillId="15" borderId="43" xfId="5" applyFont="1" applyFill="1" applyBorder="1" applyAlignment="1">
      <alignment horizontal="center" vertical="center"/>
    </xf>
    <xf numFmtId="0" fontId="1" fillId="5" borderId="7" xfId="4" applyBorder="1" applyAlignment="1">
      <alignment horizontal="center"/>
    </xf>
    <xf numFmtId="0" fontId="1" fillId="5" borderId="7" xfId="4" applyBorder="1" applyAlignment="1" applyProtection="1">
      <alignment horizontal="center"/>
      <protection locked="0"/>
    </xf>
    <xf numFmtId="2" fontId="1" fillId="5" borderId="7" xfId="4" applyNumberFormat="1" applyBorder="1" applyAlignment="1" applyProtection="1">
      <alignment horizontal="center"/>
      <protection locked="0"/>
    </xf>
    <xf numFmtId="2" fontId="1" fillId="5" borderId="7" xfId="4" applyNumberFormat="1" applyBorder="1" applyAlignment="1">
      <alignment horizontal="center"/>
    </xf>
    <xf numFmtId="0" fontId="5" fillId="0" borderId="0" xfId="5" applyAlignment="1">
      <alignment horizontal="center"/>
    </xf>
    <xf numFmtId="165" fontId="27" fillId="0" borderId="45" xfId="5" applyNumberFormat="1" applyFont="1" applyBorder="1" applyAlignment="1">
      <alignment horizontal="center" vertical="center"/>
    </xf>
    <xf numFmtId="166" fontId="26" fillId="0" borderId="47" xfId="5" applyNumberFormat="1" applyFont="1" applyBorder="1" applyAlignment="1">
      <alignment horizontal="center" vertical="center"/>
    </xf>
    <xf numFmtId="164" fontId="26" fillId="0" borderId="46" xfId="5" applyNumberFormat="1" applyFont="1" applyBorder="1" applyAlignment="1">
      <alignment horizontal="center" vertical="center"/>
    </xf>
    <xf numFmtId="0" fontId="25" fillId="0" borderId="22" xfId="5" applyFont="1" applyBorder="1" applyAlignment="1">
      <alignment horizontal="center" vertical="center"/>
    </xf>
    <xf numFmtId="165" fontId="27" fillId="0" borderId="18" xfId="5" applyNumberFormat="1" applyFont="1" applyBorder="1" applyAlignment="1">
      <alignment horizontal="center" vertical="center"/>
    </xf>
    <xf numFmtId="166" fontId="26" fillId="0" borderId="18" xfId="5" applyNumberFormat="1" applyFont="1" applyBorder="1" applyAlignment="1">
      <alignment horizontal="center" vertical="center"/>
    </xf>
    <xf numFmtId="1" fontId="5" fillId="0" borderId="0" xfId="5" applyNumberFormat="1" applyAlignment="1">
      <alignment horizontal="center"/>
    </xf>
    <xf numFmtId="0" fontId="26" fillId="0" borderId="48" xfId="5" applyFont="1" applyBorder="1" applyAlignment="1">
      <alignment horizontal="center" vertical="center"/>
    </xf>
    <xf numFmtId="165" fontId="27" fillId="0" borderId="50" xfId="5" applyNumberFormat="1" applyFont="1" applyBorder="1" applyAlignment="1">
      <alignment horizontal="center" vertical="center"/>
    </xf>
    <xf numFmtId="1" fontId="26" fillId="0" borderId="49" xfId="5" applyNumberFormat="1" applyFont="1" applyBorder="1" applyAlignment="1">
      <alignment horizontal="center" vertical="center"/>
    </xf>
    <xf numFmtId="166" fontId="26" fillId="0" borderId="51" xfId="5" applyNumberFormat="1" applyFont="1" applyBorder="1" applyAlignment="1">
      <alignment horizontal="center" vertical="center"/>
    </xf>
    <xf numFmtId="1" fontId="6" fillId="0" borderId="0" xfId="5" applyNumberFormat="1" applyFont="1" applyAlignment="1">
      <alignment horizontal="center" vertical="center"/>
    </xf>
    <xf numFmtId="2" fontId="5" fillId="0" borderId="0" xfId="5" applyNumberFormat="1" applyAlignment="1">
      <alignment horizontal="center"/>
    </xf>
    <xf numFmtId="166" fontId="5" fillId="0" borderId="0" xfId="5" applyNumberFormat="1" applyAlignment="1">
      <alignment horizontal="center"/>
    </xf>
    <xf numFmtId="11" fontId="5" fillId="0" borderId="0" xfId="5" applyNumberFormat="1" applyAlignment="1">
      <alignment horizontal="center"/>
    </xf>
    <xf numFmtId="167" fontId="5" fillId="0" borderId="0" xfId="5" applyNumberFormat="1" applyAlignment="1">
      <alignment horizontal="center"/>
    </xf>
    <xf numFmtId="11" fontId="5" fillId="0" borderId="0" xfId="5" applyNumberFormat="1" applyAlignment="1">
      <alignment horizontal="center" vertical="center"/>
    </xf>
    <xf numFmtId="2" fontId="5" fillId="0" borderId="0" xfId="5" applyNumberFormat="1" applyAlignment="1">
      <alignment horizontal="center" vertical="center"/>
    </xf>
    <xf numFmtId="168" fontId="5" fillId="0" borderId="0" xfId="5" applyNumberFormat="1" applyAlignment="1">
      <alignment horizontal="center" vertical="center"/>
    </xf>
    <xf numFmtId="164" fontId="5" fillId="0" borderId="0" xfId="5" applyNumberFormat="1" applyAlignment="1">
      <alignment horizontal="center" vertical="center"/>
    </xf>
    <xf numFmtId="10" fontId="4" fillId="0" borderId="0" xfId="6" applyNumberFormat="1" applyFont="1" applyFill="1" applyBorder="1" applyAlignment="1">
      <alignment horizontal="center" vertical="center"/>
    </xf>
    <xf numFmtId="169" fontId="4" fillId="0" borderId="0" xfId="6" applyNumberFormat="1" applyFont="1" applyFill="1" applyBorder="1" applyAlignment="1">
      <alignment horizontal="center" vertical="center"/>
    </xf>
    <xf numFmtId="164" fontId="25" fillId="0" borderId="52" xfId="5" applyNumberFormat="1" applyFont="1" applyBorder="1" applyAlignment="1">
      <alignment horizontal="center" vertical="center"/>
    </xf>
    <xf numFmtId="0" fontId="26" fillId="0" borderId="53" xfId="5" applyFont="1" applyBorder="1" applyAlignment="1">
      <alignment horizontal="center" vertical="center"/>
    </xf>
    <xf numFmtId="0" fontId="26" fillId="0" borderId="52" xfId="5" applyFont="1" applyBorder="1" applyAlignment="1">
      <alignment horizontal="center" vertical="center"/>
    </xf>
    <xf numFmtId="11" fontId="26" fillId="0" borderId="52" xfId="5" applyNumberFormat="1" applyFont="1" applyBorder="1" applyAlignment="1">
      <alignment horizontal="center" vertical="center"/>
    </xf>
    <xf numFmtId="1" fontId="26" fillId="0" borderId="52" xfId="5" applyNumberFormat="1" applyFont="1" applyBorder="1" applyAlignment="1">
      <alignment horizontal="center" vertical="center"/>
    </xf>
    <xf numFmtId="11" fontId="22" fillId="10" borderId="53" xfId="5" applyNumberFormat="1" applyFont="1" applyFill="1" applyBorder="1" applyAlignment="1">
      <alignment horizontal="center" vertical="center"/>
    </xf>
    <xf numFmtId="0" fontId="26" fillId="0" borderId="54" xfId="5" applyFont="1" applyBorder="1" applyAlignment="1">
      <alignment horizontal="center" vertical="center"/>
    </xf>
    <xf numFmtId="0" fontId="26" fillId="0" borderId="55" xfId="5" applyFont="1" applyBorder="1" applyAlignment="1">
      <alignment horizontal="center" vertical="center"/>
    </xf>
    <xf numFmtId="11" fontId="26" fillId="0" borderId="55" xfId="5" applyNumberFormat="1" applyFont="1" applyBorder="1" applyAlignment="1">
      <alignment horizontal="center" vertical="center"/>
    </xf>
    <xf numFmtId="164" fontId="26" fillId="0" borderId="56" xfId="5" applyNumberFormat="1" applyFont="1" applyBorder="1" applyAlignment="1">
      <alignment horizontal="center" vertical="center"/>
    </xf>
    <xf numFmtId="1" fontId="26" fillId="0" borderId="57" xfId="5" applyNumberFormat="1" applyFont="1" applyBorder="1" applyAlignment="1">
      <alignment horizontal="center" vertical="center"/>
    </xf>
    <xf numFmtId="11" fontId="26" fillId="0" borderId="58" xfId="5" applyNumberFormat="1" applyFont="1" applyBorder="1" applyAlignment="1">
      <alignment horizontal="center" vertical="center"/>
    </xf>
    <xf numFmtId="11" fontId="22" fillId="19" borderId="54" xfId="5" applyNumberFormat="1" applyFont="1" applyFill="1" applyBorder="1" applyAlignment="1">
      <alignment horizontal="center" vertical="center"/>
    </xf>
    <xf numFmtId="168" fontId="26" fillId="0" borderId="48" xfId="5" applyNumberFormat="1" applyFont="1" applyBorder="1" applyAlignment="1">
      <alignment horizontal="center" vertical="center"/>
    </xf>
    <xf numFmtId="1" fontId="26" fillId="0" borderId="48" xfId="5" applyNumberFormat="1" applyFont="1" applyBorder="1" applyAlignment="1">
      <alignment horizontal="center" vertical="center"/>
    </xf>
    <xf numFmtId="0" fontId="26" fillId="0" borderId="59" xfId="5" applyFont="1" applyBorder="1" applyAlignment="1">
      <alignment horizontal="center" vertical="center"/>
    </xf>
    <xf numFmtId="0" fontId="26" fillId="0" borderId="60" xfId="5" applyFont="1" applyBorder="1" applyAlignment="1">
      <alignment horizontal="center" vertical="center"/>
    </xf>
    <xf numFmtId="165" fontId="27" fillId="0" borderId="48" xfId="5" applyNumberFormat="1" applyFont="1" applyBorder="1" applyAlignment="1">
      <alignment horizontal="center" vertical="center"/>
    </xf>
    <xf numFmtId="1" fontId="26" fillId="0" borderId="61" xfId="5" applyNumberFormat="1" applyFont="1" applyBorder="1" applyAlignment="1">
      <alignment horizontal="center" vertical="center"/>
    </xf>
    <xf numFmtId="166" fontId="26" fillId="0" borderId="59" xfId="5" applyNumberFormat="1" applyFont="1" applyBorder="1" applyAlignment="1">
      <alignment horizontal="center" vertical="center"/>
    </xf>
    <xf numFmtId="165" fontId="27" fillId="0" borderId="60" xfId="5" applyNumberFormat="1" applyFont="1" applyBorder="1" applyAlignment="1">
      <alignment horizontal="center" vertical="center"/>
    </xf>
    <xf numFmtId="165" fontId="27" fillId="0" borderId="62" xfId="5" applyNumberFormat="1" applyFont="1" applyBorder="1" applyAlignment="1">
      <alignment horizontal="center" vertical="center"/>
    </xf>
    <xf numFmtId="11" fontId="26" fillId="0" borderId="62" xfId="5" applyNumberFormat="1" applyFont="1" applyBorder="1" applyAlignment="1">
      <alignment horizontal="center" vertical="center"/>
    </xf>
    <xf numFmtId="2" fontId="26" fillId="0" borderId="62" xfId="5" applyNumberFormat="1" applyFont="1" applyBorder="1" applyAlignment="1">
      <alignment horizontal="center" vertical="center"/>
    </xf>
    <xf numFmtId="11" fontId="22" fillId="15" borderId="63" xfId="5" applyNumberFormat="1" applyFont="1" applyFill="1" applyBorder="1" applyAlignment="1">
      <alignment horizontal="center" vertical="center"/>
    </xf>
    <xf numFmtId="0" fontId="26" fillId="0" borderId="61" xfId="5" applyFont="1" applyBorder="1" applyAlignment="1">
      <alignment horizontal="center" vertical="center"/>
    </xf>
    <xf numFmtId="166" fontId="26" fillId="0" borderId="61" xfId="5" applyNumberFormat="1" applyFont="1" applyBorder="1" applyAlignment="1">
      <alignment horizontal="center" vertical="center"/>
    </xf>
    <xf numFmtId="165" fontId="27" fillId="0" borderId="64" xfId="5" applyNumberFormat="1" applyFont="1" applyBorder="1" applyAlignment="1">
      <alignment horizontal="center" vertical="center"/>
    </xf>
    <xf numFmtId="11" fontId="26" fillId="0" borderId="64" xfId="5" applyNumberFormat="1" applyFont="1" applyBorder="1" applyAlignment="1">
      <alignment horizontal="center" vertical="center"/>
    </xf>
    <xf numFmtId="2" fontId="26" fillId="0" borderId="64" xfId="5" applyNumberFormat="1" applyFont="1" applyBorder="1" applyAlignment="1">
      <alignment horizontal="center" vertical="center"/>
    </xf>
    <xf numFmtId="11" fontId="22" fillId="15" borderId="65" xfId="5" applyNumberFormat="1" applyFont="1" applyFill="1" applyBorder="1" applyAlignment="1">
      <alignment horizontal="center" vertical="center"/>
    </xf>
    <xf numFmtId="0" fontId="6" fillId="0" borderId="0" xfId="5" applyFont="1" applyAlignment="1">
      <alignment horizontal="center"/>
    </xf>
    <xf numFmtId="10" fontId="0" fillId="0" borderId="0" xfId="6" applyNumberFormat="1" applyFont="1"/>
    <xf numFmtId="166" fontId="26" fillId="0" borderId="0" xfId="5" applyNumberFormat="1" applyFont="1" applyAlignment="1">
      <alignment horizontal="center" vertical="center"/>
    </xf>
    <xf numFmtId="9" fontId="0" fillId="0" borderId="0" xfId="6" applyFont="1"/>
    <xf numFmtId="1" fontId="5" fillId="0" borderId="0" xfId="5" applyNumberFormat="1"/>
    <xf numFmtId="0" fontId="26" fillId="0" borderId="0" xfId="5" applyFont="1" applyAlignment="1">
      <alignment horizontal="center" vertical="center"/>
    </xf>
    <xf numFmtId="166" fontId="5" fillId="0" borderId="0" xfId="5" applyNumberFormat="1"/>
    <xf numFmtId="2" fontId="10" fillId="0" borderId="0" xfId="5" applyNumberFormat="1" applyFont="1"/>
    <xf numFmtId="164" fontId="5" fillId="0" borderId="0" xfId="5" applyNumberFormat="1"/>
    <xf numFmtId="170" fontId="26" fillId="0" borderId="0" xfId="5" applyNumberFormat="1" applyFont="1" applyAlignment="1">
      <alignment horizontal="center" vertical="center"/>
    </xf>
    <xf numFmtId="0" fontId="22" fillId="23" borderId="4" xfId="5" applyFont="1" applyFill="1" applyBorder="1" applyAlignment="1">
      <alignment horizontal="center" vertical="center"/>
    </xf>
    <xf numFmtId="0" fontId="22" fillId="23" borderId="70" xfId="5" applyFont="1" applyFill="1" applyBorder="1" applyAlignment="1">
      <alignment horizontal="center" vertical="center"/>
    </xf>
    <xf numFmtId="0" fontId="22" fillId="13" borderId="71" xfId="5" applyFont="1" applyFill="1" applyBorder="1" applyAlignment="1">
      <alignment horizontal="center" vertical="center"/>
    </xf>
    <xf numFmtId="1" fontId="6" fillId="8" borderId="3" xfId="5" applyNumberFormat="1" applyFont="1" applyFill="1" applyBorder="1" applyAlignment="1">
      <alignment horizontal="center" vertical="center"/>
    </xf>
    <xf numFmtId="166" fontId="5" fillId="8" borderId="3" xfId="5" applyNumberFormat="1" applyFill="1" applyBorder="1" applyAlignment="1">
      <alignment horizontal="center"/>
    </xf>
    <xf numFmtId="11" fontId="5" fillId="8" borderId="3" xfId="5" applyNumberFormat="1" applyFill="1" applyBorder="1" applyAlignment="1">
      <alignment horizontal="center"/>
    </xf>
    <xf numFmtId="167" fontId="5" fillId="8" borderId="3" xfId="5" applyNumberFormat="1" applyFill="1" applyBorder="1" applyAlignment="1">
      <alignment horizontal="center"/>
    </xf>
    <xf numFmtId="11" fontId="5" fillId="0" borderId="72" xfId="5" applyNumberFormat="1" applyBorder="1" applyAlignment="1">
      <alignment horizontal="center" vertical="center"/>
    </xf>
    <xf numFmtId="2" fontId="5" fillId="0" borderId="73" xfId="5" applyNumberFormat="1" applyBorder="1" applyAlignment="1">
      <alignment horizontal="center" vertical="center"/>
    </xf>
    <xf numFmtId="168" fontId="5" fillId="0" borderId="73" xfId="5" applyNumberFormat="1" applyBorder="1" applyAlignment="1">
      <alignment horizontal="center" vertical="center"/>
    </xf>
    <xf numFmtId="0" fontId="5" fillId="0" borderId="72" xfId="5" applyBorder="1" applyAlignment="1">
      <alignment horizontal="center" vertical="center"/>
    </xf>
    <xf numFmtId="168" fontId="5" fillId="8" borderId="3" xfId="5" applyNumberFormat="1" applyFill="1" applyBorder="1" applyAlignment="1">
      <alignment horizontal="center"/>
    </xf>
    <xf numFmtId="11" fontId="5" fillId="0" borderId="74" xfId="5" applyNumberFormat="1" applyBorder="1" applyAlignment="1">
      <alignment horizontal="center" vertical="center"/>
    </xf>
    <xf numFmtId="164" fontId="5" fillId="0" borderId="75" xfId="5" applyNumberFormat="1" applyBorder="1" applyAlignment="1">
      <alignment horizontal="center" vertical="center"/>
    </xf>
    <xf numFmtId="168" fontId="5" fillId="0" borderId="76" xfId="5" applyNumberFormat="1" applyBorder="1" applyAlignment="1">
      <alignment horizontal="center" vertical="center"/>
    </xf>
    <xf numFmtId="10" fontId="4" fillId="13" borderId="74" xfId="6" applyNumberFormat="1" applyFont="1" applyFill="1" applyBorder="1" applyAlignment="1">
      <alignment horizontal="center" vertical="center"/>
    </xf>
    <xf numFmtId="169" fontId="4" fillId="13" borderId="74" xfId="6" applyNumberFormat="1" applyFont="1" applyFill="1" applyBorder="1" applyAlignment="1">
      <alignment horizontal="center" vertical="center"/>
    </xf>
    <xf numFmtId="2" fontId="5" fillId="8" borderId="0" xfId="5" applyNumberFormat="1" applyFill="1" applyAlignment="1">
      <alignment horizontal="center"/>
    </xf>
    <xf numFmtId="168" fontId="5" fillId="0" borderId="0" xfId="5" applyNumberFormat="1"/>
    <xf numFmtId="0" fontId="5" fillId="24" borderId="77" xfId="5" applyFill="1" applyBorder="1"/>
    <xf numFmtId="0" fontId="5" fillId="24" borderId="78" xfId="5" applyFill="1" applyBorder="1"/>
    <xf numFmtId="0" fontId="5" fillId="24" borderId="79" xfId="5" applyFill="1" applyBorder="1"/>
    <xf numFmtId="0" fontId="5" fillId="24" borderId="80" xfId="5" applyFill="1" applyBorder="1"/>
    <xf numFmtId="0" fontId="5" fillId="24" borderId="0" xfId="5" applyFill="1"/>
    <xf numFmtId="0" fontId="5" fillId="24" borderId="81" xfId="5" applyFill="1" applyBorder="1"/>
    <xf numFmtId="0" fontId="5" fillId="7" borderId="0" xfId="5" applyFill="1"/>
    <xf numFmtId="0" fontId="10" fillId="7" borderId="0" xfId="5" applyFont="1" applyFill="1" applyAlignment="1">
      <alignment horizontal="right"/>
    </xf>
    <xf numFmtId="2" fontId="30" fillId="7" borderId="0" xfId="5" applyNumberFormat="1" applyFont="1" applyFill="1" applyAlignment="1">
      <alignment horizontal="center"/>
    </xf>
    <xf numFmtId="0" fontId="14" fillId="10" borderId="89" xfId="5" applyFont="1" applyFill="1" applyBorder="1" applyAlignment="1">
      <alignment horizontal="center" vertical="center" wrapText="1"/>
    </xf>
    <xf numFmtId="166" fontId="14" fillId="10" borderId="89" xfId="5" applyNumberFormat="1" applyFont="1" applyFill="1" applyBorder="1" applyAlignment="1">
      <alignment horizontal="center" vertical="center" wrapText="1"/>
    </xf>
    <xf numFmtId="0" fontId="6" fillId="7" borderId="90" xfId="5" applyFont="1" applyFill="1" applyBorder="1" applyAlignment="1">
      <alignment horizontal="center" vertical="center"/>
    </xf>
    <xf numFmtId="0" fontId="6" fillId="7" borderId="91" xfId="5" applyFont="1" applyFill="1" applyBorder="1" applyAlignment="1">
      <alignment horizontal="center" vertical="center"/>
    </xf>
    <xf numFmtId="2" fontId="32" fillId="10" borderId="7" xfId="5" applyNumberFormat="1" applyFont="1" applyFill="1" applyBorder="1" applyAlignment="1" applyProtection="1">
      <alignment horizontal="center" vertical="center"/>
      <protection locked="0"/>
    </xf>
    <xf numFmtId="164" fontId="32" fillId="10" borderId="7" xfId="5" applyNumberFormat="1" applyFont="1" applyFill="1" applyBorder="1" applyAlignment="1" applyProtection="1">
      <alignment horizontal="center" vertical="center"/>
      <protection locked="0"/>
    </xf>
    <xf numFmtId="170" fontId="33" fillId="7" borderId="89" xfId="5" applyNumberFormat="1" applyFont="1" applyFill="1" applyBorder="1" applyAlignment="1">
      <alignment horizontal="center" vertical="center"/>
    </xf>
    <xf numFmtId="168" fontId="33" fillId="7" borderId="89" xfId="5" applyNumberFormat="1" applyFont="1" applyFill="1" applyBorder="1" applyAlignment="1">
      <alignment horizontal="center" vertical="center"/>
    </xf>
    <xf numFmtId="168" fontId="33" fillId="7" borderId="89" xfId="5" applyNumberFormat="1" applyFont="1" applyFill="1" applyBorder="1" applyAlignment="1">
      <alignment vertical="center"/>
    </xf>
    <xf numFmtId="0" fontId="6" fillId="7" borderId="0" xfId="5" applyFont="1" applyFill="1"/>
    <xf numFmtId="2" fontId="32" fillId="7" borderId="7" xfId="5" applyNumberFormat="1" applyFont="1" applyFill="1" applyBorder="1" applyAlignment="1">
      <alignment horizontal="center" vertical="center"/>
    </xf>
    <xf numFmtId="2" fontId="32" fillId="7" borderId="7" xfId="5" applyNumberFormat="1" applyFont="1" applyFill="1" applyBorder="1" applyAlignment="1">
      <alignment horizontal="center"/>
    </xf>
    <xf numFmtId="169" fontId="0" fillId="0" borderId="0" xfId="6" applyNumberFormat="1" applyFont="1"/>
    <xf numFmtId="0" fontId="32" fillId="7" borderId="7" xfId="5" applyFont="1" applyFill="1" applyBorder="1" applyAlignment="1">
      <alignment horizontal="center" vertical="center"/>
    </xf>
    <xf numFmtId="166" fontId="30" fillId="7" borderId="91" xfId="5" applyNumberFormat="1" applyFont="1" applyFill="1" applyBorder="1" applyAlignment="1">
      <alignment horizontal="center" vertical="center"/>
    </xf>
    <xf numFmtId="166" fontId="6" fillId="7" borderId="7" xfId="5" applyNumberFormat="1" applyFont="1" applyFill="1" applyBorder="1" applyAlignment="1">
      <alignment horizontal="center" vertical="center"/>
    </xf>
    <xf numFmtId="165" fontId="6" fillId="7" borderId="7" xfId="5" applyNumberFormat="1" applyFont="1" applyFill="1" applyBorder="1" applyAlignment="1">
      <alignment horizontal="center" vertical="center"/>
    </xf>
    <xf numFmtId="168" fontId="6" fillId="7" borderId="7" xfId="5" applyNumberFormat="1" applyFont="1" applyFill="1" applyBorder="1" applyAlignment="1">
      <alignment horizontal="center" vertical="center"/>
    </xf>
    <xf numFmtId="166" fontId="36" fillId="7" borderId="0" xfId="5" applyNumberFormat="1" applyFont="1" applyFill="1" applyAlignment="1">
      <alignment horizontal="center"/>
    </xf>
    <xf numFmtId="0" fontId="6" fillId="10" borderId="0" xfId="5" applyFont="1" applyFill="1"/>
    <xf numFmtId="0" fontId="14" fillId="0" borderId="0" xfId="5" applyFont="1"/>
    <xf numFmtId="168" fontId="6" fillId="7" borderId="0" xfId="5" applyNumberFormat="1" applyFont="1" applyFill="1" applyAlignment="1">
      <alignment horizontal="center"/>
    </xf>
    <xf numFmtId="0" fontId="34" fillId="7" borderId="0" xfId="5" applyFont="1" applyFill="1" applyAlignment="1">
      <alignment horizontal="center" vertical="center"/>
    </xf>
    <xf numFmtId="0" fontId="32" fillId="7" borderId="0" xfId="5" applyFont="1" applyFill="1" applyAlignment="1">
      <alignment horizontal="center" vertical="center"/>
    </xf>
    <xf numFmtId="0" fontId="10" fillId="23" borderId="0" xfId="5" applyFont="1" applyFill="1" applyAlignment="1">
      <alignment horizontal="center" vertical="center"/>
    </xf>
    <xf numFmtId="9" fontId="10" fillId="23" borderId="0" xfId="5" applyNumberFormat="1" applyFont="1" applyFill="1" applyAlignment="1">
      <alignment horizontal="center" vertical="center"/>
    </xf>
    <xf numFmtId="0" fontId="14" fillId="7" borderId="89" xfId="5" applyFont="1" applyFill="1" applyBorder="1" applyAlignment="1">
      <alignment horizontal="center" vertical="center" wrapText="1"/>
    </xf>
    <xf numFmtId="166" fontId="14" fillId="7" borderId="89" xfId="5" applyNumberFormat="1" applyFont="1" applyFill="1" applyBorder="1" applyAlignment="1">
      <alignment horizontal="center" vertical="center" wrapText="1"/>
    </xf>
    <xf numFmtId="0" fontId="14" fillId="7" borderId="89" xfId="5" applyFont="1" applyFill="1" applyBorder="1" applyAlignment="1">
      <alignment horizontal="center" vertical="center"/>
    </xf>
    <xf numFmtId="0" fontId="38" fillId="7" borderId="1" xfId="1" applyFont="1" applyFill="1" applyAlignment="1">
      <alignment vertical="center"/>
    </xf>
    <xf numFmtId="0" fontId="10" fillId="7" borderId="0" xfId="5" applyFont="1" applyFill="1" applyAlignment="1">
      <alignment horizontal="center" vertical="center"/>
    </xf>
    <xf numFmtId="2" fontId="5" fillId="0" borderId="0" xfId="5" applyNumberFormat="1" applyAlignment="1">
      <alignment vertical="center"/>
    </xf>
    <xf numFmtId="0" fontId="38" fillId="7" borderId="1" xfId="1" applyFont="1" applyFill="1" applyAlignment="1">
      <alignment horizontal="center" vertical="center"/>
    </xf>
    <xf numFmtId="166" fontId="3" fillId="7" borderId="2" xfId="2" applyNumberFormat="1" applyFill="1" applyAlignment="1">
      <alignment horizontal="center"/>
    </xf>
    <xf numFmtId="164" fontId="5" fillId="7" borderId="0" xfId="5" applyNumberFormat="1" applyFill="1" applyAlignment="1">
      <alignment horizontal="center" vertical="center"/>
    </xf>
    <xf numFmtId="166" fontId="3" fillId="7" borderId="2" xfId="2" applyNumberFormat="1" applyFill="1" applyAlignment="1" applyProtection="1">
      <alignment horizontal="center"/>
      <protection locked="0"/>
    </xf>
    <xf numFmtId="0" fontId="10" fillId="7" borderId="3" xfId="5" applyFont="1" applyFill="1" applyBorder="1"/>
    <xf numFmtId="166" fontId="15" fillId="7" borderId="3" xfId="5" applyNumberFormat="1" applyFont="1" applyFill="1" applyBorder="1" applyAlignment="1" applyProtection="1">
      <alignment horizontal="center"/>
      <protection locked="0"/>
    </xf>
    <xf numFmtId="0" fontId="32" fillId="7" borderId="3" xfId="5" applyFont="1" applyFill="1" applyBorder="1"/>
    <xf numFmtId="166" fontId="11" fillId="7" borderId="3" xfId="5" applyNumberFormat="1" applyFont="1" applyFill="1" applyBorder="1" applyAlignment="1" applyProtection="1">
      <alignment horizontal="center"/>
      <protection locked="0"/>
    </xf>
    <xf numFmtId="0" fontId="5" fillId="7" borderId="0" xfId="5" applyFill="1" applyAlignment="1">
      <alignment horizontal="center"/>
    </xf>
    <xf numFmtId="2" fontId="5" fillId="7" borderId="0" xfId="5" applyNumberFormat="1" applyFill="1" applyAlignment="1">
      <alignment horizontal="center"/>
    </xf>
    <xf numFmtId="0" fontId="37" fillId="7" borderId="0" xfId="5" applyFont="1" applyFill="1" applyAlignment="1">
      <alignment horizontal="center"/>
    </xf>
    <xf numFmtId="0" fontId="14" fillId="7" borderId="0" xfId="5" applyFont="1" applyFill="1" applyAlignment="1">
      <alignment horizontal="center"/>
    </xf>
    <xf numFmtId="2" fontId="13" fillId="7" borderId="0" xfId="5" applyNumberFormat="1" applyFont="1" applyFill="1" applyAlignment="1">
      <alignment horizontal="center"/>
    </xf>
    <xf numFmtId="0" fontId="6" fillId="7" borderId="0" xfId="5" applyFont="1" applyFill="1" applyAlignment="1">
      <alignment horizontal="center"/>
    </xf>
    <xf numFmtId="0" fontId="26" fillId="7" borderId="0" xfId="5" applyFont="1" applyFill="1" applyAlignment="1">
      <alignment horizontal="center" vertical="center"/>
    </xf>
    <xf numFmtId="164" fontId="5" fillId="7" borderId="0" xfId="5" applyNumberFormat="1" applyFill="1" applyAlignment="1">
      <alignment horizontal="center"/>
    </xf>
    <xf numFmtId="0" fontId="6" fillId="10" borderId="0" xfId="5" applyFont="1" applyFill="1" applyAlignment="1">
      <alignment horizontal="center" vertical="center"/>
    </xf>
    <xf numFmtId="169" fontId="6" fillId="10" borderId="0" xfId="6" applyNumberFormat="1" applyFont="1" applyFill="1" applyAlignment="1">
      <alignment horizontal="center"/>
    </xf>
    <xf numFmtId="0" fontId="26" fillId="0" borderId="0" xfId="5" applyFont="1" applyAlignment="1">
      <alignment horizontal="center"/>
    </xf>
    <xf numFmtId="0" fontId="5" fillId="25" borderId="0" xfId="5" applyFill="1"/>
    <xf numFmtId="0" fontId="8" fillId="11" borderId="0" xfId="5" applyFont="1" applyFill="1" applyAlignment="1">
      <alignment horizontal="center"/>
    </xf>
    <xf numFmtId="0" fontId="9" fillId="11" borderId="0" xfId="5" applyFont="1" applyFill="1" applyAlignment="1">
      <alignment horizontal="center"/>
    </xf>
    <xf numFmtId="0" fontId="10" fillId="8" borderId="0" xfId="5" applyFont="1" applyFill="1" applyAlignment="1">
      <alignment horizontal="center"/>
    </xf>
    <xf numFmtId="0" fontId="9" fillId="8" borderId="0" xfId="5" applyFont="1" applyFill="1" applyAlignment="1">
      <alignment horizontal="left"/>
    </xf>
    <xf numFmtId="0" fontId="14" fillId="8" borderId="0" xfId="5" applyFont="1" applyFill="1" applyAlignment="1">
      <alignment horizontal="center"/>
    </xf>
    <xf numFmtId="0" fontId="22" fillId="15" borderId="29" xfId="5" applyFont="1" applyFill="1" applyBorder="1" applyAlignment="1">
      <alignment horizontal="center" vertical="center"/>
    </xf>
    <xf numFmtId="0" fontId="22" fillId="15" borderId="44" xfId="5" applyFont="1" applyFill="1" applyBorder="1" applyAlignment="1">
      <alignment horizontal="center" vertical="center"/>
    </xf>
    <xf numFmtId="0" fontId="22" fillId="15" borderId="25" xfId="5" applyFont="1" applyFill="1" applyBorder="1" applyAlignment="1">
      <alignment horizontal="center" vertical="center"/>
    </xf>
    <xf numFmtId="0" fontId="22" fillId="15" borderId="26" xfId="5" applyFont="1" applyFill="1" applyBorder="1" applyAlignment="1">
      <alignment horizontal="center" vertical="center"/>
    </xf>
    <xf numFmtId="0" fontId="22" fillId="15" borderId="27" xfId="5" applyFont="1" applyFill="1" applyBorder="1" applyAlignment="1">
      <alignment horizontal="center" vertical="center"/>
    </xf>
    <xf numFmtId="0" fontId="22" fillId="15" borderId="28" xfId="5" applyFont="1" applyFill="1" applyBorder="1" applyAlignment="1">
      <alignment horizontal="center" vertical="center"/>
    </xf>
    <xf numFmtId="0" fontId="22" fillId="15" borderId="24" xfId="5" applyFont="1" applyFill="1" applyBorder="1" applyAlignment="1">
      <alignment horizontal="center" vertical="center"/>
    </xf>
    <xf numFmtId="0" fontId="22" fillId="18" borderId="18" xfId="5" applyFont="1" applyFill="1" applyBorder="1" applyAlignment="1">
      <alignment horizontal="center" vertical="center"/>
    </xf>
    <xf numFmtId="0" fontId="22" fillId="18" borderId="34" xfId="5" applyFont="1" applyFill="1" applyBorder="1" applyAlignment="1">
      <alignment horizontal="center" vertical="center"/>
    </xf>
    <xf numFmtId="0" fontId="22" fillId="18" borderId="19" xfId="5" applyFont="1" applyFill="1" applyBorder="1" applyAlignment="1">
      <alignment horizontal="center" vertical="center"/>
    </xf>
    <xf numFmtId="0" fontId="22" fillId="18" borderId="20" xfId="5" applyFont="1" applyFill="1" applyBorder="1" applyAlignment="1">
      <alignment horizontal="center" vertical="center"/>
    </xf>
    <xf numFmtId="0" fontId="22" fillId="18" borderId="21" xfId="5" applyFont="1" applyFill="1" applyBorder="1" applyAlignment="1">
      <alignment horizontal="center" vertical="center"/>
    </xf>
    <xf numFmtId="0" fontId="22" fillId="18" borderId="37" xfId="5" applyFont="1" applyFill="1" applyBorder="1" applyAlignment="1">
      <alignment horizontal="center" vertical="center"/>
    </xf>
    <xf numFmtId="0" fontId="22" fillId="18" borderId="22" xfId="5" applyFont="1" applyFill="1" applyBorder="1" applyAlignment="1">
      <alignment horizontal="center" vertical="center"/>
    </xf>
    <xf numFmtId="0" fontId="22" fillId="18" borderId="38" xfId="5" applyFont="1" applyFill="1" applyBorder="1" applyAlignment="1">
      <alignment horizontal="center" vertical="center"/>
    </xf>
    <xf numFmtId="0" fontId="22" fillId="17" borderId="12" xfId="5" applyFont="1" applyFill="1" applyBorder="1" applyAlignment="1">
      <alignment horizontal="center" vertical="center"/>
    </xf>
    <xf numFmtId="0" fontId="22" fillId="17" borderId="30" xfId="5" applyFont="1" applyFill="1" applyBorder="1" applyAlignment="1">
      <alignment horizontal="center" vertical="center"/>
    </xf>
    <xf numFmtId="0" fontId="22" fillId="17" borderId="0" xfId="5" applyFont="1" applyFill="1" applyAlignment="1">
      <alignment horizontal="center" vertical="center"/>
    </xf>
    <xf numFmtId="0" fontId="22" fillId="17" borderId="5" xfId="5" applyFont="1" applyFill="1" applyBorder="1" applyAlignment="1">
      <alignment horizontal="center" vertical="center"/>
    </xf>
    <xf numFmtId="0" fontId="22" fillId="17" borderId="13" xfId="5" applyFont="1" applyFill="1" applyBorder="1" applyAlignment="1">
      <alignment horizontal="center" vertical="center"/>
    </xf>
    <xf numFmtId="0" fontId="22" fillId="17" borderId="14" xfId="5" applyFont="1" applyFill="1" applyBorder="1" applyAlignment="1">
      <alignment horizontal="center" vertical="center"/>
    </xf>
    <xf numFmtId="0" fontId="22" fillId="17" borderId="11" xfId="5" applyFont="1" applyFill="1" applyBorder="1" applyAlignment="1">
      <alignment horizontal="center" vertical="center"/>
    </xf>
    <xf numFmtId="0" fontId="22" fillId="17" borderId="31" xfId="5" applyFont="1" applyFill="1" applyBorder="1" applyAlignment="1">
      <alignment horizontal="center" vertical="center"/>
    </xf>
    <xf numFmtId="0" fontId="22" fillId="17" borderId="15" xfId="5" applyFont="1" applyFill="1" applyBorder="1" applyAlignment="1">
      <alignment horizontal="center" vertical="center"/>
    </xf>
    <xf numFmtId="0" fontId="24" fillId="18" borderId="16" xfId="5" applyFont="1" applyFill="1" applyBorder="1" applyAlignment="1">
      <alignment horizontal="center" vertical="center"/>
    </xf>
    <xf numFmtId="0" fontId="24" fillId="18" borderId="17" xfId="5" applyFont="1" applyFill="1" applyBorder="1" applyAlignment="1">
      <alignment horizontal="center" vertical="center"/>
    </xf>
    <xf numFmtId="0" fontId="18" fillId="12" borderId="0" xfId="5" applyFont="1" applyFill="1" applyAlignment="1">
      <alignment vertical="center"/>
    </xf>
    <xf numFmtId="0" fontId="5" fillId="12" borderId="0" xfId="5" applyFill="1" applyAlignment="1">
      <alignment vertical="center"/>
    </xf>
    <xf numFmtId="0" fontId="19" fillId="13" borderId="0" xfId="5" applyFont="1" applyFill="1" applyAlignment="1">
      <alignment horizontal="center" vertical="center"/>
    </xf>
    <xf numFmtId="0" fontId="19" fillId="14" borderId="0" xfId="5" applyFont="1" applyFill="1" applyAlignment="1">
      <alignment horizontal="center" vertical="center"/>
    </xf>
    <xf numFmtId="0" fontId="19" fillId="15" borderId="0" xfId="5" applyFont="1" applyFill="1" applyAlignment="1">
      <alignment horizontal="center" vertical="center"/>
    </xf>
    <xf numFmtId="0" fontId="21" fillId="16" borderId="7" xfId="3" applyFont="1" applyFill="1" applyBorder="1" applyAlignment="1">
      <alignment horizontal="center"/>
    </xf>
    <xf numFmtId="0" fontId="22" fillId="17" borderId="8" xfId="5" applyFont="1" applyFill="1" applyBorder="1" applyAlignment="1">
      <alignment horizontal="center" vertical="center"/>
    </xf>
    <xf numFmtId="0" fontId="22" fillId="17" borderId="9" xfId="5" applyFont="1" applyFill="1" applyBorder="1" applyAlignment="1">
      <alignment horizontal="center" vertical="center"/>
    </xf>
    <xf numFmtId="0" fontId="22" fillId="13" borderId="66" xfId="5" applyFont="1" applyFill="1" applyBorder="1" applyAlignment="1">
      <alignment horizontal="center" vertical="center"/>
    </xf>
    <xf numFmtId="0" fontId="22" fillId="13" borderId="71" xfId="5" applyFont="1" applyFill="1" applyBorder="1" applyAlignment="1">
      <alignment horizontal="center" vertical="center"/>
    </xf>
    <xf numFmtId="0" fontId="22" fillId="23" borderId="3" xfId="5" applyFont="1" applyFill="1" applyBorder="1" applyAlignment="1">
      <alignment horizontal="center" vertical="center"/>
    </xf>
    <xf numFmtId="0" fontId="22" fillId="13" borderId="67" xfId="5" applyFont="1" applyFill="1" applyBorder="1" applyAlignment="1">
      <alignment horizontal="center" vertical="center"/>
    </xf>
    <xf numFmtId="0" fontId="22" fillId="13" borderId="68" xfId="5" applyFont="1" applyFill="1" applyBorder="1" applyAlignment="1">
      <alignment horizontal="center" vertical="center"/>
    </xf>
    <xf numFmtId="0" fontId="22" fillId="13" borderId="69" xfId="5" applyFont="1" applyFill="1" applyBorder="1" applyAlignment="1">
      <alignment horizontal="center" vertical="center"/>
    </xf>
    <xf numFmtId="0" fontId="22" fillId="22" borderId="3" xfId="5" applyFont="1" applyFill="1" applyBorder="1" applyAlignment="1">
      <alignment horizontal="center" vertical="center"/>
    </xf>
    <xf numFmtId="0" fontId="22" fillId="23" borderId="4" xfId="5" applyFont="1" applyFill="1" applyBorder="1" applyAlignment="1">
      <alignment horizontal="center" vertical="center"/>
    </xf>
    <xf numFmtId="0" fontId="22" fillId="23" borderId="70" xfId="5" applyFont="1" applyFill="1" applyBorder="1" applyAlignment="1">
      <alignment horizontal="center" vertical="center"/>
    </xf>
    <xf numFmtId="0" fontId="20" fillId="21" borderId="0" xfId="5" applyFont="1" applyFill="1" applyAlignment="1">
      <alignment horizontal="center" vertical="center"/>
    </xf>
    <xf numFmtId="0" fontId="19" fillId="20" borderId="3" xfId="5" applyFont="1" applyFill="1" applyBorder="1" applyAlignment="1">
      <alignment horizontal="center" vertical="center"/>
    </xf>
    <xf numFmtId="0" fontId="6" fillId="10" borderId="0" xfId="5" applyFont="1" applyFill="1" applyAlignment="1">
      <alignment horizontal="center"/>
    </xf>
    <xf numFmtId="166" fontId="36" fillId="7" borderId="92" xfId="5" applyNumberFormat="1" applyFont="1" applyFill="1" applyBorder="1" applyAlignment="1">
      <alignment horizontal="center" vertical="center"/>
    </xf>
    <xf numFmtId="166" fontId="36" fillId="7" borderId="93" xfId="5" applyNumberFormat="1" applyFont="1" applyFill="1" applyBorder="1" applyAlignment="1">
      <alignment horizontal="center" vertical="center"/>
    </xf>
    <xf numFmtId="0" fontId="37" fillId="7" borderId="85" xfId="5" applyFont="1" applyFill="1" applyBorder="1" applyAlignment="1">
      <alignment horizontal="center"/>
    </xf>
    <xf numFmtId="0" fontId="38" fillId="7" borderId="94" xfId="1" applyFont="1" applyFill="1" applyBorder="1" applyAlignment="1">
      <alignment horizontal="center" vertical="center"/>
    </xf>
    <xf numFmtId="0" fontId="38" fillId="7" borderId="95" xfId="1" applyFont="1" applyFill="1" applyBorder="1" applyAlignment="1">
      <alignment horizontal="center" vertical="center"/>
    </xf>
    <xf numFmtId="0" fontId="40" fillId="7" borderId="0" xfId="5" applyFont="1" applyFill="1" applyAlignment="1">
      <alignment horizontal="center"/>
    </xf>
    <xf numFmtId="0" fontId="6" fillId="7" borderId="86" xfId="5" applyFont="1" applyFill="1" applyBorder="1" applyAlignment="1">
      <alignment horizontal="center" vertical="center"/>
    </xf>
    <xf numFmtId="0" fontId="6" fillId="7" borderId="87" xfId="5" applyFont="1" applyFill="1" applyBorder="1" applyAlignment="1">
      <alignment horizontal="center" vertical="center"/>
    </xf>
    <xf numFmtId="0" fontId="5" fillId="7" borderId="86" xfId="5" applyFill="1" applyBorder="1" applyAlignment="1">
      <alignment horizontal="center" vertical="center"/>
    </xf>
    <xf numFmtId="0" fontId="5" fillId="7" borderId="87" xfId="5" applyFill="1" applyBorder="1" applyAlignment="1">
      <alignment horizontal="center" vertical="center"/>
    </xf>
    <xf numFmtId="0" fontId="34" fillId="7" borderId="7" xfId="5" applyFont="1" applyFill="1" applyBorder="1" applyAlignment="1">
      <alignment horizontal="center" vertical="center"/>
    </xf>
    <xf numFmtId="0" fontId="6" fillId="10" borderId="85" xfId="5" applyFont="1" applyFill="1" applyBorder="1" applyAlignment="1">
      <alignment horizontal="center"/>
    </xf>
    <xf numFmtId="0" fontId="14" fillId="12" borderId="0" xfId="5" applyFont="1" applyFill="1" applyAlignment="1">
      <alignment horizontal="center" vertical="center" wrapText="1"/>
    </xf>
    <xf numFmtId="0" fontId="6" fillId="7" borderId="88" xfId="5" applyFont="1" applyFill="1" applyBorder="1" applyAlignment="1">
      <alignment horizontal="center" vertical="center"/>
    </xf>
    <xf numFmtId="0" fontId="9" fillId="24" borderId="82" xfId="5" applyFont="1" applyFill="1" applyBorder="1" applyAlignment="1">
      <alignment horizontal="center"/>
    </xf>
    <xf numFmtId="0" fontId="9" fillId="24" borderId="83" xfId="5" applyFont="1" applyFill="1" applyBorder="1" applyAlignment="1">
      <alignment horizontal="center"/>
    </xf>
    <xf numFmtId="0" fontId="9" fillId="24" borderId="84" xfId="5" applyFont="1" applyFill="1" applyBorder="1" applyAlignment="1">
      <alignment horizontal="center"/>
    </xf>
    <xf numFmtId="0" fontId="5" fillId="7" borderId="0" xfId="5" applyFill="1" applyAlignment="1">
      <alignment horizontal="center"/>
    </xf>
    <xf numFmtId="0" fontId="6" fillId="10" borderId="78" xfId="5" applyFont="1" applyFill="1" applyBorder="1" applyAlignment="1">
      <alignment horizontal="center"/>
    </xf>
    <xf numFmtId="0" fontId="22" fillId="17" borderId="46" xfId="5" applyFont="1" applyFill="1" applyBorder="1" applyAlignment="1">
      <alignment horizontal="center" vertical="center"/>
    </xf>
    <xf numFmtId="0" fontId="22" fillId="17" borderId="96" xfId="5" applyFont="1" applyFill="1" applyBorder="1" applyAlignment="1">
      <alignment horizontal="center" vertical="center"/>
    </xf>
    <xf numFmtId="0" fontId="22" fillId="17" borderId="32" xfId="5" applyFont="1" applyFill="1" applyBorder="1" applyAlignment="1">
      <alignment horizontal="center" vertical="center"/>
    </xf>
    <xf numFmtId="0" fontId="19" fillId="13" borderId="0" xfId="5" applyFont="1" applyFill="1" applyAlignment="1">
      <alignment vertical="center"/>
    </xf>
    <xf numFmtId="0" fontId="19" fillId="15" borderId="97" xfId="5" applyFont="1" applyFill="1" applyBorder="1" applyAlignment="1">
      <alignment horizontal="center" vertical="center"/>
    </xf>
    <xf numFmtId="0" fontId="24" fillId="18" borderId="98" xfId="5" applyFont="1" applyFill="1" applyBorder="1" applyAlignment="1">
      <alignment horizontal="center" vertical="center"/>
    </xf>
    <xf numFmtId="0" fontId="24" fillId="18" borderId="99" xfId="5" applyFont="1" applyFill="1" applyBorder="1" applyAlignment="1">
      <alignment horizontal="center" vertical="center"/>
    </xf>
    <xf numFmtId="0" fontId="22" fillId="18" borderId="100" xfId="5" applyFont="1" applyFill="1" applyBorder="1" applyAlignment="1">
      <alignment horizontal="center" vertical="center"/>
    </xf>
    <xf numFmtId="0" fontId="22" fillId="18" borderId="101" xfId="5" applyFont="1" applyFill="1" applyBorder="1" applyAlignment="1">
      <alignment horizontal="center" vertical="center"/>
    </xf>
    <xf numFmtId="0" fontId="22" fillId="18" borderId="102" xfId="5" applyFont="1" applyFill="1" applyBorder="1" applyAlignment="1">
      <alignment horizontal="center" vertical="center"/>
    </xf>
    <xf numFmtId="0" fontId="22" fillId="18" borderId="103" xfId="5" applyFont="1" applyFill="1" applyBorder="1" applyAlignment="1">
      <alignment horizontal="center" vertical="center"/>
    </xf>
    <xf numFmtId="0" fontId="22" fillId="18" borderId="104" xfId="5" applyFont="1" applyFill="1" applyBorder="1" applyAlignment="1">
      <alignment horizontal="center" vertical="center"/>
    </xf>
    <xf numFmtId="0" fontId="22" fillId="18" borderId="105" xfId="5" applyFont="1" applyFill="1" applyBorder="1" applyAlignment="1">
      <alignment horizontal="center" vertical="center"/>
    </xf>
    <xf numFmtId="0" fontId="21" fillId="16" borderId="89" xfId="3" applyFont="1" applyFill="1" applyBorder="1" applyAlignment="1">
      <alignment horizontal="center"/>
    </xf>
    <xf numFmtId="0" fontId="21" fillId="16" borderId="91" xfId="3" applyFont="1" applyFill="1" applyBorder="1" applyAlignment="1">
      <alignment horizontal="center"/>
    </xf>
    <xf numFmtId="0" fontId="22" fillId="15" borderId="62" xfId="5" applyFont="1" applyFill="1" applyBorder="1" applyAlignment="1">
      <alignment horizontal="center" vertical="center"/>
    </xf>
    <xf numFmtId="0" fontId="22" fillId="15" borderId="106" xfId="5" applyFont="1" applyFill="1" applyBorder="1" applyAlignment="1">
      <alignment horizontal="center" vertical="center"/>
    </xf>
    <xf numFmtId="0" fontId="22" fillId="15" borderId="107" xfId="5" applyFont="1" applyFill="1" applyBorder="1" applyAlignment="1">
      <alignment horizontal="center" vertical="center"/>
    </xf>
    <xf numFmtId="0" fontId="22" fillId="15" borderId="108" xfId="5" applyFont="1" applyFill="1" applyBorder="1" applyAlignment="1">
      <alignment horizontal="center" vertical="center"/>
    </xf>
    <xf numFmtId="0" fontId="22" fillId="15" borderId="109" xfId="5" applyFont="1" applyFill="1" applyBorder="1" applyAlignment="1">
      <alignment horizontal="center" vertical="center"/>
    </xf>
    <xf numFmtId="0" fontId="22" fillId="15" borderId="110" xfId="5" applyFont="1" applyFill="1" applyBorder="1" applyAlignment="1">
      <alignment horizontal="center" vertical="center"/>
    </xf>
    <xf numFmtId="0" fontId="22" fillId="15" borderId="111" xfId="5" applyFont="1" applyFill="1" applyBorder="1" applyAlignment="1">
      <alignment horizontal="center" vertical="center"/>
    </xf>
    <xf numFmtId="0" fontId="22" fillId="15" borderId="112" xfId="5" applyFont="1" applyFill="1" applyBorder="1" applyAlignment="1">
      <alignment horizontal="center" vertical="center"/>
    </xf>
    <xf numFmtId="0" fontId="22" fillId="15" borderId="113" xfId="5" applyFont="1" applyFill="1" applyBorder="1" applyAlignment="1">
      <alignment horizontal="center" vertical="center"/>
    </xf>
    <xf numFmtId="0" fontId="22" fillId="15" borderId="0" xfId="5" applyFont="1" applyFill="1" applyBorder="1" applyAlignment="1">
      <alignment horizontal="center" vertical="center"/>
    </xf>
    <xf numFmtId="0" fontId="22" fillId="15" borderId="114" xfId="5" applyFont="1" applyFill="1" applyBorder="1" applyAlignment="1">
      <alignment horizontal="center" vertical="center"/>
    </xf>
    <xf numFmtId="0" fontId="22" fillId="15" borderId="115" xfId="5" applyFont="1" applyFill="1" applyBorder="1" applyAlignment="1">
      <alignment horizontal="center" vertical="center"/>
    </xf>
    <xf numFmtId="0" fontId="22" fillId="15" borderId="97" xfId="5" applyFont="1" applyFill="1" applyBorder="1" applyAlignment="1">
      <alignment horizontal="center" vertical="center"/>
    </xf>
    <xf numFmtId="0" fontId="22" fillId="15" borderId="116" xfId="5" applyFont="1" applyFill="1" applyBorder="1" applyAlignment="1">
      <alignment horizontal="center" vertical="center"/>
    </xf>
  </cellXfs>
  <cellStyles count="7">
    <cellStyle name="20% - Énfasis1" xfId="3" builtinId="30"/>
    <cellStyle name="20% - Énfasis5" xfId="4" builtinId="46"/>
    <cellStyle name="Entrada" xfId="1" builtinId="20"/>
    <cellStyle name="Normal" xfId="0" builtinId="0"/>
    <cellStyle name="Normal 2" xfId="5" xr:uid="{8BB6AE52-DACA-4DAD-8FAF-6871BEE13A29}"/>
    <cellStyle name="Porcentaje 2" xfId="6" xr:uid="{63BFC782-9E55-4B9F-80AB-EB96A359D6AC}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MX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 sz="1200"/>
              <a:t>Gráfica 1. Amplitud de aceleración del calibrador
de acelerómetros con diferentes cargas a</a:t>
            </a:r>
            <a:r>
              <a:rPr lang="es-MX" sz="1200" baseline="0"/>
              <a:t> 9.81 m/s</a:t>
            </a:r>
            <a:r>
              <a:rPr lang="es-MX" sz="1200" baseline="30000"/>
              <a:t>2</a:t>
            </a:r>
            <a:r>
              <a:rPr lang="es-MX" sz="1200" baseline="0"/>
              <a:t> y 159.2 Hz</a:t>
            </a:r>
            <a:endParaRPr lang="es-MX" sz="1200"/>
          </a:p>
        </c:rich>
      </c:tx>
      <c:layout>
        <c:manualLayout>
          <c:xMode val="edge"/>
          <c:yMode val="edge"/>
          <c:x val="0.24061253298087162"/>
          <c:y val="4.30211108358496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79604539660429"/>
          <c:y val="0.14373731043990828"/>
          <c:w val="0.87384183076194921"/>
          <c:h val="0.72304545150629651"/>
        </c:manualLayout>
      </c:layout>
      <c:scatterChart>
        <c:scatterStyle val="lineMarker"/>
        <c:varyColors val="0"/>
        <c:ser>
          <c:idx val="0"/>
          <c:order val="0"/>
          <c:tx>
            <c:v>2019</c:v>
          </c:tx>
          <c:spPr>
            <a:ln cmpd="sng">
              <a:solidFill>
                <a:srgbClr val="0070C0"/>
              </a:solidFill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xVal>
            <c:numRef>
              <c:f>'07 RESULT ACEL'!$B$18:$B$21</c:f>
              <c:numCache>
                <c:formatCode>0.00</c:formatCode>
                <c:ptCount val="4"/>
                <c:pt idx="0">
                  <c:v>12.049999999999999</c:v>
                </c:pt>
                <c:pt idx="1">
                  <c:v>55.550000000000004</c:v>
                </c:pt>
                <c:pt idx="2">
                  <c:v>98.05</c:v>
                </c:pt>
                <c:pt idx="3">
                  <c:v>141.55000000000001</c:v>
                </c:pt>
              </c:numCache>
            </c:numRef>
          </c:xVal>
          <c:yVal>
            <c:numRef>
              <c:f>'07 RESULT ACEL'!$C$18:$C$21</c:f>
              <c:numCache>
                <c:formatCode>0.00</c:formatCode>
                <c:ptCount val="4"/>
                <c:pt idx="0">
                  <c:v>9.92</c:v>
                </c:pt>
                <c:pt idx="1">
                  <c:v>9.91</c:v>
                </c:pt>
                <c:pt idx="2">
                  <c:v>9.82</c:v>
                </c:pt>
                <c:pt idx="3">
                  <c:v>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A-43F0-9BD4-37B5A87BCFB6}"/>
            </c:ext>
          </c:extLst>
        </c:ser>
        <c:ser>
          <c:idx val="3"/>
          <c:order val="2"/>
          <c:tx>
            <c:strRef>
              <c:f>'07 RESULT ACEL'!#REF!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xVal>
            <c:numRef>
              <c:f>'07 RESULT ACEL'!#REF!</c:f>
              <c:extLst xmlns:c15="http://schemas.microsoft.com/office/drawing/2012/chart"/>
            </c:numRef>
          </c:xVal>
          <c:yVal>
            <c:numRef>
              <c:f>'07 RESULT ACEL'!#REF!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FAA-43F0-9BD4-37B5A87BCFB6}"/>
            </c:ext>
          </c:extLst>
        </c:ser>
        <c:ser>
          <c:idx val="4"/>
          <c:order val="3"/>
          <c:tx>
            <c:strRef>
              <c:f>'07 RESULT ACEL'!#REF!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xVal>
            <c:numRef>
              <c:f>'07 RESULT ACEL'!#REF!</c:f>
              <c:extLst xmlns:c15="http://schemas.microsoft.com/office/drawing/2012/chart"/>
            </c:numRef>
          </c:xVal>
          <c:yVal>
            <c:numRef>
              <c:f>'07 RESULT ACEL'!#REF!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FAA-43F0-9BD4-37B5A87BC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22400"/>
        <c:axId val="50902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2018</c:v>
                </c:tx>
                <c:xVal>
                  <c:numRef>
                    <c:extLst>
                      <c:ext uri="{02D57815-91ED-43cb-92C2-25804820EDAC}">
                        <c15:formulaRef>
                          <c15:sqref>'07 RESULT ACEL'!$L$9:$L$12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12.049999999999999</c:v>
                      </c:pt>
                      <c:pt idx="1">
                        <c:v>55.550000000000004</c:v>
                      </c:pt>
                      <c:pt idx="2">
                        <c:v>98.05</c:v>
                      </c:pt>
                      <c:pt idx="3">
                        <c:v>141.55000000000001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'07 RESULT ACEL'!$M$9:$M$12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9.94</c:v>
                      </c:pt>
                      <c:pt idx="1">
                        <c:v>9.8699999999999992</c:v>
                      </c:pt>
                      <c:pt idx="2">
                        <c:v>9.7799999999999994</c:v>
                      </c:pt>
                      <c:pt idx="3">
                        <c:v>9.66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FAA-43F0-9BD4-37B5A87BCFB6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v>Valor nominal</c:v>
                </c:tx>
                <c:spPr>
                  <a:ln>
                    <a:solidFill>
                      <a:srgbClr val="FF0000"/>
                    </a:solidFill>
                  </a:ln>
                </c:spPr>
                <c:marker>
                  <c:spPr>
                    <a:solidFill>
                      <a:srgbClr val="FF0000"/>
                    </a:solidFill>
                    <a:ln>
                      <a:solidFill>
                        <a:srgbClr val="FF0000"/>
                      </a:solidFill>
                    </a:ln>
                  </c:spPr>
                </c:marker>
                <c:errBars>
                  <c:errDir val="y"/>
                  <c:errBarType val="both"/>
                  <c:errValType val="percentage"/>
                  <c:noEndCap val="0"/>
                  <c:val val="3"/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'07 RESULT ACEL'!$B$18:$B$21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12.049999999999999</c:v>
                      </c:pt>
                      <c:pt idx="1">
                        <c:v>55.550000000000004</c:v>
                      </c:pt>
                      <c:pt idx="2">
                        <c:v>98.05</c:v>
                      </c:pt>
                      <c:pt idx="3">
                        <c:v>141.55000000000001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'07 RESULT ACEL'!$F$18:$F$21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9.81</c:v>
                      </c:pt>
                      <c:pt idx="1">
                        <c:v>9.81</c:v>
                      </c:pt>
                      <c:pt idx="2">
                        <c:v>9.81</c:v>
                      </c:pt>
                      <c:pt idx="3">
                        <c:v>9.81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AA-43F0-9BD4-37B5A87BCFB6}"/>
                  </c:ext>
                </c:extLst>
              </c15:ser>
            </c15:filteredScatterSeries>
          </c:ext>
        </c:extLst>
      </c:scatterChart>
      <c:valAx>
        <c:axId val="112822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s-MX"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Masa agregada (g)</a:t>
                </a:r>
              </a:p>
            </c:rich>
          </c:tx>
          <c:layout>
            <c:manualLayout>
              <c:xMode val="edge"/>
              <c:yMode val="edge"/>
              <c:x val="0.44786323425403435"/>
              <c:y val="0.93111683814246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s-MX"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50902912"/>
        <c:crosses val="autoZero"/>
        <c:crossBetween val="midCat"/>
      </c:valAx>
      <c:valAx>
        <c:axId val="50902912"/>
        <c:scaling>
          <c:orientation val="minMax"/>
          <c:min val="9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lang="es-MX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Aceleración (m/s</a:t>
                </a:r>
                <a:r>
                  <a:rPr lang="es-MX" sz="12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s-MX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8.6188346841908417E-3"/>
              <c:y val="0.34419439453451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57150">
            <a:solidFill>
              <a:srgbClr val="000000">
                <a:alpha val="0"/>
              </a:srgbClr>
            </a:solidFill>
            <a:prstDash val="solid"/>
          </a:ln>
        </c:spPr>
        <c:txPr>
          <a:bodyPr rot="0" vert="horz"/>
          <a:lstStyle/>
          <a:p>
            <a:pPr>
              <a:defRPr lang="es-MX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1282240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1188" r="0.75000000000001188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MX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 sz="1200"/>
              <a:t>Figura 1. Amplitud de aceleración del calibrador
de acelerómetros con diferentes cargas </a:t>
            </a:r>
          </a:p>
        </c:rich>
      </c:tx>
      <c:layout>
        <c:manualLayout>
          <c:xMode val="edge"/>
          <c:yMode val="edge"/>
          <c:x val="0.21770529431409213"/>
          <c:y val="9.67567501910824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7973170020415"/>
          <c:y val="0.22985676016286763"/>
          <c:w val="0.8077610090405366"/>
          <c:h val="0.59765937962066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'07 RESULT ACEL'!$L$3:$N$3</c:f>
              <c:strCache>
                <c:ptCount val="1"/>
                <c:pt idx="0">
                  <c:v>CA04 2021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xVal>
            <c:numRef>
              <c:f>'07 RESULT ACEL'!$L$9:$L$12</c:f>
              <c:numCache>
                <c:formatCode>0.00</c:formatCode>
                <c:ptCount val="4"/>
                <c:pt idx="0">
                  <c:v>12.049999999999999</c:v>
                </c:pt>
                <c:pt idx="1">
                  <c:v>55.550000000000004</c:v>
                </c:pt>
                <c:pt idx="2">
                  <c:v>98.05</c:v>
                </c:pt>
                <c:pt idx="3">
                  <c:v>141.55000000000001</c:v>
                </c:pt>
              </c:numCache>
            </c:numRef>
          </c:xVal>
          <c:yVal>
            <c:numRef>
              <c:f>'07 RESULT ACEL'!$M$9:$M$12</c:f>
              <c:numCache>
                <c:formatCode>0.00</c:formatCode>
                <c:ptCount val="4"/>
                <c:pt idx="0">
                  <c:v>9.94</c:v>
                </c:pt>
                <c:pt idx="1">
                  <c:v>9.8699999999999992</c:v>
                </c:pt>
                <c:pt idx="2">
                  <c:v>9.7799999999999994</c:v>
                </c:pt>
                <c:pt idx="3">
                  <c:v>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6-4966-953A-D67B6CA4D336}"/>
            </c:ext>
          </c:extLst>
        </c:ser>
        <c:ser>
          <c:idx val="1"/>
          <c:order val="1"/>
          <c:tx>
            <c:v>ACTUAL</c:v>
          </c:tx>
          <c:xVal>
            <c:numRef>
              <c:f>'07 RESULT ACEL'!$B$18:$B$21</c:f>
              <c:numCache>
                <c:formatCode>0.00</c:formatCode>
                <c:ptCount val="4"/>
                <c:pt idx="0">
                  <c:v>12.049999999999999</c:v>
                </c:pt>
                <c:pt idx="1">
                  <c:v>55.550000000000004</c:v>
                </c:pt>
                <c:pt idx="2">
                  <c:v>98.05</c:v>
                </c:pt>
                <c:pt idx="3">
                  <c:v>141.55000000000001</c:v>
                </c:pt>
              </c:numCache>
            </c:numRef>
          </c:xVal>
          <c:yVal>
            <c:numRef>
              <c:f>'07 RESULT ACEL'!$C$18:$C$21</c:f>
              <c:numCache>
                <c:formatCode>0.00</c:formatCode>
                <c:ptCount val="4"/>
                <c:pt idx="0">
                  <c:v>9.92</c:v>
                </c:pt>
                <c:pt idx="1">
                  <c:v>9.91</c:v>
                </c:pt>
                <c:pt idx="2">
                  <c:v>9.82</c:v>
                </c:pt>
                <c:pt idx="3">
                  <c:v>9.76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906-4966-953A-D67B6CA4D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90528"/>
        <c:axId val="197591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'07 RESULT ACEL'!$R$3:$T$3</c15:sqref>
                        </c15:formulaRef>
                      </c:ext>
                    </c:extLst>
                    <c:strCache>
                      <c:ptCount val="1"/>
                      <c:pt idx="0">
                        <c:v>CA 2020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'07 RESULT ACEL'!$R$9:$R$12</c15:sqref>
                        </c15:formulaRef>
                      </c:ext>
                    </c:extLst>
                    <c:numCache>
                      <c:formatCode>0.00</c:formatCode>
                      <c:ptCount val="4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'07 RESULT ACEL'!$S$9:$S$12</c15:sqref>
                        </c15:formulaRef>
                      </c:ext>
                    </c:extLst>
                    <c:numCache>
                      <c:formatCode>0.00</c:formatCode>
                      <c:ptCount val="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906-4966-953A-D67B6CA4D336}"/>
                  </c:ext>
                </c:extLst>
              </c15:ser>
            </c15:filteredScatterSeries>
          </c:ext>
        </c:extLst>
      </c:scatterChart>
      <c:valAx>
        <c:axId val="1975905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es-MX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 sz="800"/>
                  <a:t>Masa agregada (g)</a:t>
                </a:r>
              </a:p>
            </c:rich>
          </c:tx>
          <c:layout>
            <c:manualLayout>
              <c:xMode val="edge"/>
              <c:yMode val="edge"/>
              <c:x val="0.37200714494021575"/>
              <c:y val="0.9311169194704395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MX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97591088"/>
        <c:crosses val="autoZero"/>
        <c:crossBetween val="midCat"/>
      </c:valAx>
      <c:valAx>
        <c:axId val="19759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lang="es-MX"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 sz="11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Aceleración (m/s</a:t>
                </a:r>
                <a:r>
                  <a:rPr lang="es-MX" sz="11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s-MX" sz="11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3716097987751532E-2"/>
              <c:y val="0.279822702261383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MX"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9759052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924743819195331"/>
          <c:y val="0.25584040428130755"/>
          <c:w val="0.20268136922979302"/>
          <c:h val="0.1248199953053315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lang="es-MX"/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121" r="0.7500000000000121" t="1" header="0" footer="0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641350</xdr:colOff>
          <xdr:row>5</xdr:row>
          <xdr:rowOff>133350</xdr:rowOff>
        </xdr:from>
        <xdr:to>
          <xdr:col>4</xdr:col>
          <xdr:colOff>438150</xdr:colOff>
          <xdr:row>7</xdr:row>
          <xdr:rowOff>107950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867337</xdr:colOff>
      <xdr:row>26</xdr:row>
      <xdr:rowOff>197222</xdr:rowOff>
    </xdr:from>
    <xdr:to>
      <xdr:col>8</xdr:col>
      <xdr:colOff>666749</xdr:colOff>
      <xdr:row>46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576BF-2189-466A-8864-3F02339BB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114230</xdr:colOff>
      <xdr:row>13</xdr:row>
      <xdr:rowOff>203857</xdr:rowOff>
    </xdr:from>
    <xdr:to>
      <xdr:col>14</xdr:col>
      <xdr:colOff>961140</xdr:colOff>
      <xdr:row>34</xdr:row>
      <xdr:rowOff>175691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F4A9DE9-2D74-46D7-A7A4-BF04B090D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garcia/Desktop/CALCULOS%20ENES-HOJ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ACEL SIN MASA"/>
      <sheetName val="02 ACEL M1"/>
      <sheetName val="03 ACEL M2"/>
      <sheetName val="04 ACEL M3"/>
      <sheetName val="05 DATOS EQUIPO"/>
      <sheetName val="ACEL TRANSVERSAL"/>
      <sheetName val="ACEL TRANS"/>
      <sheetName val="INCERTIDUMBRES"/>
      <sheetName val="07 RESULT ACEL"/>
      <sheetName val="Condiciones amb"/>
      <sheetName val="Aseguramiento de la calidad"/>
    </sheetNames>
    <sheetDataSet>
      <sheetData sheetId="0">
        <row r="4">
          <cell r="A4">
            <v>19.22</v>
          </cell>
          <cell r="B4">
            <v>42.42</v>
          </cell>
        </row>
        <row r="8">
          <cell r="A8">
            <v>1005.463327</v>
          </cell>
          <cell r="B8">
            <v>159.17736500000001</v>
          </cell>
          <cell r="C8">
            <v>0.45546199999999998</v>
          </cell>
        </row>
        <row r="9">
          <cell r="A9">
            <v>0.76002899999999995</v>
          </cell>
          <cell r="B9">
            <v>1.549E-3</v>
          </cell>
        </row>
        <row r="55">
          <cell r="B55">
            <v>44595.423611111109</v>
          </cell>
        </row>
      </sheetData>
      <sheetData sheetId="1">
        <row r="8">
          <cell r="A8">
            <v>1003.872833</v>
          </cell>
          <cell r="B8">
            <v>159.18078</v>
          </cell>
          <cell r="C8">
            <v>0.40729399999999999</v>
          </cell>
        </row>
        <row r="9">
          <cell r="A9">
            <v>0.35744399999999998</v>
          </cell>
          <cell r="B9">
            <v>6.6600000000000003E-4</v>
          </cell>
        </row>
      </sheetData>
      <sheetData sheetId="2">
        <row r="8">
          <cell r="A8">
            <v>995.13590199999999</v>
          </cell>
          <cell r="B8">
            <v>159.185247</v>
          </cell>
          <cell r="C8">
            <v>0.67052199999999995</v>
          </cell>
        </row>
        <row r="9">
          <cell r="A9">
            <v>0.473051</v>
          </cell>
          <cell r="B9">
            <v>5.8399999999999999E-4</v>
          </cell>
        </row>
      </sheetData>
      <sheetData sheetId="3">
        <row r="8">
          <cell r="A8">
            <v>989.20163100000002</v>
          </cell>
          <cell r="B8">
            <v>159.18934400000001</v>
          </cell>
          <cell r="C8">
            <v>1.425629</v>
          </cell>
        </row>
        <row r="9">
          <cell r="A9">
            <v>0.63236700000000001</v>
          </cell>
          <cell r="B9">
            <v>5.1000000000000004E-4</v>
          </cell>
        </row>
      </sheetData>
      <sheetData sheetId="4">
        <row r="34">
          <cell r="A34">
            <v>12.049999999999999</v>
          </cell>
          <cell r="B34">
            <v>55.550000000000004</v>
          </cell>
          <cell r="C34">
            <v>98.05</v>
          </cell>
          <cell r="D34">
            <v>141.55000000000001</v>
          </cell>
        </row>
      </sheetData>
      <sheetData sheetId="5">
        <row r="8">
          <cell r="A8">
            <v>18.473261999999998</v>
          </cell>
          <cell r="D8">
            <v>2.086668</v>
          </cell>
        </row>
        <row r="9">
          <cell r="A9">
            <v>2.3599350000000001</v>
          </cell>
          <cell r="D9">
            <v>1.5793999999999999E-2</v>
          </cell>
        </row>
      </sheetData>
      <sheetData sheetId="6">
        <row r="11">
          <cell r="G11">
            <v>0.17318070902905999</v>
          </cell>
        </row>
        <row r="12">
          <cell r="G12">
            <v>2.0031154473935622E-2</v>
          </cell>
        </row>
      </sheetData>
      <sheetData sheetId="7">
        <row r="11">
          <cell r="E11">
            <v>1.0149999999999999</v>
          </cell>
          <cell r="F11">
            <v>99.8</v>
          </cell>
          <cell r="G11">
            <v>9.9236809449251133</v>
          </cell>
        </row>
        <row r="12">
          <cell r="F12">
            <v>99.8</v>
          </cell>
          <cell r="G12">
            <v>9.9079831520996802</v>
          </cell>
        </row>
        <row r="13">
          <cell r="G13">
            <v>9.8217517467827697</v>
          </cell>
        </row>
        <row r="14">
          <cell r="G14">
            <v>9.7631819208494548</v>
          </cell>
        </row>
      </sheetData>
      <sheetData sheetId="8">
        <row r="3">
          <cell r="L3" t="str">
            <v>CA04 2021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A2B1-70B4-4A10-9E4A-F8CDBA12FA44}">
  <dimension ref="A1:N75"/>
  <sheetViews>
    <sheetView zoomScale="70" zoomScaleNormal="70" workbookViewId="0">
      <selection activeCell="C20" sqref="C20"/>
    </sheetView>
  </sheetViews>
  <sheetFormatPr baseColWidth="10" defaultColWidth="9.81640625" defaultRowHeight="12.5" x14ac:dyDescent="0.25"/>
  <cols>
    <col min="1" max="1" width="43.453125" style="5" bestFit="1" customWidth="1"/>
    <col min="2" max="2" width="21.7265625" style="5" bestFit="1" customWidth="1"/>
    <col min="3" max="3" width="14.7265625" style="5" bestFit="1" customWidth="1"/>
    <col min="4" max="4" width="11.26953125" style="5" bestFit="1" customWidth="1"/>
    <col min="5" max="5" width="22.54296875" style="5" bestFit="1" customWidth="1"/>
    <col min="6" max="6" width="13.26953125" style="5" bestFit="1" customWidth="1"/>
    <col min="7" max="11" width="9.81640625" style="2"/>
    <col min="12" max="16384" width="9.81640625" style="4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L1" s="2"/>
      <c r="M1" s="2"/>
      <c r="N1" s="3"/>
    </row>
    <row r="2" spans="1:14" x14ac:dyDescent="0.25">
      <c r="A2" s="1" t="s">
        <v>5</v>
      </c>
      <c r="B2" s="1" t="s">
        <v>6</v>
      </c>
      <c r="C2" s="1" t="s">
        <v>7</v>
      </c>
      <c r="D2" s="1" t="s">
        <v>8</v>
      </c>
      <c r="E2" s="1"/>
      <c r="F2" s="1"/>
      <c r="L2" s="2"/>
      <c r="M2" s="2"/>
      <c r="N2" s="3"/>
    </row>
    <row r="3" spans="1:14" x14ac:dyDescent="0.25">
      <c r="A3" s="1" t="s">
        <v>9</v>
      </c>
      <c r="B3" s="1" t="s">
        <v>10</v>
      </c>
      <c r="C3" s="1"/>
      <c r="D3" s="1"/>
      <c r="E3" s="1"/>
      <c r="F3" s="1"/>
      <c r="L3" s="2"/>
      <c r="M3" s="2"/>
      <c r="N3" s="3"/>
    </row>
    <row r="4" spans="1:14" x14ac:dyDescent="0.25">
      <c r="A4" s="1">
        <v>19.22</v>
      </c>
      <c r="B4" s="1">
        <v>42.42</v>
      </c>
      <c r="C4" s="1"/>
      <c r="D4" s="1"/>
      <c r="E4" s="1"/>
      <c r="F4" s="1"/>
      <c r="L4" s="2"/>
      <c r="M4" s="2"/>
      <c r="N4" s="3"/>
    </row>
    <row r="5" spans="1:14" x14ac:dyDescent="0.25">
      <c r="L5" s="2"/>
      <c r="M5" s="2"/>
      <c r="N5" s="3"/>
    </row>
    <row r="6" spans="1:14" x14ac:dyDescent="0.25">
      <c r="A6" s="6" t="s">
        <v>11</v>
      </c>
      <c r="B6" s="6" t="s">
        <v>12</v>
      </c>
      <c r="C6" s="6" t="s">
        <v>13</v>
      </c>
      <c r="D6" s="6" t="s">
        <v>14</v>
      </c>
      <c r="E6" s="6" t="s">
        <v>15</v>
      </c>
      <c r="F6" s="6" t="s">
        <v>16</v>
      </c>
      <c r="L6" s="2"/>
      <c r="M6" s="2"/>
      <c r="N6" s="3"/>
    </row>
    <row r="7" spans="1:14" x14ac:dyDescent="0.25">
      <c r="A7" s="6" t="s">
        <v>17</v>
      </c>
      <c r="B7" s="6" t="s">
        <v>18</v>
      </c>
      <c r="C7" s="6" t="s">
        <v>19</v>
      </c>
      <c r="D7" s="7" t="s">
        <v>20</v>
      </c>
      <c r="E7" s="7" t="s">
        <v>21</v>
      </c>
      <c r="F7" s="7" t="s">
        <v>22</v>
      </c>
      <c r="L7" s="2"/>
      <c r="M7" s="2"/>
      <c r="N7" s="3"/>
    </row>
    <row r="8" spans="1:14" x14ac:dyDescent="0.25">
      <c r="A8" s="6">
        <v>1005.463327</v>
      </c>
      <c r="B8" s="6">
        <v>159.17736500000001</v>
      </c>
      <c r="C8" s="6">
        <v>0.45546199999999998</v>
      </c>
      <c r="D8" s="7" t="s">
        <v>23</v>
      </c>
      <c r="E8" s="7">
        <v>0</v>
      </c>
      <c r="F8" s="7">
        <v>0</v>
      </c>
      <c r="L8" s="2"/>
      <c r="M8" s="2"/>
      <c r="N8" s="3"/>
    </row>
    <row r="9" spans="1:14" x14ac:dyDescent="0.25">
      <c r="A9" s="6">
        <v>0.76002899999999995</v>
      </c>
      <c r="B9" s="6">
        <v>1.549E-3</v>
      </c>
      <c r="C9" s="6">
        <v>6.7934999999999995E-2</v>
      </c>
      <c r="D9" s="7" t="s">
        <v>23</v>
      </c>
      <c r="E9" s="7">
        <v>0</v>
      </c>
      <c r="F9" s="7">
        <v>0</v>
      </c>
      <c r="L9" s="2"/>
      <c r="M9" s="2"/>
      <c r="N9" s="3"/>
    </row>
    <row r="10" spans="1:14" x14ac:dyDescent="0.25">
      <c r="L10" s="2"/>
      <c r="M10" s="2"/>
      <c r="N10" s="3"/>
    </row>
    <row r="11" spans="1:14" x14ac:dyDescent="0.25">
      <c r="L11" s="2"/>
      <c r="M11" s="2"/>
      <c r="N11" s="3"/>
    </row>
    <row r="12" spans="1:14" x14ac:dyDescent="0.25">
      <c r="L12" s="2"/>
      <c r="M12" s="2"/>
      <c r="N12" s="3"/>
    </row>
    <row r="13" spans="1:14" x14ac:dyDescent="0.25">
      <c r="A13" s="8" t="s">
        <v>17</v>
      </c>
      <c r="B13" s="8" t="s">
        <v>18</v>
      </c>
      <c r="C13" s="8" t="s">
        <v>19</v>
      </c>
      <c r="D13" s="8" t="s">
        <v>24</v>
      </c>
      <c r="E13" s="8" t="s">
        <v>25</v>
      </c>
      <c r="F13" s="8" t="s">
        <v>22</v>
      </c>
      <c r="L13" s="2"/>
      <c r="M13" s="2"/>
      <c r="N13" s="3"/>
    </row>
    <row r="14" spans="1:14" x14ac:dyDescent="0.25">
      <c r="A14" s="8">
        <v>1005.492745</v>
      </c>
      <c r="B14" s="8">
        <v>159.177571</v>
      </c>
      <c r="C14" s="8">
        <v>0.37144300000000002</v>
      </c>
      <c r="D14" s="8" t="s">
        <v>23</v>
      </c>
      <c r="E14" s="8">
        <v>0</v>
      </c>
      <c r="F14" s="8">
        <v>0</v>
      </c>
      <c r="L14" s="2"/>
      <c r="M14" s="2"/>
      <c r="N14" s="3"/>
    </row>
    <row r="15" spans="1:14" x14ac:dyDescent="0.25">
      <c r="A15" s="8">
        <v>1005.190949</v>
      </c>
      <c r="B15" s="8">
        <v>159.17611400000001</v>
      </c>
      <c r="C15" s="8">
        <v>0.36180000000000001</v>
      </c>
      <c r="D15" s="8" t="s">
        <v>23</v>
      </c>
      <c r="E15" s="8">
        <v>0</v>
      </c>
      <c r="F15" s="8">
        <v>0</v>
      </c>
      <c r="L15" s="2"/>
      <c r="M15" s="2"/>
    </row>
    <row r="16" spans="1:14" x14ac:dyDescent="0.25">
      <c r="A16" s="8">
        <v>1006.0755799999999</v>
      </c>
      <c r="B16" s="8">
        <v>159.17384300000001</v>
      </c>
      <c r="C16" s="8">
        <v>0.40612999999999999</v>
      </c>
      <c r="D16" s="8" t="s">
        <v>23</v>
      </c>
      <c r="E16" s="8">
        <v>0</v>
      </c>
      <c r="F16" s="8">
        <v>0</v>
      </c>
      <c r="L16" s="2"/>
      <c r="M16" s="2"/>
    </row>
    <row r="17" spans="1:13" x14ac:dyDescent="0.25">
      <c r="A17" s="8">
        <v>1005.494902</v>
      </c>
      <c r="B17" s="8">
        <v>159.17740599999999</v>
      </c>
      <c r="C17" s="8">
        <v>0.40138800000000002</v>
      </c>
      <c r="D17" s="8" t="s">
        <v>23</v>
      </c>
      <c r="E17" s="8">
        <v>0</v>
      </c>
      <c r="F17" s="8">
        <v>0</v>
      </c>
      <c r="L17" s="2"/>
      <c r="M17" s="2"/>
    </row>
    <row r="18" spans="1:13" x14ac:dyDescent="0.25">
      <c r="A18" s="8">
        <v>1006.469767</v>
      </c>
      <c r="B18" s="8">
        <v>159.178572</v>
      </c>
      <c r="C18" s="8">
        <v>0.43452800000000003</v>
      </c>
      <c r="D18" s="8" t="s">
        <v>23</v>
      </c>
      <c r="E18" s="8">
        <v>0</v>
      </c>
      <c r="F18" s="8">
        <v>0</v>
      </c>
      <c r="L18" s="2"/>
      <c r="M18" s="2"/>
    </row>
    <row r="19" spans="1:13" x14ac:dyDescent="0.25">
      <c r="A19" s="8">
        <v>1005.585015</v>
      </c>
      <c r="B19" s="8">
        <v>159.175997</v>
      </c>
      <c r="C19" s="8">
        <v>0.391623</v>
      </c>
      <c r="D19" s="8" t="s">
        <v>23</v>
      </c>
      <c r="E19" s="8">
        <v>0</v>
      </c>
      <c r="F19" s="8">
        <v>0</v>
      </c>
      <c r="L19" s="2"/>
      <c r="M19" s="2"/>
    </row>
    <row r="20" spans="1:13" x14ac:dyDescent="0.25">
      <c r="A20" s="8">
        <v>1005.727659</v>
      </c>
      <c r="B20" s="8">
        <v>159.177268</v>
      </c>
      <c r="C20" s="8">
        <v>0.549979</v>
      </c>
      <c r="D20" s="8" t="s">
        <v>23</v>
      </c>
      <c r="E20" s="8">
        <v>0</v>
      </c>
      <c r="F20" s="8">
        <v>0</v>
      </c>
      <c r="L20" s="2"/>
      <c r="M20" s="2"/>
    </row>
    <row r="21" spans="1:13" x14ac:dyDescent="0.25">
      <c r="A21" s="8">
        <v>1005.545001</v>
      </c>
      <c r="B21" s="8">
        <v>159.177952</v>
      </c>
      <c r="C21" s="8">
        <v>0.477941</v>
      </c>
      <c r="D21" s="8" t="s">
        <v>23</v>
      </c>
      <c r="E21" s="8">
        <v>0</v>
      </c>
      <c r="F21" s="8">
        <v>0</v>
      </c>
      <c r="L21" s="2"/>
      <c r="M21" s="2"/>
    </row>
    <row r="22" spans="1:13" x14ac:dyDescent="0.25">
      <c r="A22" s="8">
        <v>1006.355554</v>
      </c>
      <c r="B22" s="8">
        <v>159.17803599999999</v>
      </c>
      <c r="C22" s="8">
        <v>0.51081600000000005</v>
      </c>
      <c r="D22" s="8" t="s">
        <v>23</v>
      </c>
      <c r="E22" s="8">
        <v>0</v>
      </c>
      <c r="F22" s="8">
        <v>0</v>
      </c>
      <c r="L22" s="2"/>
      <c r="M22" s="2"/>
    </row>
    <row r="23" spans="1:13" x14ac:dyDescent="0.25">
      <c r="A23" s="8">
        <v>1005.770033</v>
      </c>
      <c r="B23" s="8">
        <v>159.176985</v>
      </c>
      <c r="C23" s="8">
        <v>0.55152999999999996</v>
      </c>
      <c r="D23" s="8" t="s">
        <v>23</v>
      </c>
      <c r="E23" s="8">
        <v>0</v>
      </c>
      <c r="F23" s="8">
        <v>0</v>
      </c>
      <c r="L23" s="2"/>
      <c r="M23" s="2"/>
    </row>
    <row r="24" spans="1:13" x14ac:dyDescent="0.25">
      <c r="A24" s="8">
        <v>1006.34369</v>
      </c>
      <c r="B24" s="8">
        <v>159.176738</v>
      </c>
      <c r="C24" s="8">
        <v>0.52147699999999997</v>
      </c>
      <c r="D24" s="8" t="s">
        <v>23</v>
      </c>
      <c r="E24" s="8">
        <v>0</v>
      </c>
      <c r="F24" s="8">
        <v>0</v>
      </c>
      <c r="L24" s="2"/>
      <c r="M24" s="2"/>
    </row>
    <row r="25" spans="1:13" x14ac:dyDescent="0.25">
      <c r="A25" s="8">
        <v>1006.340462</v>
      </c>
      <c r="B25" s="8">
        <v>159.17714000000001</v>
      </c>
      <c r="C25" s="8">
        <v>0.56276099999999996</v>
      </c>
      <c r="D25" s="8" t="s">
        <v>23</v>
      </c>
      <c r="E25" s="8">
        <v>0</v>
      </c>
      <c r="F25" s="8">
        <v>0</v>
      </c>
      <c r="L25" s="2"/>
      <c r="M25" s="2"/>
    </row>
    <row r="26" spans="1:13" x14ac:dyDescent="0.25">
      <c r="A26" s="8">
        <v>1005.533482</v>
      </c>
      <c r="B26" s="8">
        <v>159.17737099999999</v>
      </c>
      <c r="C26" s="8">
        <v>0.56277200000000005</v>
      </c>
      <c r="D26" s="8" t="s">
        <v>23</v>
      </c>
      <c r="E26" s="8">
        <v>0</v>
      </c>
      <c r="F26" s="8">
        <v>0</v>
      </c>
      <c r="L26" s="2"/>
      <c r="M26" s="2"/>
    </row>
    <row r="27" spans="1:13" x14ac:dyDescent="0.25">
      <c r="A27" s="8">
        <v>1005.115673</v>
      </c>
      <c r="B27" s="8">
        <v>159.17766599999999</v>
      </c>
      <c r="C27" s="8">
        <v>0.56419299999999994</v>
      </c>
      <c r="D27" s="8" t="s">
        <v>23</v>
      </c>
      <c r="E27" s="8">
        <v>0</v>
      </c>
      <c r="F27" s="8">
        <v>0</v>
      </c>
      <c r="L27" s="2"/>
      <c r="M27" s="2"/>
    </row>
    <row r="28" spans="1:13" x14ac:dyDescent="0.25">
      <c r="A28" s="8">
        <v>1005.761706</v>
      </c>
      <c r="B28" s="8">
        <v>159.17585700000001</v>
      </c>
      <c r="C28" s="8">
        <v>0.54836300000000004</v>
      </c>
      <c r="D28" s="8" t="s">
        <v>23</v>
      </c>
      <c r="E28" s="8">
        <v>0</v>
      </c>
      <c r="F28" s="8">
        <v>0</v>
      </c>
      <c r="L28" s="2"/>
      <c r="M28" s="2"/>
    </row>
    <row r="29" spans="1:13" x14ac:dyDescent="0.25">
      <c r="A29" s="8">
        <v>1006.433664</v>
      </c>
      <c r="B29" s="8">
        <v>159.17880099999999</v>
      </c>
      <c r="C29" s="8">
        <v>0.51937699999999998</v>
      </c>
      <c r="D29" s="8" t="s">
        <v>23</v>
      </c>
      <c r="E29" s="8">
        <v>0</v>
      </c>
      <c r="F29" s="8">
        <v>0</v>
      </c>
      <c r="L29" s="2"/>
      <c r="M29" s="2"/>
    </row>
    <row r="30" spans="1:13" x14ac:dyDescent="0.25">
      <c r="A30" s="8">
        <v>1006.196502</v>
      </c>
      <c r="B30" s="8">
        <v>159.17685700000001</v>
      </c>
      <c r="C30" s="8">
        <v>0.56019699999999994</v>
      </c>
      <c r="D30" s="8" t="s">
        <v>23</v>
      </c>
      <c r="E30" s="8">
        <v>0</v>
      </c>
      <c r="F30" s="8">
        <v>0</v>
      </c>
      <c r="L30" s="2"/>
      <c r="M30" s="2"/>
    </row>
    <row r="31" spans="1:13" x14ac:dyDescent="0.25">
      <c r="A31" s="8">
        <v>1005.734921</v>
      </c>
      <c r="B31" s="8">
        <v>159.17708400000001</v>
      </c>
      <c r="C31" s="8">
        <v>0.55317400000000005</v>
      </c>
      <c r="D31" s="8" t="s">
        <v>23</v>
      </c>
      <c r="E31" s="8">
        <v>0</v>
      </c>
      <c r="F31" s="8">
        <v>0</v>
      </c>
      <c r="L31" s="2"/>
      <c r="M31" s="2"/>
    </row>
    <row r="32" spans="1:13" x14ac:dyDescent="0.25">
      <c r="A32" s="8">
        <v>1006.093311</v>
      </c>
      <c r="B32" s="8">
        <v>159.17876000000001</v>
      </c>
      <c r="C32" s="8">
        <v>0.49223899999999998</v>
      </c>
      <c r="D32" s="8" t="s">
        <v>23</v>
      </c>
      <c r="E32" s="8">
        <v>0</v>
      </c>
      <c r="F32" s="8">
        <v>0</v>
      </c>
      <c r="L32" s="2"/>
      <c r="M32" s="2"/>
    </row>
    <row r="33" spans="1:13" x14ac:dyDescent="0.25">
      <c r="A33" s="8">
        <v>1005.236275</v>
      </c>
      <c r="B33" s="8">
        <v>159.17660599999999</v>
      </c>
      <c r="C33" s="8">
        <v>0.430645</v>
      </c>
      <c r="D33" s="8" t="s">
        <v>23</v>
      </c>
      <c r="E33" s="8">
        <v>0</v>
      </c>
      <c r="F33" s="8">
        <v>0</v>
      </c>
      <c r="L33" s="2"/>
      <c r="M33" s="2"/>
    </row>
    <row r="34" spans="1:13" x14ac:dyDescent="0.25">
      <c r="A34" s="8">
        <v>1006.009605</v>
      </c>
      <c r="B34" s="8">
        <v>159.178529</v>
      </c>
      <c r="C34" s="8">
        <v>0.41808099999999998</v>
      </c>
      <c r="D34" s="8" t="s">
        <v>23</v>
      </c>
      <c r="E34" s="8">
        <v>0</v>
      </c>
      <c r="F34" s="8">
        <v>0</v>
      </c>
      <c r="L34" s="2"/>
      <c r="M34" s="2"/>
    </row>
    <row r="35" spans="1:13" x14ac:dyDescent="0.25">
      <c r="A35" s="8">
        <v>1006.206036</v>
      </c>
      <c r="B35" s="8">
        <v>159.178843</v>
      </c>
      <c r="C35" s="8">
        <v>0.53304300000000004</v>
      </c>
      <c r="D35" s="8" t="s">
        <v>23</v>
      </c>
      <c r="E35" s="8">
        <v>0</v>
      </c>
      <c r="F35" s="8">
        <v>0</v>
      </c>
      <c r="L35" s="2"/>
      <c r="M35" s="2"/>
    </row>
    <row r="36" spans="1:13" x14ac:dyDescent="0.25">
      <c r="A36" s="8">
        <v>1004.8876780000001</v>
      </c>
      <c r="B36" s="8">
        <v>159.171088</v>
      </c>
      <c r="C36" s="8">
        <v>0.48326400000000003</v>
      </c>
      <c r="D36" s="8" t="s">
        <v>23</v>
      </c>
      <c r="E36" s="8">
        <v>0</v>
      </c>
      <c r="F36" s="8">
        <v>0</v>
      </c>
      <c r="L36" s="2"/>
      <c r="M36" s="2"/>
    </row>
    <row r="37" spans="1:13" x14ac:dyDescent="0.25">
      <c r="A37" s="8">
        <v>1004.1072349999999</v>
      </c>
      <c r="B37" s="8">
        <v>159.17809500000001</v>
      </c>
      <c r="C37" s="8">
        <v>0.38716400000000001</v>
      </c>
      <c r="D37" s="8" t="s">
        <v>23</v>
      </c>
      <c r="E37" s="8">
        <v>0</v>
      </c>
      <c r="F37" s="8">
        <v>0</v>
      </c>
      <c r="L37" s="2"/>
      <c r="M37" s="2"/>
    </row>
    <row r="38" spans="1:13" x14ac:dyDescent="0.25">
      <c r="A38" s="8">
        <v>1004.406809</v>
      </c>
      <c r="B38" s="8">
        <v>159.177526</v>
      </c>
      <c r="C38" s="8">
        <v>0.39655600000000002</v>
      </c>
      <c r="D38" s="8" t="s">
        <v>23</v>
      </c>
      <c r="E38" s="8">
        <v>0</v>
      </c>
      <c r="F38" s="8">
        <v>0</v>
      </c>
      <c r="L38" s="2"/>
      <c r="M38" s="2"/>
    </row>
    <row r="39" spans="1:13" x14ac:dyDescent="0.25">
      <c r="A39" s="8">
        <v>1004.706013</v>
      </c>
      <c r="B39" s="8">
        <v>159.178393</v>
      </c>
      <c r="C39" s="8">
        <v>0.40681299999999998</v>
      </c>
      <c r="D39" s="8" t="s">
        <v>23</v>
      </c>
      <c r="E39" s="8">
        <v>0</v>
      </c>
      <c r="F39" s="8">
        <v>0</v>
      </c>
      <c r="L39" s="2"/>
      <c r="M39" s="2"/>
    </row>
    <row r="40" spans="1:13" x14ac:dyDescent="0.25">
      <c r="A40" s="8">
        <v>1004.867658</v>
      </c>
      <c r="B40" s="8">
        <v>159.17797400000001</v>
      </c>
      <c r="C40" s="8">
        <v>0.39528400000000002</v>
      </c>
      <c r="D40" s="8" t="s">
        <v>23</v>
      </c>
      <c r="E40" s="8">
        <v>0</v>
      </c>
      <c r="F40" s="8">
        <v>0</v>
      </c>
      <c r="L40" s="2"/>
      <c r="M40" s="2"/>
    </row>
    <row r="41" spans="1:13" x14ac:dyDescent="0.25">
      <c r="A41" s="8">
        <v>1004.651316</v>
      </c>
      <c r="B41" s="8">
        <v>159.17854299999999</v>
      </c>
      <c r="C41" s="8">
        <v>0.39179199999999997</v>
      </c>
      <c r="D41" s="8" t="s">
        <v>23</v>
      </c>
      <c r="E41" s="8">
        <v>0</v>
      </c>
      <c r="F41" s="8">
        <v>0</v>
      </c>
      <c r="L41" s="2"/>
      <c r="M41" s="2"/>
    </row>
    <row r="42" spans="1:13" x14ac:dyDescent="0.25">
      <c r="A42" s="8">
        <v>1004.287989</v>
      </c>
      <c r="B42" s="8">
        <v>159.177143</v>
      </c>
      <c r="C42" s="8">
        <v>0.38324799999999998</v>
      </c>
      <c r="D42" s="8" t="s">
        <v>23</v>
      </c>
      <c r="E42" s="8">
        <v>0</v>
      </c>
      <c r="F42" s="8">
        <v>0</v>
      </c>
      <c r="L42" s="2"/>
      <c r="M42" s="2"/>
    </row>
    <row r="43" spans="1:13" x14ac:dyDescent="0.25">
      <c r="A43" s="8">
        <v>1004.773216</v>
      </c>
      <c r="B43" s="8">
        <v>159.17874499999999</v>
      </c>
      <c r="C43" s="8">
        <v>0.38955499999999998</v>
      </c>
      <c r="D43" s="8" t="s">
        <v>23</v>
      </c>
      <c r="E43" s="8">
        <v>0</v>
      </c>
      <c r="F43" s="8">
        <v>0</v>
      </c>
      <c r="L43" s="2"/>
      <c r="M43" s="2"/>
    </row>
    <row r="44" spans="1:13" x14ac:dyDescent="0.25">
      <c r="A44" s="8">
        <v>1005.672522</v>
      </c>
      <c r="B44" s="8">
        <v>159.177695</v>
      </c>
      <c r="C44" s="8">
        <v>0.474026</v>
      </c>
      <c r="D44" s="8" t="s">
        <v>23</v>
      </c>
      <c r="E44" s="8">
        <v>0</v>
      </c>
      <c r="F44" s="8">
        <v>0</v>
      </c>
      <c r="L44" s="2"/>
      <c r="M44" s="2"/>
    </row>
    <row r="45" spans="1:13" x14ac:dyDescent="0.25">
      <c r="A45" s="8">
        <v>1005.043631</v>
      </c>
      <c r="B45" s="8">
        <v>159.17629199999999</v>
      </c>
      <c r="C45" s="8">
        <v>0.38794699999999999</v>
      </c>
      <c r="D45" s="8" t="s">
        <v>23</v>
      </c>
      <c r="E45" s="8">
        <v>0</v>
      </c>
      <c r="F45" s="8">
        <v>0</v>
      </c>
      <c r="L45" s="2"/>
      <c r="M45" s="2"/>
    </row>
    <row r="46" spans="1:13" x14ac:dyDescent="0.25">
      <c r="A46" s="8">
        <v>1004.006474</v>
      </c>
      <c r="B46" s="8">
        <v>159.178146</v>
      </c>
      <c r="C46" s="8">
        <v>0.38386199999999998</v>
      </c>
      <c r="D46" s="8" t="s">
        <v>23</v>
      </c>
      <c r="E46" s="8">
        <v>0</v>
      </c>
      <c r="F46" s="8">
        <v>0</v>
      </c>
      <c r="L46" s="2"/>
      <c r="M46" s="2"/>
    </row>
    <row r="47" spans="1:13" x14ac:dyDescent="0.25">
      <c r="A47" s="8">
        <v>1003.9381959999999</v>
      </c>
      <c r="B47" s="8">
        <v>159.17750699999999</v>
      </c>
      <c r="C47" s="8">
        <v>0.38275100000000001</v>
      </c>
      <c r="D47" s="8" t="s">
        <v>23</v>
      </c>
      <c r="E47" s="8">
        <v>0</v>
      </c>
      <c r="F47" s="8">
        <v>0</v>
      </c>
      <c r="L47" s="2"/>
      <c r="M47" s="2"/>
    </row>
    <row r="48" spans="1:13" x14ac:dyDescent="0.25">
      <c r="A48" s="8">
        <v>1004.590833</v>
      </c>
      <c r="B48" s="8">
        <v>159.17956100000001</v>
      </c>
      <c r="C48" s="8">
        <v>0.40268900000000002</v>
      </c>
      <c r="D48" s="8" t="s">
        <v>23</v>
      </c>
      <c r="E48" s="8">
        <v>0</v>
      </c>
      <c r="F48" s="8">
        <v>0</v>
      </c>
      <c r="L48" s="2"/>
      <c r="M48" s="2"/>
    </row>
    <row r="49" spans="1:13" x14ac:dyDescent="0.25">
      <c r="A49" s="8">
        <v>1006.339543</v>
      </c>
      <c r="B49" s="8">
        <v>159.17724100000001</v>
      </c>
      <c r="C49" s="8">
        <v>0.40676800000000002</v>
      </c>
      <c r="D49" s="8" t="s">
        <v>23</v>
      </c>
      <c r="E49" s="8">
        <v>0</v>
      </c>
      <c r="F49" s="8">
        <v>0</v>
      </c>
      <c r="L49" s="2"/>
      <c r="M49" s="2"/>
    </row>
    <row r="50" spans="1:13" x14ac:dyDescent="0.25">
      <c r="A50" s="8">
        <v>1005.289899</v>
      </c>
      <c r="B50" s="8">
        <v>159.18037000000001</v>
      </c>
      <c r="C50" s="8">
        <v>0.43700499999999998</v>
      </c>
      <c r="D50" s="8" t="s">
        <v>23</v>
      </c>
      <c r="E50" s="8">
        <v>0</v>
      </c>
      <c r="F50" s="8">
        <v>0</v>
      </c>
      <c r="L50" s="2"/>
      <c r="M50" s="2"/>
    </row>
    <row r="51" spans="1:13" x14ac:dyDescent="0.25">
      <c r="A51" s="8">
        <v>1006.780472</v>
      </c>
      <c r="B51" s="8">
        <v>159.17678900000001</v>
      </c>
      <c r="C51" s="8">
        <v>0.45989999999999998</v>
      </c>
      <c r="D51" s="8" t="s">
        <v>23</v>
      </c>
      <c r="E51" s="8">
        <v>0</v>
      </c>
      <c r="F51" s="8">
        <v>0</v>
      </c>
      <c r="L51" s="2"/>
      <c r="M51" s="2"/>
    </row>
    <row r="52" spans="1:13" x14ac:dyDescent="0.25">
      <c r="A52" s="8">
        <v>1005.885442</v>
      </c>
      <c r="B52" s="8">
        <v>159.17647199999999</v>
      </c>
      <c r="C52" s="8">
        <v>0.39394299999999999</v>
      </c>
      <c r="D52" s="8" t="s">
        <v>23</v>
      </c>
      <c r="E52" s="8">
        <v>0</v>
      </c>
      <c r="F52" s="8">
        <v>0</v>
      </c>
      <c r="L52" s="2"/>
      <c r="M52" s="2"/>
    </row>
    <row r="53" spans="1:13" x14ac:dyDescent="0.25">
      <c r="A53" s="8">
        <v>1005.6150259999999</v>
      </c>
      <c r="B53" s="8">
        <v>159.17723599999999</v>
      </c>
      <c r="C53" s="8">
        <v>0.44839099999999998</v>
      </c>
      <c r="D53" s="8" t="s">
        <v>23</v>
      </c>
      <c r="E53" s="8">
        <v>0</v>
      </c>
      <c r="F53" s="8">
        <v>0</v>
      </c>
      <c r="L53" s="2"/>
      <c r="M53" s="2"/>
    </row>
    <row r="54" spans="1:13" x14ac:dyDescent="0.25">
      <c r="L54" s="2"/>
      <c r="M54" s="2"/>
    </row>
    <row r="55" spans="1:13" x14ac:dyDescent="0.25">
      <c r="A55" s="9" t="s">
        <v>26</v>
      </c>
      <c r="B55" s="10">
        <v>44595.423611111109</v>
      </c>
      <c r="C55" s="9"/>
      <c r="D55" s="9"/>
      <c r="E55" s="9"/>
      <c r="F55" s="9"/>
      <c r="L55" s="2"/>
      <c r="M55" s="2"/>
    </row>
    <row r="56" spans="1:13" x14ac:dyDescent="0.25">
      <c r="L56" s="2"/>
      <c r="M56" s="2"/>
    </row>
    <row r="57" spans="1:13" x14ac:dyDescent="0.25">
      <c r="L57" s="2"/>
      <c r="M57" s="2"/>
    </row>
    <row r="58" spans="1:13" x14ac:dyDescent="0.25">
      <c r="L58" s="2"/>
      <c r="M58" s="2"/>
    </row>
    <row r="59" spans="1:13" x14ac:dyDescent="0.25">
      <c r="L59" s="2"/>
      <c r="M59" s="2"/>
    </row>
    <row r="60" spans="1:13" x14ac:dyDescent="0.25">
      <c r="L60" s="2"/>
      <c r="M60" s="2"/>
    </row>
    <row r="61" spans="1:13" x14ac:dyDescent="0.25">
      <c r="L61" s="2"/>
      <c r="M61" s="2"/>
    </row>
    <row r="62" spans="1:13" x14ac:dyDescent="0.25">
      <c r="L62" s="2"/>
      <c r="M62" s="2"/>
    </row>
    <row r="63" spans="1:13" x14ac:dyDescent="0.25">
      <c r="L63" s="2"/>
      <c r="M63" s="2"/>
    </row>
    <row r="64" spans="1:13" x14ac:dyDescent="0.25">
      <c r="L64" s="2"/>
      <c r="M64" s="2"/>
    </row>
    <row r="65" spans="12:13" x14ac:dyDescent="0.25">
      <c r="L65" s="2"/>
      <c r="M65" s="2"/>
    </row>
    <row r="66" spans="12:13" x14ac:dyDescent="0.25">
      <c r="L66" s="2"/>
      <c r="M66" s="2"/>
    </row>
    <row r="67" spans="12:13" x14ac:dyDescent="0.25">
      <c r="L67" s="2"/>
      <c r="M67" s="2"/>
    </row>
    <row r="68" spans="12:13" x14ac:dyDescent="0.25">
      <c r="L68" s="2"/>
      <c r="M68" s="2"/>
    </row>
    <row r="69" spans="12:13" x14ac:dyDescent="0.25">
      <c r="L69" s="2"/>
      <c r="M69" s="2"/>
    </row>
    <row r="70" spans="12:13" x14ac:dyDescent="0.25">
      <c r="L70" s="2"/>
      <c r="M70" s="2"/>
    </row>
    <row r="71" spans="12:13" x14ac:dyDescent="0.25">
      <c r="L71" s="2"/>
      <c r="M71" s="2"/>
    </row>
    <row r="72" spans="12:13" x14ac:dyDescent="0.25">
      <c r="L72" s="2"/>
      <c r="M72" s="2"/>
    </row>
    <row r="73" spans="12:13" x14ac:dyDescent="0.25">
      <c r="L73" s="2"/>
      <c r="M73" s="2"/>
    </row>
    <row r="74" spans="12:13" x14ac:dyDescent="0.25">
      <c r="L74" s="2"/>
      <c r="M74" s="2"/>
    </row>
    <row r="75" spans="12:13" x14ac:dyDescent="0.25">
      <c r="L75" s="2"/>
      <c r="M75" s="2"/>
    </row>
  </sheetData>
  <printOptions gridLines="1" gridLinesSet="0"/>
  <pageMargins left="0.75" right="0.75" top="1" bottom="1" header="0.511811024" footer="0.511811024"/>
  <pageSetup orientation="portrait" horizontalDpi="300" r:id="rId1"/>
  <headerFooter alignWithMargins="0">
    <oddHeader>&amp;A</oddHead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4608-B996-4B39-9146-5DC3E96CC19B}">
  <dimension ref="A1:M41"/>
  <sheetViews>
    <sheetView zoomScale="80" workbookViewId="0">
      <selection activeCell="K22" sqref="K22"/>
    </sheetView>
  </sheetViews>
  <sheetFormatPr baseColWidth="10" defaultColWidth="11.453125" defaultRowHeight="12.5" x14ac:dyDescent="0.25"/>
  <cols>
    <col min="1" max="1" width="31.7265625" style="2" bestFit="1" customWidth="1"/>
    <col min="2" max="3" width="11.453125" style="2"/>
    <col min="4" max="4" width="12.7265625" style="2" bestFit="1" customWidth="1"/>
    <col min="5" max="5" width="12.26953125" style="2" bestFit="1" customWidth="1"/>
    <col min="6" max="6" width="31.7265625" style="2" bestFit="1" customWidth="1"/>
    <col min="7" max="8" width="11.453125" style="2"/>
    <col min="9" max="9" width="12.26953125" style="2" bestFit="1" customWidth="1"/>
    <col min="10" max="10" width="11.453125" style="2"/>
    <col min="11" max="11" width="12.26953125" style="2" bestFit="1" customWidth="1"/>
    <col min="12" max="16384" width="11.453125" style="2"/>
  </cols>
  <sheetData>
    <row r="1" spans="1:13" x14ac:dyDescent="0.25">
      <c r="A1" s="220" t="s">
        <v>27</v>
      </c>
      <c r="B1" s="220"/>
      <c r="C1" s="220"/>
      <c r="D1" s="220"/>
      <c r="E1" s="220"/>
      <c r="F1" s="220"/>
      <c r="G1" s="220"/>
      <c r="H1" s="220"/>
      <c r="I1" s="220"/>
    </row>
    <row r="2" spans="1:13" ht="21" customHeight="1" x14ac:dyDescent="0.25">
      <c r="A2" s="220"/>
      <c r="B2" s="220"/>
      <c r="C2" s="220"/>
      <c r="D2" s="220"/>
      <c r="E2" s="220"/>
      <c r="F2" s="220"/>
      <c r="G2" s="220"/>
      <c r="H2" s="220"/>
      <c r="I2" s="220"/>
    </row>
    <row r="3" spans="1:13" x14ac:dyDescent="0.25">
      <c r="A3" s="11"/>
      <c r="B3" s="11"/>
      <c r="C3" s="11"/>
      <c r="D3" s="11"/>
      <c r="E3" s="11"/>
      <c r="F3" s="11"/>
      <c r="G3" s="11"/>
      <c r="H3" s="11"/>
      <c r="I3" s="11"/>
    </row>
    <row r="4" spans="1:13" ht="18" x14ac:dyDescent="0.4">
      <c r="A4" s="221" t="s">
        <v>28</v>
      </c>
      <c r="B4" s="221"/>
      <c r="C4" s="221"/>
      <c r="D4" s="221"/>
      <c r="E4" s="221"/>
      <c r="F4" s="221"/>
      <c r="G4" s="221"/>
      <c r="H4" s="221"/>
      <c r="I4" s="221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13" ht="15.5" x14ac:dyDescent="0.35">
      <c r="A6" s="12"/>
      <c r="B6" s="12"/>
      <c r="C6" s="13" t="s">
        <v>29</v>
      </c>
      <c r="D6" s="14" t="s">
        <v>30</v>
      </c>
      <c r="E6" s="12"/>
      <c r="F6" s="12"/>
      <c r="G6" s="12"/>
      <c r="H6" s="12"/>
      <c r="I6" s="12"/>
    </row>
    <row r="7" spans="1:13" x14ac:dyDescent="0.25">
      <c r="A7" s="12"/>
      <c r="B7" s="12"/>
      <c r="C7" s="15"/>
      <c r="D7" s="12"/>
      <c r="E7" s="12"/>
      <c r="F7" s="12"/>
      <c r="G7" s="12"/>
      <c r="H7" s="12"/>
      <c r="I7" s="12"/>
    </row>
    <row r="8" spans="1:13" ht="14" x14ac:dyDescent="0.3">
      <c r="A8" s="12"/>
      <c r="B8" s="12"/>
      <c r="C8" s="12"/>
      <c r="D8" s="13" t="s">
        <v>31</v>
      </c>
      <c r="E8" s="16">
        <f>'[1]01 ACEL SIN MASA'!B55</f>
        <v>44595.423611111109</v>
      </c>
      <c r="F8" s="12"/>
      <c r="G8" s="12"/>
      <c r="H8" s="12"/>
      <c r="I8" s="12"/>
    </row>
    <row r="9" spans="1:13" ht="13" x14ac:dyDescent="0.3">
      <c r="A9" s="12"/>
      <c r="B9" s="12"/>
      <c r="C9" s="222" t="s">
        <v>17</v>
      </c>
      <c r="D9" s="222"/>
      <c r="E9" s="12"/>
      <c r="F9" s="12"/>
      <c r="G9" s="17"/>
      <c r="H9" s="17" t="s">
        <v>20</v>
      </c>
      <c r="I9" s="12"/>
    </row>
    <row r="10" spans="1:13" ht="18" x14ac:dyDescent="0.4">
      <c r="A10" s="12"/>
      <c r="B10" s="12"/>
      <c r="C10" s="223" t="s">
        <v>32</v>
      </c>
      <c r="D10" s="223"/>
      <c r="E10" s="12"/>
      <c r="F10" s="12"/>
      <c r="G10" s="18" t="s">
        <v>32</v>
      </c>
      <c r="H10" s="18"/>
      <c r="I10" s="12"/>
    </row>
    <row r="11" spans="1:13" x14ac:dyDescent="0.25">
      <c r="A11" s="12"/>
      <c r="B11" s="12"/>
      <c r="C11" s="15"/>
      <c r="D11" s="12"/>
      <c r="E11" s="12"/>
      <c r="F11" s="15"/>
      <c r="G11" s="12"/>
      <c r="H11" s="12"/>
      <c r="I11" s="12"/>
    </row>
    <row r="12" spans="1:13" ht="15.5" x14ac:dyDescent="0.35">
      <c r="A12" s="12"/>
      <c r="B12" s="12"/>
      <c r="C12" s="13" t="s">
        <v>33</v>
      </c>
      <c r="D12" s="19" t="s">
        <v>27</v>
      </c>
      <c r="E12" s="20"/>
      <c r="F12" s="12"/>
      <c r="G12" s="13" t="s">
        <v>33</v>
      </c>
      <c r="H12" s="21" t="s">
        <v>34</v>
      </c>
      <c r="I12" s="13"/>
      <c r="L12" s="22"/>
    </row>
    <row r="13" spans="1:13" ht="15.5" x14ac:dyDescent="0.35">
      <c r="A13" s="12"/>
      <c r="B13" s="12"/>
      <c r="C13" s="13" t="s">
        <v>35</v>
      </c>
      <c r="D13" s="21" t="s">
        <v>36</v>
      </c>
      <c r="E13" s="23"/>
      <c r="F13" s="12"/>
      <c r="G13" s="13" t="s">
        <v>35</v>
      </c>
      <c r="H13" s="21">
        <f>'[1]01 ACEL SIN MASA'!E2</f>
        <v>0</v>
      </c>
      <c r="I13" s="12"/>
    </row>
    <row r="14" spans="1:13" ht="15.5" x14ac:dyDescent="0.35">
      <c r="A14" s="12"/>
      <c r="B14" s="12"/>
      <c r="C14" s="13" t="s">
        <v>37</v>
      </c>
      <c r="D14" s="21" t="s">
        <v>38</v>
      </c>
      <c r="E14" s="20"/>
      <c r="F14" s="12"/>
      <c r="G14" s="13" t="s">
        <v>37</v>
      </c>
      <c r="H14" s="21">
        <f>'[1]01 ACEL SIN MASA'!F2</f>
        <v>0</v>
      </c>
      <c r="I14" s="12"/>
      <c r="K14" s="24"/>
      <c r="L14" s="25"/>
      <c r="M14" s="26"/>
    </row>
    <row r="15" spans="1:13" ht="15.5" x14ac:dyDescent="0.35">
      <c r="A15" s="12"/>
      <c r="B15" s="12"/>
      <c r="C15" s="13" t="s">
        <v>39</v>
      </c>
      <c r="D15" s="21">
        <v>1234</v>
      </c>
      <c r="E15" s="20"/>
      <c r="F15" s="12"/>
      <c r="G15" s="13" t="s">
        <v>39</v>
      </c>
      <c r="H15" s="21">
        <f>'[1]01 ACEL SIN MASA'!G2</f>
        <v>0</v>
      </c>
      <c r="I15" s="12"/>
    </row>
    <row r="16" spans="1:13" ht="15.5" x14ac:dyDescent="0.35">
      <c r="A16" s="12"/>
      <c r="B16" s="12"/>
      <c r="C16" s="13" t="s">
        <v>40</v>
      </c>
      <c r="D16" s="21">
        <f>'[1]01 ACEL SIN MASA'!E2</f>
        <v>0</v>
      </c>
      <c r="E16" s="20"/>
      <c r="F16" s="12"/>
      <c r="G16" s="13" t="s">
        <v>40</v>
      </c>
      <c r="H16" s="21">
        <f>'[1]01 ACEL SIN MASA'!H2</f>
        <v>0</v>
      </c>
      <c r="I16" s="12"/>
    </row>
    <row r="17" spans="1:11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11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11" ht="15.5" x14ac:dyDescent="0.35">
      <c r="A19" s="224" t="s">
        <v>41</v>
      </c>
      <c r="B19" s="224"/>
      <c r="C19" s="224"/>
      <c r="D19" s="224"/>
      <c r="E19" s="12"/>
      <c r="F19" s="27"/>
      <c r="G19" s="27" t="s">
        <v>41</v>
      </c>
      <c r="H19" s="27"/>
      <c r="I19" s="12"/>
    </row>
    <row r="20" spans="1:11" ht="15.5" x14ac:dyDescent="0.35">
      <c r="A20" s="12"/>
      <c r="B20" s="13" t="s">
        <v>35</v>
      </c>
      <c r="C20" s="19" t="s">
        <v>42</v>
      </c>
      <c r="D20" s="19"/>
      <c r="E20" s="12"/>
      <c r="F20" s="12"/>
      <c r="G20" s="13" t="s">
        <v>35</v>
      </c>
      <c r="H20" s="19"/>
      <c r="I20" s="12"/>
    </row>
    <row r="21" spans="1:11" ht="15.5" x14ac:dyDescent="0.35">
      <c r="A21" s="12"/>
      <c r="B21" s="13" t="s">
        <v>37</v>
      </c>
      <c r="C21" s="19">
        <v>4519</v>
      </c>
      <c r="D21" s="28"/>
      <c r="E21" s="12"/>
      <c r="F21" s="12"/>
      <c r="G21" s="13" t="s">
        <v>37</v>
      </c>
      <c r="H21" s="19"/>
      <c r="I21" s="12"/>
    </row>
    <row r="22" spans="1:11" ht="15.5" x14ac:dyDescent="0.35">
      <c r="A22" s="12"/>
      <c r="B22" s="13" t="s">
        <v>39</v>
      </c>
      <c r="C22" s="19">
        <v>61101</v>
      </c>
      <c r="D22" s="28"/>
      <c r="E22" s="12"/>
      <c r="F22" s="12"/>
      <c r="G22" s="13" t="s">
        <v>39</v>
      </c>
      <c r="H22" s="19"/>
      <c r="I22" s="12"/>
    </row>
    <row r="23" spans="1:11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11" x14ac:dyDescent="0.25">
      <c r="A24" s="12"/>
      <c r="B24" s="12"/>
      <c r="C24" s="12"/>
      <c r="D24" s="12"/>
      <c r="E24" s="12"/>
      <c r="F24" s="12"/>
      <c r="G24" s="12"/>
      <c r="H24" s="12"/>
      <c r="I24" s="12"/>
    </row>
    <row r="25" spans="1:11" ht="15.5" x14ac:dyDescent="0.35">
      <c r="A25" s="7" t="s">
        <v>43</v>
      </c>
      <c r="B25" s="7" t="s">
        <v>44</v>
      </c>
      <c r="C25" s="29">
        <v>11.35</v>
      </c>
      <c r="D25" s="30" t="s">
        <v>45</v>
      </c>
      <c r="E25" s="12"/>
      <c r="F25" s="31" t="s">
        <v>43</v>
      </c>
      <c r="G25" s="31" t="s">
        <v>44</v>
      </c>
      <c r="H25" s="29">
        <v>11.35</v>
      </c>
      <c r="I25" s="30" t="s">
        <v>45</v>
      </c>
    </row>
    <row r="26" spans="1:11" ht="15.5" x14ac:dyDescent="0.35">
      <c r="A26" s="7" t="s">
        <v>46</v>
      </c>
      <c r="B26" s="7" t="s">
        <v>47</v>
      </c>
      <c r="C26" s="32">
        <v>42.3</v>
      </c>
      <c r="D26" s="30" t="s">
        <v>45</v>
      </c>
      <c r="E26" s="12"/>
      <c r="F26" s="31" t="s">
        <v>46</v>
      </c>
      <c r="G26" s="31" t="s">
        <v>47</v>
      </c>
      <c r="H26" s="32">
        <v>42.4</v>
      </c>
      <c r="I26" s="30" t="s">
        <v>45</v>
      </c>
      <c r="K26" s="33"/>
    </row>
    <row r="27" spans="1:11" ht="15.5" x14ac:dyDescent="0.35">
      <c r="A27" s="7" t="s">
        <v>48</v>
      </c>
      <c r="B27" s="7" t="s">
        <v>49</v>
      </c>
      <c r="C27" s="29">
        <v>84.8</v>
      </c>
      <c r="D27" s="30" t="s">
        <v>45</v>
      </c>
      <c r="E27" s="12"/>
      <c r="F27" s="31" t="s">
        <v>48</v>
      </c>
      <c r="G27" s="31" t="s">
        <v>49</v>
      </c>
      <c r="H27" s="29">
        <v>84.8</v>
      </c>
      <c r="I27" s="30" t="s">
        <v>45</v>
      </c>
    </row>
    <row r="28" spans="1:11" ht="15.5" x14ac:dyDescent="0.35">
      <c r="A28" s="7" t="s">
        <v>50</v>
      </c>
      <c r="B28" s="7" t="s">
        <v>51</v>
      </c>
      <c r="C28" s="32"/>
      <c r="D28" s="30" t="s">
        <v>45</v>
      </c>
      <c r="E28" s="12"/>
      <c r="F28" s="31" t="s">
        <v>50</v>
      </c>
      <c r="G28" s="31" t="s">
        <v>51</v>
      </c>
      <c r="H28" s="32"/>
      <c r="I28" s="30" t="s">
        <v>45</v>
      </c>
      <c r="J28" s="33"/>
    </row>
    <row r="29" spans="1:11" ht="16" x14ac:dyDescent="0.4">
      <c r="A29" s="7" t="s">
        <v>52</v>
      </c>
      <c r="B29" s="7" t="s">
        <v>53</v>
      </c>
      <c r="C29" s="32">
        <v>0.7</v>
      </c>
      <c r="D29" s="30" t="s">
        <v>45</v>
      </c>
      <c r="E29" s="12"/>
      <c r="F29" s="31" t="s">
        <v>52</v>
      </c>
      <c r="G29" s="31" t="s">
        <v>53</v>
      </c>
      <c r="H29" s="32">
        <v>0.4</v>
      </c>
      <c r="I29" s="30" t="s">
        <v>45</v>
      </c>
    </row>
    <row r="30" spans="1:11" ht="16" x14ac:dyDescent="0.4">
      <c r="A30" s="7" t="s">
        <v>54</v>
      </c>
      <c r="B30" s="7" t="s">
        <v>55</v>
      </c>
      <c r="C30" s="32">
        <v>1.2</v>
      </c>
      <c r="D30" s="30" t="s">
        <v>45</v>
      </c>
      <c r="E30" s="12"/>
      <c r="F30" s="31" t="s">
        <v>54</v>
      </c>
      <c r="G30" s="31" t="s">
        <v>55</v>
      </c>
      <c r="H30" s="32">
        <v>0.9</v>
      </c>
      <c r="I30" s="30" t="s">
        <v>45</v>
      </c>
    </row>
    <row r="31" spans="1:11" ht="15.5" x14ac:dyDescent="0.35">
      <c r="A31" s="7" t="s">
        <v>56</v>
      </c>
      <c r="B31" s="7" t="s">
        <v>57</v>
      </c>
      <c r="C31" s="32">
        <v>1.2</v>
      </c>
      <c r="D31" s="30" t="s">
        <v>45</v>
      </c>
      <c r="E31" s="12"/>
      <c r="F31" s="31" t="s">
        <v>56</v>
      </c>
      <c r="G31" s="31" t="s">
        <v>57</v>
      </c>
      <c r="H31" s="32">
        <v>0.9</v>
      </c>
      <c r="I31" s="30" t="s">
        <v>45</v>
      </c>
    </row>
    <row r="32" spans="1:11" ht="16" x14ac:dyDescent="0.4">
      <c r="A32" s="7" t="s">
        <v>52</v>
      </c>
      <c r="B32" s="7" t="s">
        <v>58</v>
      </c>
      <c r="C32" s="34"/>
      <c r="D32" s="35"/>
      <c r="E32" s="12"/>
      <c r="F32" s="31" t="s">
        <v>52</v>
      </c>
      <c r="G32" s="31" t="s">
        <v>58</v>
      </c>
      <c r="H32" s="34"/>
      <c r="I32" s="35"/>
    </row>
    <row r="33" spans="1:9" x14ac:dyDescent="0.25">
      <c r="A33" s="36" t="s">
        <v>59</v>
      </c>
      <c r="B33" s="37" t="s">
        <v>60</v>
      </c>
      <c r="C33" s="37" t="s">
        <v>61</v>
      </c>
      <c r="D33" s="37" t="s">
        <v>62</v>
      </c>
      <c r="E33" s="12"/>
      <c r="F33" s="36" t="s">
        <v>59</v>
      </c>
      <c r="G33" s="37" t="s">
        <v>60</v>
      </c>
      <c r="H33" s="37" t="s">
        <v>61</v>
      </c>
      <c r="I33" s="37" t="s">
        <v>62</v>
      </c>
    </row>
    <row r="34" spans="1:9" x14ac:dyDescent="0.25">
      <c r="A34" s="38">
        <f>C25+C29</f>
        <v>12.049999999999999</v>
      </c>
      <c r="B34" s="39">
        <f>C26+C29+C25+C30</f>
        <v>55.550000000000004</v>
      </c>
      <c r="C34" s="39">
        <f>C30+C25+C27+C29</f>
        <v>98.05</v>
      </c>
      <c r="D34" s="39">
        <f>C31+C25+C30+C27+C29+C26</f>
        <v>141.55000000000001</v>
      </c>
      <c r="E34" s="12"/>
      <c r="F34" s="38">
        <f>H25+H30</f>
        <v>12.25</v>
      </c>
      <c r="G34" s="39">
        <f>H26+H29+H25+H30</f>
        <v>55.05</v>
      </c>
      <c r="H34" s="39">
        <f>H30+H25+H27+H29</f>
        <v>97.45</v>
      </c>
      <c r="I34" s="39">
        <f>H31+H25+H30+H29+H26+H27</f>
        <v>140.75</v>
      </c>
    </row>
    <row r="35" spans="1:9" x14ac:dyDescent="0.25">
      <c r="A35" s="12"/>
      <c r="B35" s="12"/>
      <c r="C35" s="40"/>
      <c r="D35" s="12"/>
      <c r="E35" s="12"/>
      <c r="F35" s="12"/>
      <c r="G35" s="40"/>
      <c r="H35" s="12"/>
      <c r="I35" s="12"/>
    </row>
    <row r="36" spans="1:9" ht="15.5" x14ac:dyDescent="0.35">
      <c r="A36" s="12"/>
      <c r="B36" s="12"/>
      <c r="C36" s="40"/>
      <c r="D36" s="13" t="s">
        <v>63</v>
      </c>
      <c r="E36" s="41">
        <f>'[1]01 ACEL SIN MASA'!A4</f>
        <v>19.22</v>
      </c>
      <c r="F36" s="42" t="s">
        <v>64</v>
      </c>
      <c r="G36" s="40"/>
      <c r="H36" s="40"/>
      <c r="I36" s="12"/>
    </row>
    <row r="37" spans="1:9" ht="15.5" x14ac:dyDescent="0.35">
      <c r="A37" s="12"/>
      <c r="B37" s="12"/>
      <c r="C37" s="40"/>
      <c r="D37" s="13" t="s">
        <v>65</v>
      </c>
      <c r="E37" s="41">
        <f>'[1]01 ACEL SIN MASA'!B4</f>
        <v>42.42</v>
      </c>
      <c r="F37" s="17" t="s">
        <v>66</v>
      </c>
      <c r="G37" s="40"/>
      <c r="H37" s="12"/>
      <c r="I37" s="12"/>
    </row>
    <row r="38" spans="1:9" x14ac:dyDescent="0.25">
      <c r="A38" s="12"/>
      <c r="B38" s="12"/>
      <c r="C38" s="12"/>
      <c r="D38" s="12"/>
      <c r="E38" s="12"/>
      <c r="F38" s="12"/>
      <c r="G38" s="12"/>
      <c r="H38" s="12"/>
      <c r="I38" s="12"/>
    </row>
    <row r="39" spans="1:9" x14ac:dyDescent="0.25">
      <c r="A39" s="12"/>
      <c r="B39" s="12"/>
      <c r="C39" s="12"/>
      <c r="D39" s="12"/>
      <c r="E39" s="12"/>
      <c r="F39" s="12"/>
      <c r="G39" s="12"/>
      <c r="H39" s="12"/>
      <c r="I39" s="12"/>
    </row>
    <row r="40" spans="1:9" x14ac:dyDescent="0.25">
      <c r="A40" s="12"/>
      <c r="B40" s="12"/>
      <c r="C40" s="12"/>
      <c r="D40" s="12"/>
      <c r="E40" s="12"/>
      <c r="F40" s="12"/>
      <c r="G40" s="12"/>
      <c r="H40" s="12"/>
      <c r="I40" s="12"/>
    </row>
    <row r="41" spans="1:9" x14ac:dyDescent="0.25">
      <c r="A41" s="12"/>
      <c r="B41" s="12"/>
      <c r="C41" s="12"/>
      <c r="D41" s="12"/>
      <c r="E41" s="12"/>
      <c r="F41" s="12"/>
      <c r="G41" s="12"/>
      <c r="H41" s="12"/>
      <c r="I41" s="12"/>
    </row>
  </sheetData>
  <mergeCells count="5">
    <mergeCell ref="A1:I2"/>
    <mergeCell ref="A4:I4"/>
    <mergeCell ref="C9:D9"/>
    <mergeCell ref="C10:D10"/>
    <mergeCell ref="A19:D19"/>
  </mergeCell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1933E-681F-411C-95EF-94DE1295206F}">
  <dimension ref="A1:CD59"/>
  <sheetViews>
    <sheetView tabSelected="1" workbookViewId="0">
      <selection activeCell="U11" sqref="U11"/>
    </sheetView>
  </sheetViews>
  <sheetFormatPr baseColWidth="10" defaultColWidth="11.453125" defaultRowHeight="12.5" x14ac:dyDescent="0.25"/>
  <cols>
    <col min="1" max="1" width="24.7265625" style="2" customWidth="1"/>
    <col min="2" max="2" width="13" style="2" customWidth="1"/>
    <col min="3" max="3" width="9.54296875" style="2" bestFit="1" customWidth="1"/>
    <col min="4" max="4" width="14" style="2" customWidth="1"/>
    <col min="5" max="5" width="15.1796875" style="2" customWidth="1"/>
    <col min="6" max="6" width="14" style="2" customWidth="1"/>
    <col min="7" max="7" width="21.81640625" style="2" customWidth="1"/>
    <col min="8" max="8" width="11.26953125" style="2" customWidth="1"/>
    <col min="9" max="9" width="18.453125" style="2" customWidth="1"/>
    <col min="10" max="10" width="14" style="2" customWidth="1"/>
    <col min="11" max="11" width="23.7265625" style="2" bestFit="1" customWidth="1"/>
    <col min="12" max="12" width="11.453125" style="2"/>
    <col min="13" max="13" width="15.453125" style="2" customWidth="1"/>
    <col min="14" max="14" width="11.453125" style="2"/>
    <col min="15" max="15" width="14.26953125" style="2" customWidth="1"/>
    <col min="16" max="16" width="11.453125" style="2"/>
    <col min="17" max="17" width="13" style="2" bestFit="1" customWidth="1"/>
    <col min="18" max="20" width="11.453125" style="2"/>
    <col min="21" max="21" width="23.54296875" style="2" bestFit="1" customWidth="1"/>
    <col min="22" max="22" width="14.1796875" style="2" customWidth="1"/>
    <col min="23" max="24" width="15.453125" style="2" customWidth="1"/>
    <col min="25" max="25" width="16.26953125" style="2" customWidth="1"/>
    <col min="26" max="30" width="11.453125" style="2"/>
    <col min="31" max="31" width="17.54296875" style="2" customWidth="1"/>
    <col min="32" max="32" width="14.81640625" style="2" customWidth="1"/>
    <col min="33" max="33" width="24.81640625" style="2" customWidth="1"/>
    <col min="34" max="34" width="11.453125" style="2"/>
    <col min="35" max="35" width="14.453125" style="2" customWidth="1"/>
    <col min="36" max="36" width="15.1796875" style="2" customWidth="1"/>
    <col min="37" max="37" width="15.81640625" style="2" customWidth="1"/>
    <col min="38" max="38" width="12.26953125" style="2" customWidth="1"/>
    <col min="39" max="40" width="13.7265625" style="2" customWidth="1"/>
    <col min="41" max="41" width="11.453125" style="2"/>
    <col min="42" max="42" width="14.453125" style="2" customWidth="1"/>
    <col min="43" max="44" width="11.453125" style="2"/>
    <col min="45" max="45" width="16.26953125" style="2" customWidth="1"/>
    <col min="46" max="54" width="11.453125" style="2"/>
    <col min="55" max="58" width="13.7265625" style="2" customWidth="1"/>
    <col min="59" max="62" width="11.453125" style="2"/>
    <col min="63" max="63" width="11.453125" style="2" customWidth="1"/>
    <col min="64" max="64" width="14.453125" style="2" customWidth="1"/>
    <col min="65" max="72" width="11.453125" style="2"/>
    <col min="73" max="75" width="17" style="2" customWidth="1"/>
    <col min="76" max="76" width="21.54296875" style="2" customWidth="1"/>
    <col min="77" max="79" width="11.453125" style="2"/>
    <col min="80" max="80" width="17.453125" style="2" customWidth="1"/>
    <col min="81" max="81" width="11.453125" style="2"/>
    <col min="82" max="82" width="16" style="2" customWidth="1"/>
    <col min="83" max="16384" width="11.453125" style="2"/>
  </cols>
  <sheetData>
    <row r="1" spans="1:82" ht="18" thickBot="1" x14ac:dyDescent="0.3">
      <c r="A1" s="43" t="s">
        <v>188</v>
      </c>
      <c r="B1" s="44"/>
      <c r="C1" s="44"/>
      <c r="D1" s="44"/>
      <c r="E1" s="44"/>
      <c r="F1" s="44"/>
      <c r="G1" s="44"/>
      <c r="I1" s="293" t="s">
        <v>68</v>
      </c>
      <c r="J1" s="293"/>
      <c r="K1" s="293"/>
      <c r="L1" s="293"/>
      <c r="M1" s="293"/>
      <c r="N1" s="293"/>
      <c r="O1" s="293"/>
      <c r="P1" s="293"/>
      <c r="Q1" s="293"/>
      <c r="S1" s="254" t="s">
        <v>69</v>
      </c>
      <c r="T1" s="254"/>
      <c r="U1" s="254"/>
      <c r="V1" s="254"/>
      <c r="W1" s="254"/>
      <c r="X1" s="254"/>
      <c r="Y1" s="254"/>
      <c r="Z1" s="254"/>
      <c r="AA1" s="254"/>
      <c r="AC1" s="294" t="s">
        <v>70</v>
      </c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</row>
    <row r="2" spans="1:82" ht="18.75" customHeight="1" thickTop="1" thickBot="1" x14ac:dyDescent="0.3">
      <c r="A2" s="256" t="s">
        <v>72</v>
      </c>
      <c r="B2" s="256" t="s">
        <v>73</v>
      </c>
      <c r="C2" s="303" t="s">
        <v>190</v>
      </c>
      <c r="D2" s="303" t="s">
        <v>191</v>
      </c>
      <c r="E2" s="303" t="s">
        <v>192</v>
      </c>
      <c r="F2" s="303" t="s">
        <v>193</v>
      </c>
      <c r="G2" s="303" t="s">
        <v>194</v>
      </c>
      <c r="H2" s="76"/>
      <c r="I2" s="246" t="s">
        <v>184</v>
      </c>
      <c r="J2" s="246" t="s">
        <v>185</v>
      </c>
      <c r="K2" s="246" t="s">
        <v>79</v>
      </c>
      <c r="L2" s="240" t="s">
        <v>80</v>
      </c>
      <c r="M2" s="242" t="s">
        <v>81</v>
      </c>
      <c r="N2" s="291" t="s">
        <v>186</v>
      </c>
      <c r="O2" s="240" t="s">
        <v>187</v>
      </c>
      <c r="P2" s="246" t="s">
        <v>83</v>
      </c>
      <c r="Q2" s="248" t="s">
        <v>84</v>
      </c>
      <c r="S2" s="295" t="s">
        <v>85</v>
      </c>
      <c r="T2" s="297" t="s">
        <v>185</v>
      </c>
      <c r="U2" s="232" t="s">
        <v>79</v>
      </c>
      <c r="V2" s="232" t="s">
        <v>80</v>
      </c>
      <c r="W2" s="232" t="s">
        <v>81</v>
      </c>
      <c r="X2" s="299" t="s">
        <v>189</v>
      </c>
      <c r="Y2" s="301" t="s">
        <v>187</v>
      </c>
      <c r="Z2" s="236" t="s">
        <v>83</v>
      </c>
      <c r="AA2" s="238" t="s">
        <v>84</v>
      </c>
      <c r="AC2" s="225" t="s">
        <v>195</v>
      </c>
      <c r="AD2" s="225" t="s">
        <v>196</v>
      </c>
      <c r="AE2" s="225" t="s">
        <v>85</v>
      </c>
      <c r="AF2" s="308" t="s">
        <v>197</v>
      </c>
      <c r="AG2" s="306" t="s">
        <v>185</v>
      </c>
      <c r="AH2" s="225" t="s">
        <v>198</v>
      </c>
      <c r="AI2" s="311" t="s">
        <v>199</v>
      </c>
      <c r="AJ2" s="313" t="s">
        <v>200</v>
      </c>
      <c r="AK2" s="315" t="s">
        <v>201</v>
      </c>
      <c r="AL2" s="311" t="s">
        <v>202</v>
      </c>
      <c r="AM2" s="313" t="s">
        <v>203</v>
      </c>
      <c r="AN2" s="315" t="s">
        <v>204</v>
      </c>
      <c r="AO2" s="225" t="s">
        <v>91</v>
      </c>
      <c r="AP2" s="225" t="s">
        <v>80</v>
      </c>
      <c r="AQ2" s="225" t="s">
        <v>92</v>
      </c>
      <c r="AR2" s="225" t="s">
        <v>187</v>
      </c>
      <c r="AS2" s="225" t="s">
        <v>83</v>
      </c>
      <c r="AT2" s="225" t="s">
        <v>84</v>
      </c>
      <c r="AU2" s="45"/>
      <c r="AV2" s="46"/>
      <c r="AW2" s="46"/>
      <c r="AX2" s="46"/>
      <c r="AY2" s="46"/>
      <c r="AZ2" s="46"/>
      <c r="BA2" s="46"/>
      <c r="BB2" s="46"/>
      <c r="BC2" s="46"/>
      <c r="BD2" s="45"/>
      <c r="BE2" s="46"/>
      <c r="BF2" s="46"/>
      <c r="BG2" s="46"/>
      <c r="BH2" s="46"/>
      <c r="BI2" s="46"/>
      <c r="BJ2" s="46"/>
      <c r="BK2" s="46"/>
      <c r="BL2" s="46"/>
      <c r="BM2" s="45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</row>
    <row r="3" spans="1:82" ht="18.75" customHeight="1" thickTop="1" thickBot="1" x14ac:dyDescent="0.3">
      <c r="A3" s="256"/>
      <c r="B3" s="256"/>
      <c r="C3" s="304"/>
      <c r="D3" s="304"/>
      <c r="E3" s="304"/>
      <c r="F3" s="304"/>
      <c r="G3" s="304"/>
      <c r="H3" s="76"/>
      <c r="I3" s="290"/>
      <c r="J3" s="247"/>
      <c r="K3" s="247"/>
      <c r="L3" s="241"/>
      <c r="M3" s="243"/>
      <c r="N3" s="292"/>
      <c r="O3" s="241"/>
      <c r="P3" s="247"/>
      <c r="Q3" s="241"/>
      <c r="S3" s="296"/>
      <c r="T3" s="298"/>
      <c r="U3" s="233"/>
      <c r="V3" s="233"/>
      <c r="W3" s="233"/>
      <c r="X3" s="300"/>
      <c r="Y3" s="302"/>
      <c r="Z3" s="237"/>
      <c r="AA3" s="239"/>
      <c r="AC3" s="305"/>
      <c r="AD3" s="305"/>
      <c r="AE3" s="305"/>
      <c r="AF3" s="309"/>
      <c r="AG3" s="307"/>
      <c r="AH3" s="305"/>
      <c r="AI3" s="312"/>
      <c r="AJ3" s="314"/>
      <c r="AK3" s="316"/>
      <c r="AL3" s="312"/>
      <c r="AM3" s="317"/>
      <c r="AN3" s="318"/>
      <c r="AO3" s="226"/>
      <c r="AP3" s="226"/>
      <c r="AQ3" s="226"/>
      <c r="AR3" s="310"/>
      <c r="AS3" s="226"/>
      <c r="AT3" s="226"/>
      <c r="AU3" s="45"/>
      <c r="AV3" s="46"/>
      <c r="AW3" s="46"/>
      <c r="AX3" s="46"/>
      <c r="AY3" s="46"/>
      <c r="AZ3" s="46"/>
      <c r="BA3" s="46"/>
      <c r="BB3" s="46"/>
      <c r="BC3" s="46"/>
      <c r="BD3" s="45"/>
      <c r="BE3" s="46"/>
      <c r="BF3" s="46"/>
      <c r="BG3" s="46"/>
      <c r="BH3" s="46"/>
      <c r="BI3" s="46"/>
      <c r="BJ3" s="46"/>
      <c r="BK3" s="46"/>
      <c r="BL3" s="46"/>
      <c r="BM3" s="45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</row>
    <row r="4" spans="1:82" ht="18.75" customHeight="1" thickTop="1" thickBot="1" x14ac:dyDescent="0.4">
      <c r="A4" s="72" t="s">
        <v>111</v>
      </c>
      <c r="B4" s="72">
        <v>160</v>
      </c>
      <c r="C4" s="72">
        <f>'[1]ACEL TRANSVERSAL'!A8</f>
        <v>18.473261999999998</v>
      </c>
      <c r="D4" s="72">
        <f>'[1]ACEL TRANSVERSAL'!A9</f>
        <v>2.3599350000000001</v>
      </c>
      <c r="E4" s="73">
        <v>1.0669999999999999</v>
      </c>
      <c r="F4" s="74">
        <v>99.95</v>
      </c>
      <c r="G4" s="75">
        <f>AD4/(E4*F4)</f>
        <v>0.17318070902905999</v>
      </c>
      <c r="H4" s="76"/>
      <c r="I4" s="99">
        <v>0.5</v>
      </c>
      <c r="J4" s="101">
        <v>2</v>
      </c>
      <c r="K4" s="77">
        <f>E4*I4/J4/100</f>
        <v>2.6674999999999997E-3</v>
      </c>
      <c r="L4" s="78">
        <f>(C4/(F4*E4^2))</f>
        <v>0.16234239638350317</v>
      </c>
      <c r="M4" s="102">
        <f>K4*L4</f>
        <v>4.3304834235299465E-4</v>
      </c>
      <c r="N4" s="79">
        <v>3</v>
      </c>
      <c r="O4" s="103">
        <f>(1/2)*((K4)/(N4*K4/100))^2</f>
        <v>555.55555555555566</v>
      </c>
      <c r="P4" s="102">
        <f>M4^4/O4</f>
        <v>6.3302086814875038E-17</v>
      </c>
      <c r="Q4" s="104">
        <f>M4^2</f>
        <v>1.8753086681467645E-7</v>
      </c>
      <c r="S4" s="80">
        <v>0.05</v>
      </c>
      <c r="T4" s="106">
        <v>2</v>
      </c>
      <c r="U4" s="81">
        <f>F4*S4/T4/100</f>
        <v>2.4987500000000003E-2</v>
      </c>
      <c r="V4" s="82">
        <f>(C4/(E4*F4^2))</f>
        <v>1.7330598993616593E-3</v>
      </c>
      <c r="W4" s="107">
        <f>U4*V4</f>
        <v>4.3304834235299463E-5</v>
      </c>
      <c r="X4" s="108">
        <v>10</v>
      </c>
      <c r="Y4" s="109">
        <f>(1/2)*((U4)/(X4*U4/100))^2</f>
        <v>50</v>
      </c>
      <c r="Z4" s="110">
        <f>W4^4/Y4</f>
        <v>7.0335652016527839E-20</v>
      </c>
      <c r="AA4" s="111">
        <f>W4^2</f>
        <v>1.8753086681467646E-9</v>
      </c>
      <c r="AC4" s="112">
        <v>0.223</v>
      </c>
      <c r="AD4" s="112">
        <f>C4-(C4*AC4/1000)</f>
        <v>18.469142462573998</v>
      </c>
      <c r="AE4" s="113">
        <v>27</v>
      </c>
      <c r="AF4" s="114" t="s">
        <v>113</v>
      </c>
      <c r="AG4" s="115">
        <v>2</v>
      </c>
      <c r="AH4" s="116">
        <f>(AD4/2/1000000)*AE4</f>
        <v>2.4933342324474895E-4</v>
      </c>
      <c r="AI4" s="117">
        <v>2</v>
      </c>
      <c r="AJ4" s="118">
        <v>1E-3</v>
      </c>
      <c r="AK4" s="119">
        <f>AJ4/SQRT(12)</f>
        <v>2.886751345948129E-4</v>
      </c>
      <c r="AL4" s="117" t="s">
        <v>114</v>
      </c>
      <c r="AM4" s="86">
        <v>40</v>
      </c>
      <c r="AN4" s="85">
        <f>(D4/SQRT(AM4))</f>
        <v>0.37313848649747322</v>
      </c>
      <c r="AO4" s="120">
        <f>SQRT(AH4^2+AK4^2+AN4^2)</f>
        <v>0.37313868146590518</v>
      </c>
      <c r="AP4" s="87">
        <f>-(1/(E4*F4))</f>
        <v>-9.3767596075451046E-3</v>
      </c>
      <c r="AQ4" s="121">
        <f>AP4*AO4</f>
        <v>-3.4988317163821389E-3</v>
      </c>
      <c r="AR4" s="122">
        <f>AM4-1</f>
        <v>39</v>
      </c>
      <c r="AS4" s="121">
        <f>AQ4^4/AR4</f>
        <v>3.8426215296507851E-12</v>
      </c>
      <c r="AT4" s="123">
        <f>AQ4^2</f>
        <v>1.2241823379561584E-5</v>
      </c>
      <c r="AU4" s="45"/>
      <c r="AV4" s="46"/>
      <c r="AW4" s="46"/>
      <c r="AX4" s="46"/>
      <c r="AY4" s="46"/>
      <c r="AZ4" s="46"/>
      <c r="BA4" s="46"/>
      <c r="BB4" s="46"/>
      <c r="BC4" s="46"/>
      <c r="BD4" s="45"/>
      <c r="BE4" s="46"/>
      <c r="BF4" s="46"/>
      <c r="BG4" s="46"/>
      <c r="BH4" s="46"/>
      <c r="BI4" s="46"/>
      <c r="BJ4" s="46"/>
      <c r="BK4" s="46"/>
      <c r="BL4" s="46"/>
      <c r="BM4" s="45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</row>
    <row r="5" spans="1:82" ht="18.75" customHeight="1" thickTop="1" thickBot="1" x14ac:dyDescent="0.4">
      <c r="A5" s="72" t="s">
        <v>112</v>
      </c>
      <c r="B5" s="72">
        <v>160</v>
      </c>
      <c r="C5" s="72">
        <f>'[1]ACEL TRANSVERSAL'!D8</f>
        <v>2.086668</v>
      </c>
      <c r="D5" s="72">
        <f>'[1]ACEL TRANSVERSAL'!D9</f>
        <v>1.5793999999999999E-2</v>
      </c>
      <c r="E5" s="73">
        <v>1.042</v>
      </c>
      <c r="F5" s="74">
        <f>$F$4</f>
        <v>99.95</v>
      </c>
      <c r="G5" s="75">
        <v>0.17</v>
      </c>
      <c r="I5" s="99">
        <v>0.5</v>
      </c>
      <c r="J5" s="101">
        <v>2</v>
      </c>
      <c r="K5" s="77">
        <f>E5*I5/J5/100</f>
        <v>2.6050000000000001E-3</v>
      </c>
      <c r="L5" s="78">
        <f>(C5/(F5*E5^2))</f>
        <v>1.9228044546770417E-2</v>
      </c>
      <c r="M5" s="102">
        <f>K5*L5</f>
        <v>5.0089056044336938E-5</v>
      </c>
      <c r="N5" s="79">
        <v>3</v>
      </c>
      <c r="O5" s="103">
        <f>(1/2)*((K5)/(N5*K5/100))^2</f>
        <v>555.55555555555566</v>
      </c>
      <c r="P5" s="102">
        <f>M5^4/O5</f>
        <v>1.1330364830718935E-20</v>
      </c>
      <c r="Q5" s="104">
        <f>M5^2</f>
        <v>2.5089135354127266E-9</v>
      </c>
      <c r="S5" s="80">
        <v>0.05</v>
      </c>
      <c r="T5" s="106">
        <v>2</v>
      </c>
      <c r="U5" s="81">
        <f>F5*S5/T5/100</f>
        <v>2.4987500000000003E-2</v>
      </c>
      <c r="V5" s="82">
        <f>(C5/(E5*F5^2))</f>
        <v>2.0045645240354952E-4</v>
      </c>
      <c r="W5" s="107">
        <f>U5*V5</f>
        <v>5.0089056044336944E-6</v>
      </c>
      <c r="X5" s="108">
        <v>10</v>
      </c>
      <c r="Y5" s="109">
        <f>(1/2)*((U5)/(X5*U5/100))^2</f>
        <v>50</v>
      </c>
      <c r="Z5" s="110">
        <f>W5^4/Y5</f>
        <v>1.2589294256354382E-23</v>
      </c>
      <c r="AA5" s="111">
        <f>W5^2</f>
        <v>2.5089135354127273E-11</v>
      </c>
      <c r="AC5" s="112">
        <v>0.223</v>
      </c>
      <c r="AD5" s="112">
        <f>C5-(C5*AC5/1000)</f>
        <v>2.0862026730359999</v>
      </c>
      <c r="AE5" s="113">
        <v>27</v>
      </c>
      <c r="AF5" s="124" t="s">
        <v>113</v>
      </c>
      <c r="AG5" s="84">
        <v>2</v>
      </c>
      <c r="AH5" s="116">
        <f t="shared" ref="AH5" si="0">(AD5/2/1000000)*AE5</f>
        <v>2.8163736085986002E-5</v>
      </c>
      <c r="AI5" s="117">
        <v>2</v>
      </c>
      <c r="AJ5" s="125">
        <v>1E-3</v>
      </c>
      <c r="AK5" s="116">
        <f>AJ5/SQRT(12)</f>
        <v>2.886751345948129E-4</v>
      </c>
      <c r="AL5" s="117" t="s">
        <v>114</v>
      </c>
      <c r="AM5" s="86">
        <v>40</v>
      </c>
      <c r="AN5" s="85">
        <f>(D5/SQRT(AM5))</f>
        <v>2.497250668234969E-3</v>
      </c>
      <c r="AO5" s="126">
        <f>SQRT(AH5^2+AK5^2+AN5^2)</f>
        <v>2.5140380723775156E-3</v>
      </c>
      <c r="AP5" s="87">
        <f>-(1/(E5*F5))</f>
        <v>-9.6017298476493516E-3</v>
      </c>
      <c r="AQ5" s="127">
        <f>AP5*AO5</f>
        <v>-2.4139114397674033E-5</v>
      </c>
      <c r="AR5" s="128">
        <f>AM5-1</f>
        <v>39</v>
      </c>
      <c r="AS5" s="127">
        <f>AQ5^4/AR5</f>
        <v>8.706041330658342E-21</v>
      </c>
      <c r="AT5" s="129">
        <f>AQ5^2</f>
        <v>5.8269684390399383E-10</v>
      </c>
      <c r="AU5" s="45"/>
      <c r="AV5" s="46"/>
      <c r="AW5" s="46"/>
      <c r="AX5" s="46"/>
      <c r="AY5" s="46"/>
      <c r="AZ5" s="46"/>
      <c r="BA5" s="46"/>
      <c r="BB5" s="46"/>
      <c r="BC5" s="46"/>
      <c r="BD5" s="45"/>
      <c r="BE5" s="46"/>
      <c r="BF5" s="46"/>
      <c r="BG5" s="46"/>
      <c r="BH5" s="46"/>
      <c r="BI5" s="46"/>
      <c r="BJ5" s="46"/>
      <c r="BK5" s="46"/>
      <c r="BL5" s="46"/>
      <c r="BM5" s="45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82" ht="18.75" customHeight="1" thickTop="1" x14ac:dyDescent="0.35">
      <c r="A6" s="76"/>
      <c r="B6" s="76"/>
      <c r="C6" s="76"/>
      <c r="D6" s="76"/>
      <c r="E6" s="76"/>
      <c r="F6" s="76"/>
      <c r="G6" s="76"/>
      <c r="H6" s="131"/>
      <c r="AX6" s="45"/>
      <c r="AY6" s="46"/>
      <c r="AZ6" s="46"/>
      <c r="BA6" s="46"/>
      <c r="BB6" s="46"/>
      <c r="BC6" s="46"/>
      <c r="BD6" s="46"/>
      <c r="BE6" s="46"/>
      <c r="BF6" s="46"/>
      <c r="BG6" s="45"/>
      <c r="BH6" s="46"/>
      <c r="BI6" s="46"/>
      <c r="BJ6" s="46"/>
      <c r="BK6" s="46"/>
      <c r="BL6" s="46"/>
      <c r="BM6" s="46"/>
      <c r="BN6" s="46"/>
      <c r="BO6" s="46"/>
      <c r="BP6" s="45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</row>
    <row r="7" spans="1:82" ht="18.75" customHeight="1" x14ac:dyDescent="0.25">
      <c r="H7" s="130"/>
      <c r="I7" s="130"/>
      <c r="J7" s="76"/>
      <c r="AF7" s="132"/>
      <c r="AG7" s="33"/>
      <c r="AY7" s="46"/>
      <c r="AZ7" s="46"/>
      <c r="BA7" s="46"/>
      <c r="BB7" s="46"/>
      <c r="BC7" s="46"/>
      <c r="BD7" s="46"/>
      <c r="BE7" s="46"/>
      <c r="BF7" s="46"/>
      <c r="BH7" s="46"/>
      <c r="BI7" s="46"/>
      <c r="BJ7" s="46"/>
      <c r="BK7" s="46"/>
      <c r="BL7" s="46"/>
      <c r="BM7" s="46"/>
      <c r="BN7" s="46"/>
      <c r="BO7" s="46"/>
      <c r="BZ7" s="33"/>
    </row>
    <row r="8" spans="1:82" ht="19.5" customHeight="1" x14ac:dyDescent="0.25">
      <c r="F8" s="130"/>
      <c r="G8" s="130"/>
      <c r="H8" s="33"/>
      <c r="I8" s="33"/>
      <c r="J8" s="76"/>
      <c r="K8" s="130"/>
      <c r="AF8" s="132"/>
      <c r="AG8" s="33"/>
      <c r="AY8" s="46"/>
      <c r="AZ8" s="46"/>
      <c r="BA8" s="46"/>
      <c r="BB8" s="46"/>
      <c r="BC8" s="46"/>
      <c r="BD8" s="46"/>
      <c r="BE8" s="46"/>
      <c r="BF8" s="46"/>
      <c r="BH8" s="46"/>
      <c r="BI8" s="46"/>
      <c r="BJ8" s="46"/>
      <c r="BK8" s="46"/>
      <c r="BL8" s="46"/>
      <c r="BM8" s="46"/>
      <c r="BN8" s="46"/>
      <c r="BO8" s="46"/>
    </row>
    <row r="9" spans="1:82" ht="16.5" customHeight="1" x14ac:dyDescent="0.3">
      <c r="D9" s="89"/>
      <c r="E9" s="33"/>
      <c r="F9" s="134"/>
      <c r="G9" s="33"/>
      <c r="H9" s="33"/>
      <c r="I9" s="33"/>
      <c r="J9" s="76"/>
      <c r="K9" s="137"/>
      <c r="AF9" s="132"/>
      <c r="AG9" s="33"/>
      <c r="AY9" s="55"/>
      <c r="AZ9" s="55"/>
      <c r="BA9" s="55"/>
      <c r="BB9" s="55"/>
      <c r="BC9" s="55"/>
      <c r="BD9" s="55"/>
      <c r="BE9" s="55"/>
      <c r="BF9" s="55"/>
      <c r="BG9" s="56"/>
      <c r="BH9" s="55"/>
      <c r="BI9" s="55"/>
      <c r="BJ9" s="55"/>
      <c r="BK9" s="55"/>
      <c r="BL9" s="55"/>
      <c r="BM9" s="55"/>
      <c r="BN9" s="55"/>
      <c r="BO9" s="55"/>
      <c r="BP9" s="56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</row>
    <row r="10" spans="1:82" ht="14" x14ac:dyDescent="0.3">
      <c r="D10" s="89"/>
      <c r="E10" s="33"/>
      <c r="F10" s="134"/>
      <c r="G10" s="33"/>
      <c r="H10" s="33"/>
      <c r="I10" s="33"/>
      <c r="K10" s="137"/>
      <c r="AF10" s="132"/>
      <c r="AG10" s="33"/>
      <c r="AY10" s="55"/>
      <c r="AZ10" s="55"/>
      <c r="BA10" s="55"/>
      <c r="BB10" s="55"/>
      <c r="BC10" s="55"/>
      <c r="BD10" s="55"/>
      <c r="BE10" s="55"/>
      <c r="BF10" s="55"/>
      <c r="BG10" s="56"/>
      <c r="BH10" s="55"/>
      <c r="BI10" s="55"/>
      <c r="BJ10" s="55"/>
      <c r="BK10" s="55"/>
      <c r="BL10" s="55"/>
      <c r="BM10" s="55"/>
      <c r="BN10" s="55"/>
      <c r="BO10" s="55"/>
      <c r="BP10" s="56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</row>
    <row r="11" spans="1:82" ht="14.5" x14ac:dyDescent="0.3">
      <c r="D11" s="89"/>
      <c r="E11" s="33"/>
      <c r="F11" s="134"/>
      <c r="G11" s="33"/>
      <c r="H11" s="33"/>
      <c r="I11" s="33"/>
      <c r="K11" s="137"/>
      <c r="AF11" s="132"/>
      <c r="AG11" s="33"/>
      <c r="AY11" s="88"/>
      <c r="AZ11" s="89"/>
      <c r="BA11" s="90"/>
      <c r="BB11" s="91"/>
      <c r="BC11" s="76"/>
      <c r="BD11" s="76"/>
      <c r="BE11" s="91"/>
      <c r="BF11" s="92"/>
      <c r="BG11" s="91"/>
      <c r="BH11" s="88"/>
      <c r="BI11" s="89"/>
      <c r="BJ11" s="90"/>
      <c r="BK11" s="91"/>
      <c r="BL11" s="76"/>
      <c r="BM11" s="76"/>
      <c r="BN11" s="91"/>
      <c r="BO11" s="92"/>
      <c r="BP11" s="91"/>
      <c r="BQ11" s="93"/>
      <c r="BR11" s="94"/>
      <c r="BS11" s="94"/>
      <c r="BT11" s="94"/>
      <c r="BU11" s="95"/>
      <c r="BV11" s="95"/>
      <c r="BW11" s="93"/>
      <c r="BX11" s="5"/>
      <c r="BY11" s="96"/>
      <c r="BZ11" s="95"/>
      <c r="CA11" s="97"/>
      <c r="CB11" s="98"/>
    </row>
    <row r="12" spans="1:82" ht="14.5" x14ac:dyDescent="0.3">
      <c r="D12" s="89"/>
      <c r="E12" s="33"/>
      <c r="F12" s="134"/>
      <c r="G12" s="33"/>
      <c r="H12" s="33"/>
      <c r="I12" s="33"/>
      <c r="J12" s="130"/>
      <c r="K12" s="137"/>
      <c r="AF12" s="132"/>
      <c r="AG12" s="33"/>
      <c r="AY12" s="88"/>
      <c r="AZ12" s="89"/>
      <c r="BA12" s="90"/>
      <c r="BB12" s="91"/>
      <c r="BC12" s="91"/>
      <c r="BD12" s="76"/>
      <c r="BE12" s="91"/>
      <c r="BF12" s="92"/>
      <c r="BG12" s="91"/>
      <c r="BH12" s="88"/>
      <c r="BI12" s="89"/>
      <c r="BJ12" s="90"/>
      <c r="BK12" s="91"/>
      <c r="BL12" s="91"/>
      <c r="BM12" s="76"/>
      <c r="BN12" s="91"/>
      <c r="BO12" s="92"/>
      <c r="BP12" s="91"/>
      <c r="BQ12" s="93"/>
      <c r="BR12" s="94"/>
      <c r="BS12" s="94"/>
      <c r="BT12" s="94"/>
      <c r="BU12" s="95"/>
      <c r="BV12" s="95"/>
      <c r="BW12" s="93"/>
      <c r="BX12" s="5"/>
      <c r="BY12" s="96"/>
      <c r="BZ12" s="95"/>
      <c r="CA12" s="97"/>
      <c r="CB12" s="98"/>
    </row>
    <row r="13" spans="1:82" ht="14.5" x14ac:dyDescent="0.3">
      <c r="D13" s="89"/>
      <c r="E13" s="33"/>
      <c r="F13" s="134"/>
      <c r="G13" s="33"/>
      <c r="J13" s="136"/>
      <c r="K13" s="137"/>
      <c r="AF13" s="132"/>
      <c r="AG13" s="33"/>
      <c r="AY13" s="88"/>
      <c r="AZ13" s="89"/>
      <c r="BA13" s="90"/>
      <c r="BB13" s="91"/>
      <c r="BC13" s="76"/>
      <c r="BD13" s="76"/>
      <c r="BE13" s="91"/>
      <c r="BF13" s="92"/>
      <c r="BG13" s="91"/>
      <c r="BH13" s="88"/>
      <c r="BI13" s="89"/>
      <c r="BJ13" s="90"/>
      <c r="BK13" s="91"/>
      <c r="BL13" s="91"/>
      <c r="BM13" s="76"/>
      <c r="BN13" s="91"/>
      <c r="BO13" s="92"/>
      <c r="BP13" s="91"/>
      <c r="BQ13" s="93"/>
      <c r="BR13" s="94"/>
      <c r="BS13" s="94"/>
      <c r="BT13" s="94"/>
      <c r="BU13" s="95"/>
      <c r="BV13" s="95"/>
      <c r="BW13" s="93"/>
      <c r="BX13" s="5"/>
      <c r="BY13" s="96"/>
      <c r="BZ13" s="95"/>
      <c r="CA13" s="97"/>
      <c r="CB13" s="98"/>
    </row>
    <row r="14" spans="1:82" ht="14.5" x14ac:dyDescent="0.25">
      <c r="F14" s="33"/>
      <c r="J14" s="136"/>
      <c r="AF14" s="139"/>
      <c r="AY14" s="88"/>
      <c r="AZ14" s="89"/>
      <c r="BA14" s="90"/>
      <c r="BB14" s="91"/>
      <c r="BC14" s="76"/>
      <c r="BD14" s="76"/>
      <c r="BE14" s="91"/>
      <c r="BF14" s="92"/>
      <c r="BG14" s="91"/>
      <c r="BH14" s="88"/>
      <c r="BI14" s="89"/>
      <c r="BJ14" s="90"/>
      <c r="BK14" s="91"/>
      <c r="BL14" s="91"/>
      <c r="BM14" s="76"/>
      <c r="BN14" s="91"/>
      <c r="BO14" s="92"/>
      <c r="BP14" s="91"/>
      <c r="BQ14" s="93"/>
      <c r="BR14" s="94"/>
      <c r="BS14" s="94"/>
      <c r="BT14" s="94"/>
      <c r="BU14" s="95"/>
      <c r="BV14" s="95"/>
      <c r="BW14" s="93"/>
      <c r="BX14" s="5"/>
      <c r="BY14" s="96"/>
      <c r="BZ14" s="95"/>
      <c r="CA14" s="97"/>
      <c r="CB14" s="98"/>
    </row>
    <row r="15" spans="1:82" ht="16.5" customHeight="1" x14ac:dyDescent="0.25">
      <c r="F15" s="33"/>
      <c r="J15" s="136"/>
      <c r="AF15" s="139"/>
      <c r="AY15" s="88"/>
      <c r="AZ15" s="89"/>
      <c r="BA15" s="90"/>
      <c r="BB15" s="91"/>
      <c r="BC15" s="76"/>
      <c r="BD15" s="76"/>
      <c r="BE15" s="91"/>
      <c r="BF15" s="92"/>
      <c r="BG15" s="91"/>
      <c r="BH15" s="88"/>
      <c r="BI15" s="89"/>
      <c r="BJ15" s="90"/>
      <c r="BK15" s="91"/>
      <c r="BL15" s="91"/>
      <c r="BM15" s="76"/>
      <c r="BN15" s="91"/>
      <c r="BO15" s="92"/>
      <c r="BP15" s="91"/>
      <c r="BQ15" s="93"/>
      <c r="BR15" s="94"/>
      <c r="BS15" s="94"/>
      <c r="BT15" s="94"/>
      <c r="BU15" s="95"/>
      <c r="BV15" s="95"/>
      <c r="BW15" s="93"/>
      <c r="BX15" s="5"/>
      <c r="BY15" s="96"/>
      <c r="BZ15" s="95"/>
      <c r="CA15" s="97"/>
      <c r="CB15" s="98"/>
    </row>
    <row r="16" spans="1:82" ht="14" x14ac:dyDescent="0.25">
      <c r="F16" s="33"/>
      <c r="J16" s="136"/>
      <c r="AF16" s="139"/>
    </row>
    <row r="17" spans="6:69" ht="14.5" x14ac:dyDescent="0.35">
      <c r="F17" s="33"/>
      <c r="J17" s="136"/>
      <c r="AF17" s="139"/>
      <c r="BQ17" s="133"/>
    </row>
    <row r="18" spans="6:69" ht="14" x14ac:dyDescent="0.25">
      <c r="F18" s="33"/>
      <c r="AF18" s="139"/>
    </row>
    <row r="19" spans="6:69" ht="14" x14ac:dyDescent="0.25">
      <c r="F19" s="33"/>
      <c r="AF19" s="139"/>
    </row>
    <row r="20" spans="6:69" ht="14" x14ac:dyDescent="0.25">
      <c r="F20" s="33"/>
      <c r="AF20" s="139"/>
    </row>
    <row r="21" spans="6:69" ht="14" x14ac:dyDescent="0.25">
      <c r="F21" s="33"/>
      <c r="AF21" s="139"/>
    </row>
    <row r="22" spans="6:69" ht="14" x14ac:dyDescent="0.25">
      <c r="F22" s="33"/>
      <c r="AF22" s="139"/>
    </row>
    <row r="23" spans="6:69" ht="14" x14ac:dyDescent="0.25">
      <c r="F23" s="33"/>
      <c r="AF23" s="139"/>
    </row>
    <row r="24" spans="6:69" ht="14" x14ac:dyDescent="0.25">
      <c r="F24" s="33"/>
      <c r="AF24" s="139"/>
    </row>
    <row r="25" spans="6:69" ht="14" x14ac:dyDescent="0.25">
      <c r="F25" s="33"/>
      <c r="AF25" s="139"/>
    </row>
    <row r="26" spans="6:69" ht="14" x14ac:dyDescent="0.25">
      <c r="F26" s="33"/>
      <c r="AF26" s="139"/>
    </row>
    <row r="27" spans="6:69" x14ac:dyDescent="0.25">
      <c r="F27" s="33"/>
    </row>
    <row r="28" spans="6:69" x14ac:dyDescent="0.25">
      <c r="F28" s="33"/>
    </row>
    <row r="29" spans="6:69" x14ac:dyDescent="0.25">
      <c r="F29" s="33"/>
    </row>
    <row r="30" spans="6:69" x14ac:dyDescent="0.25">
      <c r="F30" s="33"/>
    </row>
    <row r="31" spans="6:69" x14ac:dyDescent="0.25">
      <c r="F31" s="33"/>
    </row>
    <row r="32" spans="6:69" x14ac:dyDescent="0.25">
      <c r="F32" s="33"/>
    </row>
    <row r="33" spans="6:6" x14ac:dyDescent="0.25">
      <c r="F33" s="33"/>
    </row>
    <row r="34" spans="6:6" x14ac:dyDescent="0.25">
      <c r="F34" s="33"/>
    </row>
    <row r="35" spans="6:6" x14ac:dyDescent="0.25">
      <c r="F35" s="33"/>
    </row>
    <row r="36" spans="6:6" x14ac:dyDescent="0.25">
      <c r="F36" s="33"/>
    </row>
    <row r="37" spans="6:6" x14ac:dyDescent="0.25">
      <c r="F37" s="33"/>
    </row>
    <row r="38" spans="6:6" x14ac:dyDescent="0.25">
      <c r="F38" s="33"/>
    </row>
    <row r="39" spans="6:6" x14ac:dyDescent="0.25">
      <c r="F39" s="33"/>
    </row>
    <row r="40" spans="6:6" x14ac:dyDescent="0.25">
      <c r="F40" s="33"/>
    </row>
    <row r="41" spans="6:6" x14ac:dyDescent="0.25">
      <c r="F41" s="33"/>
    </row>
    <row r="42" spans="6:6" x14ac:dyDescent="0.25">
      <c r="F42" s="33"/>
    </row>
    <row r="43" spans="6:6" x14ac:dyDescent="0.25">
      <c r="F43" s="33"/>
    </row>
    <row r="44" spans="6:6" x14ac:dyDescent="0.25">
      <c r="F44" s="33"/>
    </row>
    <row r="45" spans="6:6" x14ac:dyDescent="0.25">
      <c r="F45" s="33"/>
    </row>
    <row r="46" spans="6:6" x14ac:dyDescent="0.25">
      <c r="F46" s="33"/>
    </row>
    <row r="47" spans="6:6" x14ac:dyDescent="0.25">
      <c r="F47" s="33"/>
    </row>
    <row r="48" spans="6:6" x14ac:dyDescent="0.25">
      <c r="F48" s="33"/>
    </row>
    <row r="49" spans="6:6" x14ac:dyDescent="0.25">
      <c r="F49" s="33"/>
    </row>
    <row r="50" spans="6:6" x14ac:dyDescent="0.25">
      <c r="F50" s="33"/>
    </row>
    <row r="51" spans="6:6" x14ac:dyDescent="0.25">
      <c r="F51" s="33"/>
    </row>
    <row r="52" spans="6:6" x14ac:dyDescent="0.25">
      <c r="F52" s="33"/>
    </row>
    <row r="53" spans="6:6" x14ac:dyDescent="0.25">
      <c r="F53" s="33"/>
    </row>
    <row r="59" spans="6:6" ht="13.5" customHeight="1" x14ac:dyDescent="0.25"/>
  </sheetData>
  <mergeCells count="45">
    <mergeCell ref="AM2:AM3"/>
    <mergeCell ref="AN2:AN3"/>
    <mergeCell ref="C2:C3"/>
    <mergeCell ref="D2:D3"/>
    <mergeCell ref="E2:E3"/>
    <mergeCell ref="F2:F3"/>
    <mergeCell ref="G2:G3"/>
    <mergeCell ref="AC1:AT1"/>
    <mergeCell ref="S2:S3"/>
    <mergeCell ref="T2:T3"/>
    <mergeCell ref="X2:X3"/>
    <mergeCell ref="Y2:Y3"/>
    <mergeCell ref="AC2:AC3"/>
    <mergeCell ref="AD2:AD3"/>
    <mergeCell ref="AE2:AE3"/>
    <mergeCell ref="AG2:AG3"/>
    <mergeCell ref="AF2:AF3"/>
    <mergeCell ref="AH2:AH3"/>
    <mergeCell ref="AR2:AR3"/>
    <mergeCell ref="AI2:AI3"/>
    <mergeCell ref="AJ2:AJ3"/>
    <mergeCell ref="AK2:AK3"/>
    <mergeCell ref="AL2:AL3"/>
    <mergeCell ref="S1:AA1"/>
    <mergeCell ref="A2:A3"/>
    <mergeCell ref="B2:B3"/>
    <mergeCell ref="K2:K3"/>
    <mergeCell ref="I2:I3"/>
    <mergeCell ref="J2:J3"/>
    <mergeCell ref="N2:N3"/>
    <mergeCell ref="O2:O3"/>
    <mergeCell ref="AA2:AA3"/>
    <mergeCell ref="L2:L3"/>
    <mergeCell ref="M2:M3"/>
    <mergeCell ref="P2:P3"/>
    <mergeCell ref="Q2:Q3"/>
    <mergeCell ref="U2:U3"/>
    <mergeCell ref="V2:V3"/>
    <mergeCell ref="W2:W3"/>
    <mergeCell ref="Z2:Z3"/>
    <mergeCell ref="AS2:AS3"/>
    <mergeCell ref="AT2:AT3"/>
    <mergeCell ref="AO2:AO3"/>
    <mergeCell ref="AP2:AP3"/>
    <mergeCell ref="AQ2:AQ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E17C-9FCE-4DD9-ACB7-5065384CA917}">
  <dimension ref="A2:CG62"/>
  <sheetViews>
    <sheetView topLeftCell="B1" workbookViewId="0">
      <selection activeCell="K11" sqref="K11:CE11"/>
    </sheetView>
  </sheetViews>
  <sheetFormatPr baseColWidth="10" defaultColWidth="11.453125" defaultRowHeight="12.5" x14ac:dyDescent="0.25"/>
  <cols>
    <col min="1" max="1" width="24.7265625" style="2" customWidth="1"/>
    <col min="2" max="2" width="13" style="2" customWidth="1"/>
    <col min="3" max="3" width="9.54296875" style="2" bestFit="1" customWidth="1"/>
    <col min="4" max="4" width="14" style="2" customWidth="1"/>
    <col min="5" max="5" width="15.1796875" style="2" customWidth="1"/>
    <col min="6" max="6" width="14" style="2" customWidth="1"/>
    <col min="7" max="7" width="21.81640625" style="2" customWidth="1"/>
    <col min="8" max="8" width="11.26953125" style="2" customWidth="1"/>
    <col min="9" max="9" width="18.453125" style="2" customWidth="1"/>
    <col min="10" max="10" width="14" style="2" customWidth="1"/>
    <col min="11" max="11" width="23.7265625" style="2" bestFit="1" customWidth="1"/>
    <col min="12" max="12" width="13.54296875" style="2" customWidth="1"/>
    <col min="13" max="13" width="11.453125" style="2"/>
    <col min="14" max="14" width="15.453125" style="2" customWidth="1"/>
    <col min="15" max="15" width="11.453125" style="2"/>
    <col min="16" max="16" width="14.26953125" style="2" customWidth="1"/>
    <col min="17" max="17" width="11.453125" style="2"/>
    <col min="18" max="18" width="13" style="2" bestFit="1" customWidth="1"/>
    <col min="19" max="21" width="11.453125" style="2"/>
    <col min="22" max="22" width="23.54296875" style="2" bestFit="1" customWidth="1"/>
    <col min="23" max="23" width="11.453125" style="2"/>
    <col min="24" max="24" width="14.1796875" style="2" customWidth="1"/>
    <col min="25" max="26" width="15.453125" style="2" customWidth="1"/>
    <col min="27" max="27" width="16.26953125" style="2" customWidth="1"/>
    <col min="28" max="32" width="11.453125" style="2"/>
    <col min="33" max="33" width="17.54296875" style="2" customWidth="1"/>
    <col min="34" max="34" width="14.81640625" style="2" customWidth="1"/>
    <col min="35" max="35" width="24.81640625" style="2" customWidth="1"/>
    <col min="36" max="36" width="11.453125" style="2"/>
    <col min="37" max="37" width="14.453125" style="2" customWidth="1"/>
    <col min="38" max="38" width="15.1796875" style="2" customWidth="1"/>
    <col min="39" max="39" width="15.81640625" style="2" customWidth="1"/>
    <col min="40" max="40" width="12.26953125" style="2" customWidth="1"/>
    <col min="41" max="42" width="13.7265625" style="2" customWidth="1"/>
    <col min="43" max="43" width="11.453125" style="2"/>
    <col min="44" max="44" width="14.453125" style="2" customWidth="1"/>
    <col min="45" max="46" width="11.453125" style="2"/>
    <col min="47" max="47" width="16.26953125" style="2" customWidth="1"/>
    <col min="48" max="55" width="11.453125" style="2"/>
    <col min="56" max="56" width="12.54296875" style="2" bestFit="1" customWidth="1"/>
    <col min="57" max="60" width="13.7265625" style="2" customWidth="1"/>
    <col min="61" max="65" width="11.453125" style="2"/>
    <col min="66" max="66" width="11.453125" style="2" customWidth="1"/>
    <col min="67" max="67" width="14.453125" style="2" customWidth="1"/>
    <col min="68" max="75" width="11.453125" style="2"/>
    <col min="76" max="78" width="17" style="2" customWidth="1"/>
    <col min="79" max="79" width="21.54296875" style="2" customWidth="1"/>
    <col min="80" max="82" width="11.453125" style="2"/>
    <col min="83" max="83" width="17.453125" style="2" customWidth="1"/>
    <col min="84" max="84" width="11.453125" style="2"/>
    <col min="85" max="85" width="16" style="2" customWidth="1"/>
    <col min="86" max="16384" width="11.453125" style="2"/>
  </cols>
  <sheetData>
    <row r="2" spans="1:85" ht="18.75" customHeight="1" x14ac:dyDescent="0.25">
      <c r="A2" s="251" t="s">
        <v>67</v>
      </c>
      <c r="B2" s="252"/>
      <c r="C2" s="252"/>
      <c r="D2" s="252"/>
      <c r="E2" s="252"/>
      <c r="F2" s="252"/>
      <c r="G2" s="252"/>
      <c r="H2" s="252"/>
      <c r="I2" s="252"/>
      <c r="K2" s="253" t="s">
        <v>115</v>
      </c>
      <c r="L2" s="253"/>
      <c r="M2" s="253"/>
      <c r="N2" s="253"/>
      <c r="O2" s="253"/>
      <c r="P2" s="253"/>
      <c r="Q2" s="253"/>
      <c r="R2" s="253"/>
      <c r="S2" s="253"/>
      <c r="T2" s="253"/>
      <c r="V2" s="254" t="s">
        <v>116</v>
      </c>
      <c r="W2" s="254"/>
      <c r="X2" s="254"/>
      <c r="Y2" s="254"/>
      <c r="Z2" s="254"/>
      <c r="AA2" s="254"/>
      <c r="AB2" s="254"/>
      <c r="AC2" s="254"/>
      <c r="AD2" s="254"/>
      <c r="AE2" s="254"/>
      <c r="AG2" s="255" t="s">
        <v>70</v>
      </c>
      <c r="AH2" s="255"/>
      <c r="AI2" s="255"/>
      <c r="AJ2" s="255"/>
      <c r="AK2" s="255"/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3" t="s">
        <v>71</v>
      </c>
      <c r="AZ2" s="45"/>
      <c r="BA2" s="269" t="s">
        <v>117</v>
      </c>
      <c r="BB2" s="269"/>
      <c r="BC2" s="269"/>
      <c r="BD2" s="269"/>
      <c r="BE2" s="269"/>
      <c r="BF2" s="269"/>
      <c r="BG2" s="269"/>
      <c r="BH2" s="269"/>
      <c r="BI2" s="45"/>
      <c r="BJ2" s="269" t="s">
        <v>118</v>
      </c>
      <c r="BK2" s="269"/>
      <c r="BL2" s="269"/>
      <c r="BM2" s="269"/>
      <c r="BN2" s="269"/>
      <c r="BO2" s="269"/>
      <c r="BP2" s="269"/>
      <c r="BQ2" s="269"/>
      <c r="BR2" s="269"/>
      <c r="BS2" s="45"/>
      <c r="BT2" s="268" t="s">
        <v>119</v>
      </c>
      <c r="BU2" s="268"/>
      <c r="BV2" s="268"/>
      <c r="BW2" s="268"/>
      <c r="BX2" s="268"/>
      <c r="BY2" s="268"/>
      <c r="BZ2" s="268"/>
      <c r="CA2" s="268"/>
      <c r="CB2" s="268"/>
      <c r="CC2" s="268"/>
      <c r="CD2" s="268"/>
      <c r="CE2" s="268"/>
      <c r="CF2" s="268"/>
      <c r="CG2" s="268"/>
    </row>
    <row r="3" spans="1:85" ht="18.75" customHeight="1" x14ac:dyDescent="0.25">
      <c r="A3" s="252"/>
      <c r="B3" s="252"/>
      <c r="C3" s="252"/>
      <c r="D3" s="252"/>
      <c r="E3" s="252"/>
      <c r="F3" s="252"/>
      <c r="G3" s="252"/>
      <c r="H3" s="252"/>
      <c r="I3" s="252"/>
      <c r="K3" s="253"/>
      <c r="L3" s="253"/>
      <c r="M3" s="253"/>
      <c r="N3" s="253"/>
      <c r="O3" s="253"/>
      <c r="P3" s="253"/>
      <c r="Q3" s="253"/>
      <c r="R3" s="253"/>
      <c r="S3" s="253"/>
      <c r="T3" s="253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G3" s="255"/>
      <c r="AH3" s="255"/>
      <c r="AI3" s="255"/>
      <c r="AJ3" s="255"/>
      <c r="AK3" s="255"/>
      <c r="AL3" s="255"/>
      <c r="AM3" s="255"/>
      <c r="AN3" s="255"/>
      <c r="AO3" s="255"/>
      <c r="AP3" s="255"/>
      <c r="AQ3" s="255"/>
      <c r="AR3" s="255"/>
      <c r="AS3" s="255"/>
      <c r="AT3" s="255"/>
      <c r="AU3" s="255"/>
      <c r="AV3" s="255"/>
      <c r="AW3" s="255"/>
      <c r="AX3" s="255"/>
      <c r="AZ3" s="45"/>
      <c r="BA3" s="269"/>
      <c r="BB3" s="269"/>
      <c r="BC3" s="269"/>
      <c r="BD3" s="269"/>
      <c r="BE3" s="269"/>
      <c r="BF3" s="269"/>
      <c r="BG3" s="269"/>
      <c r="BH3" s="269"/>
      <c r="BI3" s="45"/>
      <c r="BJ3" s="269"/>
      <c r="BK3" s="269"/>
      <c r="BL3" s="269"/>
      <c r="BM3" s="269"/>
      <c r="BN3" s="269"/>
      <c r="BO3" s="269"/>
      <c r="BP3" s="269"/>
      <c r="BQ3" s="269"/>
      <c r="BR3" s="269"/>
      <c r="BS3" s="45"/>
      <c r="BT3" s="268"/>
      <c r="BU3" s="268"/>
      <c r="BV3" s="268"/>
      <c r="BW3" s="268"/>
      <c r="BX3" s="268"/>
      <c r="BY3" s="268"/>
      <c r="BZ3" s="268"/>
      <c r="CA3" s="268"/>
      <c r="CB3" s="268"/>
      <c r="CC3" s="268"/>
      <c r="CD3" s="268"/>
      <c r="CE3" s="268"/>
      <c r="CF3" s="268"/>
      <c r="CG3" s="268"/>
    </row>
    <row r="4" spans="1:85" ht="18.75" customHeight="1" x14ac:dyDescent="0.25">
      <c r="A4" s="252"/>
      <c r="B4" s="252"/>
      <c r="C4" s="252"/>
      <c r="D4" s="252"/>
      <c r="E4" s="252"/>
      <c r="F4" s="252"/>
      <c r="G4" s="252"/>
      <c r="H4" s="252"/>
      <c r="I4" s="252"/>
      <c r="K4" s="253"/>
      <c r="L4" s="253"/>
      <c r="M4" s="253"/>
      <c r="N4" s="253"/>
      <c r="O4" s="253"/>
      <c r="P4" s="253"/>
      <c r="Q4" s="253"/>
      <c r="R4" s="253"/>
      <c r="S4" s="253"/>
      <c r="T4" s="253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  <c r="AX4" s="255"/>
      <c r="AZ4" s="45"/>
      <c r="BA4" s="269"/>
      <c r="BB4" s="269"/>
      <c r="BC4" s="269"/>
      <c r="BD4" s="269"/>
      <c r="BE4" s="269"/>
      <c r="BF4" s="269"/>
      <c r="BG4" s="269"/>
      <c r="BH4" s="269"/>
      <c r="BI4" s="45"/>
      <c r="BJ4" s="269"/>
      <c r="BK4" s="269"/>
      <c r="BL4" s="269"/>
      <c r="BM4" s="269"/>
      <c r="BN4" s="269"/>
      <c r="BO4" s="269"/>
      <c r="BP4" s="269"/>
      <c r="BQ4" s="269"/>
      <c r="BR4" s="269"/>
      <c r="BS4" s="45"/>
      <c r="BT4" s="268"/>
      <c r="BU4" s="268"/>
      <c r="BV4" s="268"/>
      <c r="BW4" s="268"/>
      <c r="BX4" s="268"/>
      <c r="BY4" s="268"/>
      <c r="BZ4" s="268"/>
      <c r="CA4" s="268"/>
      <c r="CB4" s="268"/>
      <c r="CC4" s="268"/>
      <c r="CD4" s="268"/>
      <c r="CE4" s="268"/>
      <c r="CF4" s="268"/>
      <c r="CG4" s="268"/>
    </row>
    <row r="5" spans="1:85" ht="18.75" customHeight="1" x14ac:dyDescent="0.25">
      <c r="A5" s="252"/>
      <c r="B5" s="252"/>
      <c r="C5" s="252"/>
      <c r="D5" s="252"/>
      <c r="E5" s="252"/>
      <c r="F5" s="252"/>
      <c r="G5" s="252"/>
      <c r="H5" s="252"/>
      <c r="I5" s="252"/>
      <c r="K5" s="253"/>
      <c r="L5" s="253"/>
      <c r="M5" s="253"/>
      <c r="N5" s="253"/>
      <c r="O5" s="253"/>
      <c r="P5" s="253"/>
      <c r="Q5" s="253"/>
      <c r="R5" s="253"/>
      <c r="S5" s="253"/>
      <c r="T5" s="253"/>
      <c r="V5" s="254"/>
      <c r="W5" s="254"/>
      <c r="X5" s="254"/>
      <c r="Y5" s="254"/>
      <c r="Z5" s="254"/>
      <c r="AA5" s="254"/>
      <c r="AB5" s="254"/>
      <c r="AC5" s="254"/>
      <c r="AD5" s="254"/>
      <c r="AE5" s="254"/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255"/>
      <c r="AV5" s="255"/>
      <c r="AW5" s="255"/>
      <c r="AX5" s="255"/>
      <c r="AZ5" s="45"/>
      <c r="BA5" s="269"/>
      <c r="BB5" s="269"/>
      <c r="BC5" s="269"/>
      <c r="BD5" s="269"/>
      <c r="BE5" s="269"/>
      <c r="BF5" s="269"/>
      <c r="BG5" s="269"/>
      <c r="BH5" s="269"/>
      <c r="BI5" s="45"/>
      <c r="BJ5" s="269"/>
      <c r="BK5" s="269"/>
      <c r="BL5" s="269"/>
      <c r="BM5" s="269"/>
      <c r="BN5" s="269"/>
      <c r="BO5" s="269"/>
      <c r="BP5" s="269"/>
      <c r="BQ5" s="269"/>
      <c r="BR5" s="269"/>
      <c r="BS5" s="45"/>
      <c r="BT5" s="268"/>
      <c r="BU5" s="268"/>
      <c r="BV5" s="268"/>
      <c r="BW5" s="268"/>
      <c r="BX5" s="268"/>
      <c r="BY5" s="268"/>
      <c r="BZ5" s="268"/>
      <c r="CA5" s="268"/>
      <c r="CB5" s="268"/>
      <c r="CC5" s="268"/>
      <c r="CD5" s="268"/>
      <c r="CE5" s="268"/>
      <c r="CF5" s="268"/>
      <c r="CG5" s="268"/>
    </row>
    <row r="6" spans="1:85" ht="18.75" customHeight="1" x14ac:dyDescent="0.25">
      <c r="AG6" s="255"/>
      <c r="AH6" s="255"/>
      <c r="AI6" s="255"/>
      <c r="AJ6" s="255"/>
      <c r="AK6" s="255"/>
      <c r="AL6" s="255"/>
      <c r="AM6" s="255"/>
      <c r="AN6" s="255"/>
      <c r="AO6" s="255"/>
      <c r="AP6" s="255"/>
      <c r="AQ6" s="255"/>
      <c r="AR6" s="255"/>
      <c r="AS6" s="255"/>
      <c r="AT6" s="255"/>
      <c r="AU6" s="255"/>
      <c r="AV6" s="255"/>
      <c r="AW6" s="255"/>
      <c r="AX6" s="255"/>
      <c r="AZ6" s="45"/>
      <c r="BA6" s="269"/>
      <c r="BB6" s="269"/>
      <c r="BC6" s="269"/>
      <c r="BD6" s="269"/>
      <c r="BE6" s="269"/>
      <c r="BF6" s="269"/>
      <c r="BG6" s="269"/>
      <c r="BH6" s="269"/>
      <c r="BI6" s="45"/>
      <c r="BJ6" s="269"/>
      <c r="BK6" s="269"/>
      <c r="BL6" s="269"/>
      <c r="BM6" s="269"/>
      <c r="BN6" s="269"/>
      <c r="BO6" s="269"/>
      <c r="BP6" s="269"/>
      <c r="BQ6" s="269"/>
      <c r="BR6" s="269"/>
      <c r="BS6" s="45"/>
      <c r="BT6" s="268"/>
      <c r="BU6" s="268"/>
      <c r="BV6" s="268"/>
      <c r="BW6" s="268"/>
      <c r="BX6" s="268"/>
      <c r="BY6" s="268"/>
      <c r="BZ6" s="268"/>
      <c r="CA6" s="268"/>
      <c r="CB6" s="268"/>
      <c r="CC6" s="268"/>
      <c r="CD6" s="268"/>
      <c r="CE6" s="268"/>
      <c r="CF6" s="268"/>
      <c r="CG6" s="268"/>
    </row>
    <row r="7" spans="1:85" ht="18.75" customHeight="1" x14ac:dyDescent="0.25">
      <c r="BA7" s="269"/>
      <c r="BB7" s="269"/>
      <c r="BC7" s="269"/>
      <c r="BD7" s="269"/>
      <c r="BE7" s="269"/>
      <c r="BF7" s="269"/>
      <c r="BG7" s="269"/>
      <c r="BH7" s="269"/>
      <c r="BJ7" s="269"/>
      <c r="BK7" s="269"/>
      <c r="BL7" s="269"/>
      <c r="BM7" s="269"/>
      <c r="BN7" s="269"/>
      <c r="BO7" s="269"/>
      <c r="BP7" s="269"/>
      <c r="BQ7" s="269"/>
      <c r="BR7" s="269"/>
      <c r="CC7" s="33"/>
    </row>
    <row r="8" spans="1:85" ht="19.5" customHeight="1" thickBot="1" x14ac:dyDescent="0.3">
      <c r="M8" s="48"/>
      <c r="N8" s="48"/>
      <c r="O8" s="48"/>
      <c r="P8" s="48"/>
      <c r="Q8" s="48"/>
      <c r="R8" s="48"/>
      <c r="S8" s="48"/>
      <c r="T8" s="48"/>
      <c r="V8" s="49"/>
      <c r="W8" s="49"/>
      <c r="X8" s="49"/>
      <c r="Y8" s="49"/>
      <c r="Z8" s="49"/>
      <c r="AA8" s="49"/>
      <c r="AB8" s="49"/>
      <c r="AC8" s="49"/>
      <c r="AD8" s="49"/>
      <c r="AE8" s="49"/>
      <c r="BA8" s="269"/>
      <c r="BB8" s="269"/>
      <c r="BC8" s="269"/>
      <c r="BD8" s="269"/>
      <c r="BE8" s="269"/>
      <c r="BF8" s="269"/>
      <c r="BG8" s="269"/>
      <c r="BH8" s="269"/>
      <c r="BJ8" s="269"/>
      <c r="BK8" s="269"/>
      <c r="BL8" s="269"/>
      <c r="BM8" s="269"/>
      <c r="BN8" s="269"/>
      <c r="BO8" s="269"/>
      <c r="BP8" s="269"/>
      <c r="BQ8" s="269"/>
      <c r="BR8" s="269"/>
    </row>
    <row r="9" spans="1:85" ht="16.5" customHeight="1" thickTop="1" thickBot="1" x14ac:dyDescent="0.4">
      <c r="A9" s="256" t="s">
        <v>72</v>
      </c>
      <c r="B9" s="256" t="s">
        <v>73</v>
      </c>
      <c r="C9" s="256" t="s">
        <v>74</v>
      </c>
      <c r="D9" s="256"/>
      <c r="E9" s="256" t="s">
        <v>75</v>
      </c>
      <c r="F9" s="256"/>
      <c r="G9" s="50" t="s">
        <v>76</v>
      </c>
      <c r="K9" s="257" t="s">
        <v>77</v>
      </c>
      <c r="L9" s="258"/>
      <c r="M9" s="51" t="s">
        <v>78</v>
      </c>
      <c r="N9" s="246" t="s">
        <v>79</v>
      </c>
      <c r="O9" s="240" t="s">
        <v>80</v>
      </c>
      <c r="P9" s="242" t="s">
        <v>81</v>
      </c>
      <c r="Q9" s="244" t="s">
        <v>82</v>
      </c>
      <c r="R9" s="245"/>
      <c r="S9" s="246" t="s">
        <v>83</v>
      </c>
      <c r="T9" s="248" t="s">
        <v>84</v>
      </c>
      <c r="V9" s="249" t="s">
        <v>85</v>
      </c>
      <c r="W9" s="250"/>
      <c r="X9" s="52" t="s">
        <v>78</v>
      </c>
      <c r="Y9" s="232" t="s">
        <v>79</v>
      </c>
      <c r="Z9" s="232" t="s">
        <v>80</v>
      </c>
      <c r="AA9" s="232" t="s">
        <v>81</v>
      </c>
      <c r="AB9" s="234" t="s">
        <v>82</v>
      </c>
      <c r="AC9" s="235"/>
      <c r="AD9" s="236" t="s">
        <v>83</v>
      </c>
      <c r="AE9" s="238" t="s">
        <v>84</v>
      </c>
      <c r="AG9" s="53" t="s">
        <v>86</v>
      </c>
      <c r="AH9" s="54" t="s">
        <v>87</v>
      </c>
      <c r="AI9" s="54" t="s">
        <v>85</v>
      </c>
      <c r="AJ9" s="227" t="s">
        <v>78</v>
      </c>
      <c r="AK9" s="228"/>
      <c r="AL9" s="53" t="s">
        <v>88</v>
      </c>
      <c r="AM9" s="229" t="s">
        <v>89</v>
      </c>
      <c r="AN9" s="230"/>
      <c r="AO9" s="231"/>
      <c r="AP9" s="229" t="s">
        <v>90</v>
      </c>
      <c r="AQ9" s="230"/>
      <c r="AR9" s="231"/>
      <c r="AS9" s="225" t="s">
        <v>91</v>
      </c>
      <c r="AT9" s="225" t="s">
        <v>80</v>
      </c>
      <c r="AU9" s="225" t="s">
        <v>92</v>
      </c>
      <c r="AV9" s="53" t="s">
        <v>82</v>
      </c>
      <c r="AW9" s="225" t="s">
        <v>83</v>
      </c>
      <c r="AX9" s="225" t="s">
        <v>84</v>
      </c>
      <c r="BA9" s="265" t="s">
        <v>120</v>
      </c>
      <c r="BB9" s="265" t="s">
        <v>121</v>
      </c>
      <c r="BC9" s="265" t="s">
        <v>117</v>
      </c>
      <c r="BD9" s="265" t="s">
        <v>122</v>
      </c>
      <c r="BE9" s="265" t="s">
        <v>123</v>
      </c>
      <c r="BF9" s="265" t="s">
        <v>124</v>
      </c>
      <c r="BG9" s="265" t="s">
        <v>83</v>
      </c>
      <c r="BH9" s="265" t="s">
        <v>84</v>
      </c>
      <c r="BI9" s="56"/>
      <c r="BJ9" s="261" t="s">
        <v>120</v>
      </c>
      <c r="BK9" s="261" t="s">
        <v>125</v>
      </c>
      <c r="BL9" s="140"/>
      <c r="BM9" s="266" t="s">
        <v>126</v>
      </c>
      <c r="BN9" s="261" t="s">
        <v>122</v>
      </c>
      <c r="BO9" s="261" t="s">
        <v>123</v>
      </c>
      <c r="BP9" s="261" t="s">
        <v>124</v>
      </c>
      <c r="BQ9" s="261" t="s">
        <v>83</v>
      </c>
      <c r="BR9" s="261" t="s">
        <v>84</v>
      </c>
      <c r="BS9" s="56"/>
      <c r="BT9" s="259" t="s">
        <v>84</v>
      </c>
      <c r="BU9" s="262" t="s">
        <v>127</v>
      </c>
      <c r="BV9" s="263"/>
      <c r="BW9" s="263"/>
      <c r="BX9" s="263"/>
      <c r="BY9" s="264"/>
      <c r="BZ9" s="259" t="s">
        <v>91</v>
      </c>
      <c r="CA9" s="259" t="s">
        <v>128</v>
      </c>
      <c r="CB9" s="259" t="s">
        <v>129</v>
      </c>
      <c r="CC9" s="259" t="s">
        <v>130</v>
      </c>
      <c r="CD9" s="259" t="s">
        <v>131</v>
      </c>
      <c r="CE9" s="259" t="s">
        <v>132</v>
      </c>
    </row>
    <row r="10" spans="1:85" ht="16.5" thickTop="1" thickBot="1" x14ac:dyDescent="0.4">
      <c r="A10" s="256"/>
      <c r="B10" s="256"/>
      <c r="C10" s="50" t="s">
        <v>93</v>
      </c>
      <c r="D10" s="50" t="s">
        <v>94</v>
      </c>
      <c r="E10" s="50" t="s">
        <v>95</v>
      </c>
      <c r="F10" s="50" t="s">
        <v>96</v>
      </c>
      <c r="G10" s="50" t="s">
        <v>97</v>
      </c>
      <c r="K10" s="57" t="s">
        <v>98</v>
      </c>
      <c r="L10" s="58" t="s">
        <v>99</v>
      </c>
      <c r="M10" s="59" t="s">
        <v>100</v>
      </c>
      <c r="N10" s="247"/>
      <c r="O10" s="241"/>
      <c r="P10" s="243"/>
      <c r="Q10" s="60" t="s">
        <v>101</v>
      </c>
      <c r="R10" s="61" t="s">
        <v>102</v>
      </c>
      <c r="S10" s="247"/>
      <c r="T10" s="241"/>
      <c r="V10" s="62" t="s">
        <v>103</v>
      </c>
      <c r="W10" s="63" t="s">
        <v>99</v>
      </c>
      <c r="X10" s="64" t="s">
        <v>100</v>
      </c>
      <c r="Y10" s="233"/>
      <c r="Z10" s="233"/>
      <c r="AA10" s="233"/>
      <c r="AB10" s="65" t="s">
        <v>104</v>
      </c>
      <c r="AC10" s="66" t="s">
        <v>102</v>
      </c>
      <c r="AD10" s="237"/>
      <c r="AE10" s="239"/>
      <c r="AG10" s="67" t="s">
        <v>105</v>
      </c>
      <c r="AH10" s="68" t="s">
        <v>106</v>
      </c>
      <c r="AI10" s="68" t="s">
        <v>107</v>
      </c>
      <c r="AJ10" s="69" t="s">
        <v>99</v>
      </c>
      <c r="AK10" s="70" t="s">
        <v>100</v>
      </c>
      <c r="AL10" s="67" t="s">
        <v>79</v>
      </c>
      <c r="AM10" s="69" t="s">
        <v>100</v>
      </c>
      <c r="AN10" s="69" t="s">
        <v>108</v>
      </c>
      <c r="AO10" s="70" t="s">
        <v>79</v>
      </c>
      <c r="AP10" s="71" t="s">
        <v>109</v>
      </c>
      <c r="AQ10" s="69" t="s">
        <v>110</v>
      </c>
      <c r="AR10" s="70" t="s">
        <v>79</v>
      </c>
      <c r="AS10" s="226"/>
      <c r="AT10" s="226"/>
      <c r="AU10" s="226"/>
      <c r="AV10" s="67" t="s">
        <v>102</v>
      </c>
      <c r="AW10" s="226"/>
      <c r="AX10" s="226"/>
      <c r="BA10" s="265"/>
      <c r="BB10" s="265"/>
      <c r="BC10" s="265"/>
      <c r="BD10" s="265"/>
      <c r="BE10" s="265"/>
      <c r="BF10" s="265"/>
      <c r="BG10" s="265"/>
      <c r="BH10" s="265"/>
      <c r="BI10" s="56"/>
      <c r="BJ10" s="261"/>
      <c r="BK10" s="261"/>
      <c r="BL10" s="141"/>
      <c r="BM10" s="267"/>
      <c r="BN10" s="261"/>
      <c r="BO10" s="261"/>
      <c r="BP10" s="261"/>
      <c r="BQ10" s="261"/>
      <c r="BR10" s="261"/>
      <c r="BS10" s="56"/>
      <c r="BT10" s="260"/>
      <c r="BU10" s="142" t="s">
        <v>133</v>
      </c>
      <c r="BV10" s="142" t="s">
        <v>134</v>
      </c>
      <c r="BW10" s="142" t="s">
        <v>135</v>
      </c>
      <c r="BX10" s="142" t="s">
        <v>117</v>
      </c>
      <c r="BY10" s="142" t="s">
        <v>136</v>
      </c>
      <c r="BZ10" s="260"/>
      <c r="CA10" s="260"/>
      <c r="CB10" s="260"/>
      <c r="CC10" s="260"/>
      <c r="CD10" s="260"/>
      <c r="CE10" s="260"/>
    </row>
    <row r="11" spans="1:85" ht="15.5" thickTop="1" thickBot="1" x14ac:dyDescent="0.4">
      <c r="A11" s="72" t="s">
        <v>137</v>
      </c>
      <c r="B11" s="72">
        <v>160</v>
      </c>
      <c r="C11" s="72">
        <f>'[1]01 ACEL SIN MASA'!A8</f>
        <v>1005.463327</v>
      </c>
      <c r="D11" s="72">
        <f>'[1]01 ACEL SIN MASA'!A9</f>
        <v>0.76002899999999995</v>
      </c>
      <c r="E11" s="73">
        <v>1.0149999999999999</v>
      </c>
      <c r="F11" s="74">
        <v>99.8</v>
      </c>
      <c r="G11" s="75">
        <f>AH11/(E11*F11)</f>
        <v>9.9236809449251133</v>
      </c>
      <c r="H11" s="76"/>
      <c r="I11" s="76"/>
      <c r="J11" s="76"/>
      <c r="K11" s="99">
        <v>0.5</v>
      </c>
      <c r="L11" s="100" t="s">
        <v>66</v>
      </c>
      <c r="M11" s="101">
        <v>2</v>
      </c>
      <c r="N11" s="77">
        <f>E11*K11/M11/100</f>
        <v>2.5374999999999998E-3</v>
      </c>
      <c r="O11" s="78">
        <f>(C11/(F11*E11^2))</f>
        <v>9.7792063245129413</v>
      </c>
      <c r="P11" s="102">
        <f>N11*O11</f>
        <v>2.4814736048451587E-2</v>
      </c>
      <c r="Q11" s="79">
        <v>3</v>
      </c>
      <c r="R11" s="103">
        <f>(1/2)*((N11)/(Q11*N11/100))^2</f>
        <v>555.55555555555566</v>
      </c>
      <c r="S11" s="102">
        <f>P11^4/R11</f>
        <v>6.8251334143287684E-10</v>
      </c>
      <c r="T11" s="104">
        <f>P11^2</f>
        <v>6.1577112515432265E-4</v>
      </c>
      <c r="V11" s="80">
        <v>0.05</v>
      </c>
      <c r="W11" s="105" t="s">
        <v>66</v>
      </c>
      <c r="X11" s="106">
        <v>2</v>
      </c>
      <c r="Y11" s="81">
        <f>F11*V11/X11/100</f>
        <v>2.495E-2</v>
      </c>
      <c r="Z11" s="82">
        <f>(C11/(E11*F11^2))</f>
        <v>9.9457859913633623E-2</v>
      </c>
      <c r="AA11" s="107">
        <f>Y11*Z11</f>
        <v>2.4814736048451589E-3</v>
      </c>
      <c r="AB11" s="108">
        <v>10</v>
      </c>
      <c r="AC11" s="109">
        <f>(1/2)*((Y11)/(AB11*Y11/100))^2</f>
        <v>50</v>
      </c>
      <c r="AD11" s="110">
        <f>AA11^4/AC11</f>
        <v>7.5834815714764126E-13</v>
      </c>
      <c r="AE11" s="111">
        <f>AA11^2</f>
        <v>6.1577112515432274E-6</v>
      </c>
      <c r="AF11" s="83">
        <v>24.768860775</v>
      </c>
      <c r="AG11" s="112">
        <v>0.223</v>
      </c>
      <c r="AH11" s="112">
        <f>C11-(C11*AG11/1000)</f>
        <v>1005.2391086780791</v>
      </c>
      <c r="AI11" s="113">
        <v>27</v>
      </c>
      <c r="AJ11" s="114" t="s">
        <v>113</v>
      </c>
      <c r="AK11" s="115">
        <v>2</v>
      </c>
      <c r="AL11" s="116">
        <f>(AH11/2/1000000)*AI11</f>
        <v>1.3570727967154068E-2</v>
      </c>
      <c r="AM11" s="117">
        <v>2</v>
      </c>
      <c r="AN11" s="118">
        <v>1E-3</v>
      </c>
      <c r="AO11" s="119">
        <f>AN11/SQRT(12)</f>
        <v>2.886751345948129E-4</v>
      </c>
      <c r="AP11" s="117" t="s">
        <v>114</v>
      </c>
      <c r="AQ11" s="86">
        <v>40</v>
      </c>
      <c r="AR11" s="85">
        <f>(D11/SQRT(AQ11))</f>
        <v>0.12017113638900564</v>
      </c>
      <c r="AS11" s="120">
        <f>SQRT(AL11^2+AO11^2+AR11^2)</f>
        <v>0.12093531333699362</v>
      </c>
      <c r="AT11" s="87">
        <f>-(1/(E11*F11))</f>
        <v>-9.8719606701086916E-3</v>
      </c>
      <c r="AU11" s="121">
        <f>AT11*AS11</f>
        <v>-1.1938686568900721E-3</v>
      </c>
      <c r="AV11" s="122">
        <f>AQ11-1</f>
        <v>39</v>
      </c>
      <c r="AW11" s="121">
        <f>AU11^4/AV11</f>
        <v>5.2090868157697287E-14</v>
      </c>
      <c r="AX11" s="123">
        <f>AU11^2</f>
        <v>1.4253223699045048E-6</v>
      </c>
      <c r="BA11" s="143">
        <v>160</v>
      </c>
      <c r="BB11" s="38">
        <f>'[1]01 ACEL SIN MASA'!C8</f>
        <v>0.45546199999999998</v>
      </c>
      <c r="BC11" s="144">
        <f>BB11/SQRT(3)/100</f>
        <v>2.6296110830564532E-3</v>
      </c>
      <c r="BD11" s="38">
        <f>G11</f>
        <v>9.9236809449251133</v>
      </c>
      <c r="BE11" s="145">
        <f>BC11*BD11</f>
        <v>2.6095421397491214E-2</v>
      </c>
      <c r="BF11" s="36">
        <v>39</v>
      </c>
      <c r="BG11" s="145">
        <f>BE11^4/BF11</f>
        <v>1.189029557017898E-8</v>
      </c>
      <c r="BH11" s="146">
        <f>BE11^2</f>
        <v>6.8097101791264234E-4</v>
      </c>
      <c r="BI11" s="91"/>
      <c r="BJ11" s="143">
        <v>160</v>
      </c>
      <c r="BK11" s="38">
        <f>AVERAGE('[1]ACEL TRANS'!G$11:G$12)*100/G$11</f>
        <v>0.97348889275709005</v>
      </c>
      <c r="BL11" s="38">
        <v>3</v>
      </c>
      <c r="BM11" s="151">
        <f>(SQRT((BK11^2)*(BL11^2))/100)/SQRT(18)</f>
        <v>6.8836059747832221E-3</v>
      </c>
      <c r="BN11" s="38">
        <f>G11</f>
        <v>9.9236809449251133</v>
      </c>
      <c r="BO11" s="36">
        <f>BM11*BN11</f>
        <v>6.8310709444328918E-2</v>
      </c>
      <c r="BP11" s="36">
        <v>39</v>
      </c>
      <c r="BQ11" s="145">
        <f>BO11^4/BP11</f>
        <v>5.5832950133189005E-7</v>
      </c>
      <c r="BR11" s="146">
        <f>BO11^2</f>
        <v>4.6663530247875278E-3</v>
      </c>
      <c r="BS11" s="91"/>
      <c r="BT11" s="147">
        <f>SUM(AX11,AE11,T11,BH11,BR11)</f>
        <v>5.9706782014759402E-3</v>
      </c>
      <c r="BU11" s="148">
        <f>T11*100/BT11</f>
        <v>10.313252605074331</v>
      </c>
      <c r="BV11" s="148">
        <f>(AE11*100/BT11)</f>
        <v>0.10313252605074333</v>
      </c>
      <c r="BW11" s="148">
        <f>(AX11*100/BT11)</f>
        <v>2.3872034663535678E-2</v>
      </c>
      <c r="BX11" s="149">
        <f>BH11*100/BT11</f>
        <v>11.405254058815421</v>
      </c>
      <c r="BY11" s="149">
        <f>BR11*100/BT11</f>
        <v>78.154488775395976</v>
      </c>
      <c r="BZ11" s="152">
        <f>SQRT(BT11)</f>
        <v>7.7270163721037496E-2</v>
      </c>
      <c r="CA11" s="150">
        <f>INT((BZ11^4)/SUM(AW11,AD11,S11,BG11,BQ11))</f>
        <v>62</v>
      </c>
      <c r="CB11" s="153">
        <f>TINV(1-0.9545,CA11)</f>
        <v>2.0411339762329948</v>
      </c>
      <c r="CC11" s="154">
        <f>BZ11*CB11</f>
        <v>0.15771875652009576</v>
      </c>
      <c r="CD11" s="155">
        <f>CC11/G11</f>
        <v>1.5893170829998499E-2</v>
      </c>
      <c r="CE11" s="156">
        <f>ROUNDUP(CD11,3)</f>
        <v>1.6E-2</v>
      </c>
    </row>
    <row r="12" spans="1:85" ht="15.5" thickTop="1" thickBot="1" x14ac:dyDescent="0.4">
      <c r="A12" s="72" t="s">
        <v>138</v>
      </c>
      <c r="B12" s="72">
        <v>160</v>
      </c>
      <c r="C12" s="72">
        <f>'[1]02 ACEL M1'!A8</f>
        <v>1003.872833</v>
      </c>
      <c r="D12" s="72">
        <f>'[1]02 ACEL M1'!A9</f>
        <v>0.35744399999999998</v>
      </c>
      <c r="E12" s="73">
        <v>1.0149999999999999</v>
      </c>
      <c r="F12" s="74">
        <f>$F$11</f>
        <v>99.8</v>
      </c>
      <c r="G12" s="75">
        <f>AH12/(E12*F12)</f>
        <v>9.9079831520996802</v>
      </c>
      <c r="H12" s="76"/>
      <c r="I12" s="76"/>
      <c r="J12" s="76"/>
      <c r="K12" s="99">
        <v>0.5</v>
      </c>
      <c r="L12" s="101" t="s">
        <v>66</v>
      </c>
      <c r="M12" s="101">
        <v>2</v>
      </c>
      <c r="N12" s="77">
        <f>E12*K12/M12/100</f>
        <v>2.5374999999999998E-3</v>
      </c>
      <c r="O12" s="78">
        <f>(C12/(F12*E12^2))</f>
        <v>9.7637370691296468</v>
      </c>
      <c r="P12" s="102">
        <f>N12*O12</f>
        <v>2.4775482812916479E-2</v>
      </c>
      <c r="Q12" s="79">
        <v>3</v>
      </c>
      <c r="R12" s="103">
        <f>(1/2)*((N12)/(Q12*N12/100))^2</f>
        <v>555.55555555555566</v>
      </c>
      <c r="S12" s="102">
        <f>P12^4/R12</f>
        <v>6.7820503766418041E-10</v>
      </c>
      <c r="T12" s="104">
        <f>P12^2</f>
        <v>6.1382454861311979E-4</v>
      </c>
      <c r="V12" s="80">
        <v>0.05</v>
      </c>
      <c r="W12" s="105" t="s">
        <v>66</v>
      </c>
      <c r="X12" s="106">
        <v>2</v>
      </c>
      <c r="Y12" s="81">
        <f>F12*V12/X12/100</f>
        <v>2.495E-2</v>
      </c>
      <c r="Z12" s="82">
        <f>(C12/(E12*F12^2))</f>
        <v>9.9300532316298512E-2</v>
      </c>
      <c r="AA12" s="107">
        <f>Y12*Z12</f>
        <v>2.477548281291648E-3</v>
      </c>
      <c r="AB12" s="108">
        <v>10</v>
      </c>
      <c r="AC12" s="109">
        <f>(1/2)*((Y12)/(AB12*Y12/100))^2</f>
        <v>50</v>
      </c>
      <c r="AD12" s="110">
        <f>AA12^4/AC12</f>
        <v>7.5356115296020075E-13</v>
      </c>
      <c r="AE12" s="111">
        <f>AA12^2</f>
        <v>6.1382454861311986E-6</v>
      </c>
      <c r="AF12" s="83">
        <v>49.615142577777775</v>
      </c>
      <c r="AG12" s="112">
        <v>0.223</v>
      </c>
      <c r="AH12" s="112">
        <f>C12-(C12*AG12/1000)</f>
        <v>1003.6489693582411</v>
      </c>
      <c r="AI12" s="113">
        <v>27</v>
      </c>
      <c r="AJ12" s="124" t="s">
        <v>113</v>
      </c>
      <c r="AK12" s="84">
        <v>2</v>
      </c>
      <c r="AL12" s="116">
        <f t="shared" ref="AL12:AL14" si="0">(AH12/2/1000000)*AI12</f>
        <v>1.3549261086336254E-2</v>
      </c>
      <c r="AM12" s="117">
        <v>2</v>
      </c>
      <c r="AN12" s="125">
        <v>1E-3</v>
      </c>
      <c r="AO12" s="116">
        <f>AN12/SQRT(12)</f>
        <v>2.886751345948129E-4</v>
      </c>
      <c r="AP12" s="117" t="s">
        <v>114</v>
      </c>
      <c r="AQ12" s="86">
        <v>40</v>
      </c>
      <c r="AR12" s="85">
        <f>(D12/SQRT(AQ12))</f>
        <v>5.6516858798061301E-2</v>
      </c>
      <c r="AS12" s="126">
        <f>SQRT(AL12^2+AO12^2+AR12^2)</f>
        <v>5.8119025608823129E-2</v>
      </c>
      <c r="AT12" s="87">
        <f>-(1/(E12*F12))</f>
        <v>-9.8719606701086916E-3</v>
      </c>
      <c r="AU12" s="127">
        <f>AT12*AS12</f>
        <v>-5.7374873499534173E-4</v>
      </c>
      <c r="AV12" s="128">
        <f>AQ12-1</f>
        <v>39</v>
      </c>
      <c r="AW12" s="127">
        <f>AU12^4/AV12</f>
        <v>2.7785764916875333E-15</v>
      </c>
      <c r="AX12" s="129">
        <f>AU12^2</f>
        <v>3.2918761090875487E-7</v>
      </c>
      <c r="BA12" s="143">
        <v>160</v>
      </c>
      <c r="BB12" s="38">
        <f>'[1]02 ACEL M1'!C8</f>
        <v>0.40729399999999999</v>
      </c>
      <c r="BC12" s="144">
        <f>BB12/SQRT(3)/100</f>
        <v>2.3515130053931941E-3</v>
      </c>
      <c r="BD12" s="38">
        <f>G12</f>
        <v>9.9079831520996802</v>
      </c>
      <c r="BE12" s="36">
        <f>BC12*BD12</f>
        <v>2.3298751239379051E-2</v>
      </c>
      <c r="BF12" s="36">
        <v>39</v>
      </c>
      <c r="BG12" s="145">
        <f>BE12^4/BF12</f>
        <v>7.555548030861991E-9</v>
      </c>
      <c r="BH12" s="146">
        <f>BE12^2</f>
        <v>5.4283180931446681E-4</v>
      </c>
      <c r="BI12" s="91"/>
      <c r="BJ12" s="143">
        <v>160</v>
      </c>
      <c r="BK12" s="38">
        <f>AVERAGE('[1]ACEL TRANS'!G$11:G$12)*100/G$11</f>
        <v>0.97348889275709005</v>
      </c>
      <c r="BL12" s="38">
        <v>3</v>
      </c>
      <c r="BM12" s="151">
        <f t="shared" ref="BM12:BM14" si="1">(SQRT((BK12^2)*(BL12^2))/100)/SQRT(18)</f>
        <v>6.8836059747832221E-3</v>
      </c>
      <c r="BN12" s="38">
        <f>G12</f>
        <v>9.9079831520996802</v>
      </c>
      <c r="BO12" s="36">
        <f>BM12*BN12</f>
        <v>6.8202652023844859E-2</v>
      </c>
      <c r="BP12" s="36">
        <v>39</v>
      </c>
      <c r="BQ12" s="145">
        <f>BO12^4/BP12</f>
        <v>5.5480509682763169E-7</v>
      </c>
      <c r="BR12" s="146">
        <f>BO12^2</f>
        <v>4.6516017430856694E-3</v>
      </c>
      <c r="BS12" s="91"/>
      <c r="BT12" s="147">
        <f>SUM(AX12,AE12,T12,BH12,BR12)</f>
        <v>5.8147255341102957E-3</v>
      </c>
      <c r="BU12" s="148">
        <f>T12*100/BT12</f>
        <v>10.556380434679284</v>
      </c>
      <c r="BV12" s="148">
        <f>(AE12*100/BT12)</f>
        <v>0.10556380434679287</v>
      </c>
      <c r="BW12" s="148">
        <f>(AX12*100/BT12)</f>
        <v>5.6612751363357946E-3</v>
      </c>
      <c r="BX12" s="149">
        <f>BH12*100/BT12</f>
        <v>9.3354674460576224</v>
      </c>
      <c r="BY12" s="149">
        <f t="shared" ref="BY12:BY14" si="2">BR12*100/BT12</f>
        <v>79.996927039779962</v>
      </c>
      <c r="BZ12" s="152">
        <f>SQRT(BT12)</f>
        <v>7.6254347640710263E-2</v>
      </c>
      <c r="CA12" s="150">
        <f>INT((BZ12^4)/SUM(AW12,AD12,S12,BG12,BQ12))</f>
        <v>60</v>
      </c>
      <c r="CB12" s="153">
        <f>TINV(1-0.9545,CA12)</f>
        <v>2.042533322958588</v>
      </c>
      <c r="CC12" s="154">
        <f>BZ12*CB12</f>
        <v>0.1557520460766193</v>
      </c>
      <c r="CD12" s="155">
        <f>CC12/G12</f>
        <v>1.5719853746785251E-2</v>
      </c>
      <c r="CE12" s="156">
        <f t="shared" ref="CE12:CE14" si="3">ROUNDUP(CD12,3)</f>
        <v>1.6E-2</v>
      </c>
    </row>
    <row r="13" spans="1:85" ht="15.5" thickTop="1" thickBot="1" x14ac:dyDescent="0.4">
      <c r="A13" s="72" t="s">
        <v>139</v>
      </c>
      <c r="B13" s="72">
        <v>160</v>
      </c>
      <c r="C13" s="72">
        <f>'[1]03 ACEL M2'!A8</f>
        <v>995.13590199999999</v>
      </c>
      <c r="D13" s="72">
        <f>'[1]03 ACEL M2'!A9</f>
        <v>0.473051</v>
      </c>
      <c r="E13" s="73">
        <v>1.0149999999999999</v>
      </c>
      <c r="F13" s="74">
        <f>$F$11</f>
        <v>99.8</v>
      </c>
      <c r="G13" s="75">
        <f>AH13/(E13*F13)</f>
        <v>9.8217517467827697</v>
      </c>
      <c r="H13" s="76"/>
      <c r="I13" s="76"/>
      <c r="J13" s="76"/>
      <c r="K13" s="99">
        <v>0.5</v>
      </c>
      <c r="L13" s="101" t="s">
        <v>66</v>
      </c>
      <c r="M13" s="101">
        <v>2</v>
      </c>
      <c r="N13" s="77">
        <f>E13*K13/M13/100</f>
        <v>2.5374999999999998E-3</v>
      </c>
      <c r="O13" s="78">
        <f>(C13/(F13*E13^2))</f>
        <v>9.6787610699085107</v>
      </c>
      <c r="P13" s="102">
        <f>N13*O13</f>
        <v>2.4559856214892845E-2</v>
      </c>
      <c r="Q13" s="79">
        <v>3</v>
      </c>
      <c r="R13" s="103">
        <f>(1/2)*((N13)/(Q13*N13/100))^2</f>
        <v>555.55555555555566</v>
      </c>
      <c r="S13" s="102">
        <f>P13^4/R13</f>
        <v>6.5490119779570724E-10</v>
      </c>
      <c r="T13" s="104">
        <f>P13^2</f>
        <v>6.0318653729621069E-4</v>
      </c>
      <c r="V13" s="80">
        <v>0.05</v>
      </c>
      <c r="W13" s="105" t="s">
        <v>66</v>
      </c>
      <c r="X13" s="106">
        <v>2</v>
      </c>
      <c r="Y13" s="81">
        <f>F13*V13/X13/100</f>
        <v>2.495E-2</v>
      </c>
      <c r="Z13" s="82">
        <f>(C13/(E13*F13^2))</f>
        <v>9.8436297454480334E-2</v>
      </c>
      <c r="AA13" s="107">
        <f>Y13*Z13</f>
        <v>2.4559856214892845E-3</v>
      </c>
      <c r="AB13" s="108">
        <v>10</v>
      </c>
      <c r="AC13" s="109">
        <f>(1/2)*((Y13)/(AB13*Y13/100))^2</f>
        <v>50</v>
      </c>
      <c r="AD13" s="110">
        <f>AA13^4/AC13</f>
        <v>7.2766799755078588E-13</v>
      </c>
      <c r="AE13" s="111">
        <f>AA13^2</f>
        <v>6.0318653729621066E-6</v>
      </c>
      <c r="AF13" s="83">
        <v>100.40117921111111</v>
      </c>
      <c r="AG13" s="112">
        <v>0.223</v>
      </c>
      <c r="AH13" s="112">
        <f>C13-(C13*AG13/1000)</f>
        <v>994.91398669385399</v>
      </c>
      <c r="AI13" s="113">
        <v>27</v>
      </c>
      <c r="AJ13" s="124" t="s">
        <v>113</v>
      </c>
      <c r="AK13" s="84">
        <v>2</v>
      </c>
      <c r="AL13" s="116">
        <f t="shared" si="0"/>
        <v>1.3431338820367031E-2</v>
      </c>
      <c r="AM13" s="117">
        <v>2</v>
      </c>
      <c r="AN13" s="125">
        <v>1E-3</v>
      </c>
      <c r="AO13" s="116">
        <f>AN13/SQRT(12)</f>
        <v>2.886751345948129E-4</v>
      </c>
      <c r="AP13" s="117" t="s">
        <v>114</v>
      </c>
      <c r="AQ13" s="86">
        <v>40</v>
      </c>
      <c r="AR13" s="85">
        <f>(D13/SQRT(AQ13))</f>
        <v>7.4795930471015598E-2</v>
      </c>
      <c r="AS13" s="126">
        <f>SQRT(AL13^2+AO13^2+AR13^2)</f>
        <v>7.5992864210173261E-2</v>
      </c>
      <c r="AT13" s="87">
        <f>-(1/(E13*F13))</f>
        <v>-9.8719606701086916E-3</v>
      </c>
      <c r="AU13" s="127">
        <f>AT13*AS13</f>
        <v>-7.5019856669174083E-4</v>
      </c>
      <c r="AV13" s="128">
        <f>AQ13-1</f>
        <v>39</v>
      </c>
      <c r="AW13" s="127">
        <f>AU13^4/AV13</f>
        <v>8.1215760099428025E-15</v>
      </c>
      <c r="AX13" s="129">
        <f>AU13^2</f>
        <v>5.6279788946634236E-7</v>
      </c>
      <c r="BA13" s="143">
        <v>160</v>
      </c>
      <c r="BB13" s="38">
        <f>'[1]03 ACEL M2'!C8</f>
        <v>0.67052199999999995</v>
      </c>
      <c r="BC13" s="144">
        <f t="shared" ref="BC13:BC14" si="4">BB13/SQRT(3)/100</f>
        <v>3.8712605719756626E-3</v>
      </c>
      <c r="BD13" s="38">
        <f>G13</f>
        <v>9.8217517467827697</v>
      </c>
      <c r="BE13" s="36">
        <f>BC13*BD13</f>
        <v>3.8022560285053228E-2</v>
      </c>
      <c r="BF13" s="36">
        <v>39</v>
      </c>
      <c r="BG13" s="145">
        <f>BE13^4/BF13</f>
        <v>5.359210572504551E-8</v>
      </c>
      <c r="BH13" s="146">
        <f>BE13^2</f>
        <v>1.445715090630507E-3</v>
      </c>
      <c r="BI13" s="91"/>
      <c r="BJ13" s="143">
        <v>160</v>
      </c>
      <c r="BK13" s="38">
        <f>AVERAGE('[1]ACEL TRANS'!G$11:G$12)*100/G$11</f>
        <v>0.97348889275709005</v>
      </c>
      <c r="BL13" s="38">
        <v>3</v>
      </c>
      <c r="BM13" s="151">
        <f t="shared" si="1"/>
        <v>6.8836059747832221E-3</v>
      </c>
      <c r="BN13" s="38">
        <f>G13</f>
        <v>9.8217517467827697</v>
      </c>
      <c r="BO13" s="36">
        <f>BM13*BN13</f>
        <v>6.7609069006991429E-2</v>
      </c>
      <c r="BP13" s="36">
        <v>39</v>
      </c>
      <c r="BQ13" s="145">
        <f>BO13^4/BP13</f>
        <v>5.3574140898005511E-7</v>
      </c>
      <c r="BR13" s="146">
        <f>BO13^2</f>
        <v>4.5709862119921287E-3</v>
      </c>
      <c r="BS13" s="91"/>
      <c r="BT13" s="147">
        <f>SUM(AX13,AE13,T13,BH13,BR13)</f>
        <v>6.6264825031812748E-3</v>
      </c>
      <c r="BU13" s="148">
        <f>T13*100/BT13</f>
        <v>9.1026655092898814</v>
      </c>
      <c r="BV13" s="148">
        <f>(AE13*100/BT13)</f>
        <v>9.1026655092898812E-2</v>
      </c>
      <c r="BW13" s="148">
        <f>(AX13*100/BT13)</f>
        <v>8.4931619331395126E-3</v>
      </c>
      <c r="BX13" s="149">
        <f>BH13*100/BT13</f>
        <v>21.817232444761466</v>
      </c>
      <c r="BY13" s="149">
        <f t="shared" si="2"/>
        <v>68.980582228922614</v>
      </c>
      <c r="BZ13" s="152">
        <f>SQRT(BT13)</f>
        <v>8.1403209415730496E-2</v>
      </c>
      <c r="CA13" s="150">
        <f>INT((BZ13^4)/SUM(AW13,AD13,S13,BG13,BQ13))</f>
        <v>74</v>
      </c>
      <c r="CB13" s="153">
        <f>TINV(1-0.9545,CA13)</f>
        <v>2.0343527145899718</v>
      </c>
      <c r="CC13" s="154">
        <f>BZ13*CB13</f>
        <v>0.16560284005122727</v>
      </c>
      <c r="CD13" s="155">
        <f>CC13/G13</f>
        <v>1.6860825270346751E-2</v>
      </c>
      <c r="CE13" s="156">
        <f t="shared" si="3"/>
        <v>1.7000000000000001E-2</v>
      </c>
    </row>
    <row r="14" spans="1:85" ht="15.5" thickTop="1" thickBot="1" x14ac:dyDescent="0.4">
      <c r="A14" s="72" t="s">
        <v>140</v>
      </c>
      <c r="B14" s="72">
        <v>160</v>
      </c>
      <c r="C14" s="72">
        <f>'[1]04 ACEL M3'!A8</f>
        <v>989.20163100000002</v>
      </c>
      <c r="D14" s="72">
        <f>'[1]04 ACEL M3'!A9</f>
        <v>0.63236700000000001</v>
      </c>
      <c r="E14" s="73">
        <v>1.0149999999999999</v>
      </c>
      <c r="F14" s="74">
        <f>$F$11</f>
        <v>99.8</v>
      </c>
      <c r="G14" s="75">
        <f>AH14/(E14*F14)</f>
        <v>9.7631819208494548</v>
      </c>
      <c r="H14" s="76"/>
      <c r="I14" s="76"/>
      <c r="J14" s="76"/>
      <c r="K14" s="99">
        <v>0.5</v>
      </c>
      <c r="L14" s="101" t="s">
        <v>66</v>
      </c>
      <c r="M14" s="101">
        <v>2</v>
      </c>
      <c r="N14" s="77">
        <f>E14*K14/M14/100</f>
        <v>2.5374999999999998E-3</v>
      </c>
      <c r="O14" s="78">
        <f>(C14/(F14*E14^2))</f>
        <v>9.6210439369846021</v>
      </c>
      <c r="P14" s="102">
        <f>N14*O14</f>
        <v>2.4413398990098426E-2</v>
      </c>
      <c r="Q14" s="79">
        <v>3</v>
      </c>
      <c r="R14" s="103">
        <f>(1/2)*((N14)/(Q14*N14/100))^2</f>
        <v>555.55555555555566</v>
      </c>
      <c r="S14" s="102">
        <f>P14^4/R14</f>
        <v>6.3941894657117685E-10</v>
      </c>
      <c r="T14" s="104">
        <f>P14^2</f>
        <v>5.960140502497389E-4</v>
      </c>
      <c r="V14" s="80">
        <v>0.05</v>
      </c>
      <c r="W14" s="105" t="s">
        <v>66</v>
      </c>
      <c r="X14" s="106">
        <v>2</v>
      </c>
      <c r="Y14" s="81">
        <f>F14*V14/X14/100</f>
        <v>2.495E-2</v>
      </c>
      <c r="Z14" s="82">
        <f>(C14/(E14*F14^2))</f>
        <v>9.7849294549492705E-2</v>
      </c>
      <c r="AA14" s="107">
        <f>Y14*Z14</f>
        <v>2.441339899009843E-3</v>
      </c>
      <c r="AB14" s="108">
        <v>10</v>
      </c>
      <c r="AC14" s="109">
        <f>(1/2)*((Y14)/(AB14*Y14/100))^2</f>
        <v>50</v>
      </c>
      <c r="AD14" s="110">
        <f>AA14^4/AC14</f>
        <v>7.1046549619019687E-13</v>
      </c>
      <c r="AE14" s="111">
        <f>AA14^2</f>
        <v>5.9601405024973901E-6</v>
      </c>
      <c r="AF14" s="83">
        <v>159.80592060833334</v>
      </c>
      <c r="AG14" s="112">
        <v>0.223</v>
      </c>
      <c r="AH14" s="112">
        <f>C14-(C14*AG14/1000)</f>
        <v>988.98103903628703</v>
      </c>
      <c r="AI14" s="113">
        <v>27</v>
      </c>
      <c r="AJ14" s="124" t="s">
        <v>113</v>
      </c>
      <c r="AK14" s="84">
        <v>2</v>
      </c>
      <c r="AL14" s="116">
        <f t="shared" si="0"/>
        <v>1.3351244026989876E-2</v>
      </c>
      <c r="AM14" s="117">
        <v>2</v>
      </c>
      <c r="AN14" s="125">
        <v>1E-3</v>
      </c>
      <c r="AO14" s="116">
        <f>AN14/SQRT(12)</f>
        <v>2.886751345948129E-4</v>
      </c>
      <c r="AP14" s="117" t="s">
        <v>114</v>
      </c>
      <c r="AQ14" s="86">
        <v>40</v>
      </c>
      <c r="AR14" s="85">
        <f>(D14/SQRT(AQ14))</f>
        <v>9.9986001856384871E-2</v>
      </c>
      <c r="AS14" s="126">
        <f>SQRT(AL14^2+AO14^2+AR14^2)</f>
        <v>0.10087387975896717</v>
      </c>
      <c r="AT14" s="87">
        <f>-(1/(E14*F14))</f>
        <v>-9.8719606701086916E-3</v>
      </c>
      <c r="AU14" s="127">
        <f>AT14*AS14</f>
        <v>-9.9582297362179706E-4</v>
      </c>
      <c r="AV14" s="128">
        <f>AQ14-1</f>
        <v>39</v>
      </c>
      <c r="AW14" s="127">
        <f>AU14^4/AV14</f>
        <v>2.5215289450571662E-14</v>
      </c>
      <c r="AX14" s="129">
        <f>AU14^2</f>
        <v>9.9166339479295831E-7</v>
      </c>
      <c r="BA14" s="143">
        <v>159.80592060833334</v>
      </c>
      <c r="BB14" s="38">
        <f>'[1]04 ACEL M3'!C8</f>
        <v>1.425629</v>
      </c>
      <c r="BC14" s="144">
        <f t="shared" si="4"/>
        <v>8.2308728691453704E-3</v>
      </c>
      <c r="BD14" s="38">
        <f>G14</f>
        <v>9.7631819208494548</v>
      </c>
      <c r="BE14" s="36">
        <f>BC14*BD14</f>
        <v>8.0359509188850362E-2</v>
      </c>
      <c r="BF14" s="36">
        <v>39</v>
      </c>
      <c r="BG14" s="145">
        <f>BE14^4/BF14</f>
        <v>1.0692628918900633E-6</v>
      </c>
      <c r="BH14" s="146">
        <f>BE14^2</f>
        <v>6.4576507170729259E-3</v>
      </c>
      <c r="BI14" s="91"/>
      <c r="BJ14" s="143">
        <v>159.80592060833334</v>
      </c>
      <c r="BK14" s="38">
        <f>AVERAGE('[1]ACEL TRANS'!G$11:G$12)*100/G$11</f>
        <v>0.97348889275709005</v>
      </c>
      <c r="BL14" s="38">
        <v>3</v>
      </c>
      <c r="BM14" s="151">
        <f t="shared" si="1"/>
        <v>6.8836059747832221E-3</v>
      </c>
      <c r="BN14" s="38">
        <f>G14</f>
        <v>9.7631819208494548</v>
      </c>
      <c r="BO14" s="36">
        <f>BM14*BN14</f>
        <v>6.7205897403254847E-2</v>
      </c>
      <c r="BP14" s="36">
        <v>39</v>
      </c>
      <c r="BQ14" s="145">
        <f>BO14^4/BP14</f>
        <v>5.230761655614585E-7</v>
      </c>
      <c r="BR14" s="146">
        <f>BO14^2</f>
        <v>4.5166326457768162E-3</v>
      </c>
      <c r="BS14" s="91"/>
      <c r="BT14" s="147">
        <f>SUM(AX14,AE14,T14,BH14,BR14)</f>
        <v>1.1577249216996773E-2</v>
      </c>
      <c r="BU14" s="148">
        <f>T14*100/BT14</f>
        <v>5.1481490903272578</v>
      </c>
      <c r="BV14" s="148">
        <f>(AE14*100/BT14)</f>
        <v>5.1481490903272586E-2</v>
      </c>
      <c r="BW14" s="148">
        <f>(AX14*100/BT14)</f>
        <v>8.5656219038377363E-3</v>
      </c>
      <c r="BX14" s="149">
        <f>BH14*100/BT14</f>
        <v>55.778800266235351</v>
      </c>
      <c r="BY14" s="149">
        <f t="shared" si="2"/>
        <v>39.013003530630272</v>
      </c>
      <c r="BZ14" s="152">
        <f>SQRT(BT14)</f>
        <v>0.10759762644685417</v>
      </c>
      <c r="CA14" s="150">
        <f>INT((BZ14^4)/SUM(AW14,AD14,S14,BG14,BQ14))</f>
        <v>84</v>
      </c>
      <c r="CB14" s="153">
        <f>TINV(1-0.9545,CA14)</f>
        <v>2.0302033347124313</v>
      </c>
      <c r="CC14" s="154">
        <f>BZ14*CB14</f>
        <v>0.21844506001954583</v>
      </c>
      <c r="CD14" s="155">
        <f>CC14/G14</f>
        <v>2.2374371571736502E-2</v>
      </c>
      <c r="CE14" s="156">
        <f t="shared" si="3"/>
        <v>2.3E-2</v>
      </c>
    </row>
    <row r="15" spans="1:85" ht="16.5" customHeight="1" thickTop="1" x14ac:dyDescent="0.25">
      <c r="A15" s="76"/>
      <c r="B15" s="76"/>
      <c r="C15" s="76"/>
      <c r="D15" s="76"/>
      <c r="E15" s="76"/>
      <c r="F15" s="76"/>
      <c r="G15" s="76"/>
      <c r="H15" s="76"/>
      <c r="I15" s="76"/>
      <c r="J15" s="76"/>
    </row>
    <row r="16" spans="1:85" ht="14.5" x14ac:dyDescent="0.35">
      <c r="AH16" s="132"/>
      <c r="AI16" s="33"/>
      <c r="BN16" s="157"/>
      <c r="BT16" s="133"/>
    </row>
    <row r="17" spans="4:68" ht="14" x14ac:dyDescent="0.25">
      <c r="F17" s="130"/>
      <c r="G17" s="130"/>
      <c r="K17" s="130"/>
      <c r="L17" s="135"/>
      <c r="AH17" s="132"/>
      <c r="AI17" s="33"/>
      <c r="BN17" s="157"/>
      <c r="BP17" s="31"/>
    </row>
    <row r="18" spans="4:68" ht="14" x14ac:dyDescent="0.3">
      <c r="D18" s="89"/>
      <c r="E18" s="33"/>
      <c r="F18" s="134"/>
      <c r="G18" s="33"/>
      <c r="H18" s="130"/>
      <c r="I18" s="130"/>
      <c r="J18" s="130"/>
      <c r="K18" s="137"/>
      <c r="L18" s="138"/>
      <c r="AH18" s="132"/>
      <c r="AI18" s="33"/>
      <c r="BN18" s="157"/>
    </row>
    <row r="19" spans="4:68" ht="14" x14ac:dyDescent="0.3">
      <c r="D19" s="89"/>
      <c r="E19" s="33"/>
      <c r="F19" s="134"/>
      <c r="G19" s="33"/>
      <c r="H19" s="33"/>
      <c r="I19" s="33"/>
      <c r="J19" s="136"/>
      <c r="K19" s="137"/>
      <c r="L19" s="138"/>
      <c r="AH19" s="132"/>
      <c r="AI19" s="33"/>
      <c r="BN19" s="158"/>
    </row>
    <row r="20" spans="4:68" ht="14" x14ac:dyDescent="0.3">
      <c r="D20" s="89"/>
      <c r="E20" s="33"/>
      <c r="F20" s="134"/>
      <c r="G20" s="33"/>
      <c r="H20" s="33"/>
      <c r="I20" s="33"/>
      <c r="J20" s="136"/>
      <c r="K20" s="137"/>
      <c r="L20" s="138"/>
      <c r="AH20" s="132"/>
      <c r="AI20" s="33"/>
    </row>
    <row r="21" spans="4:68" ht="14" x14ac:dyDescent="0.3">
      <c r="D21" s="89"/>
      <c r="E21" s="33"/>
      <c r="F21" s="134"/>
      <c r="G21" s="33"/>
      <c r="H21" s="33"/>
      <c r="I21" s="33"/>
      <c r="J21" s="136"/>
      <c r="K21" s="137"/>
      <c r="L21" s="138"/>
      <c r="AH21" s="132"/>
      <c r="AI21" s="33"/>
    </row>
    <row r="22" spans="4:68" ht="14" x14ac:dyDescent="0.3">
      <c r="D22" s="89"/>
      <c r="E22" s="33"/>
      <c r="F22" s="134"/>
      <c r="G22" s="33"/>
      <c r="H22" s="33"/>
      <c r="I22" s="33"/>
      <c r="J22" s="136"/>
      <c r="K22" s="137"/>
      <c r="L22" s="138"/>
      <c r="AH22" s="132"/>
      <c r="AI22" s="33"/>
    </row>
    <row r="23" spans="4:68" ht="14" x14ac:dyDescent="0.25">
      <c r="F23" s="33"/>
      <c r="H23" s="33"/>
      <c r="I23" s="33"/>
      <c r="J23" s="136"/>
      <c r="AH23" s="139"/>
    </row>
    <row r="24" spans="4:68" ht="14" x14ac:dyDescent="0.25">
      <c r="F24" s="33"/>
      <c r="AH24" s="139"/>
    </row>
    <row r="25" spans="4:68" ht="14" x14ac:dyDescent="0.25">
      <c r="F25" s="33"/>
      <c r="AH25" s="139"/>
    </row>
    <row r="26" spans="4:68" ht="14" x14ac:dyDescent="0.25">
      <c r="F26" s="33"/>
      <c r="AH26" s="139"/>
    </row>
    <row r="27" spans="4:68" ht="14" x14ac:dyDescent="0.25">
      <c r="F27" s="33"/>
      <c r="AH27" s="139"/>
    </row>
    <row r="28" spans="4:68" ht="14" x14ac:dyDescent="0.25">
      <c r="F28" s="33"/>
      <c r="AH28" s="139"/>
    </row>
    <row r="29" spans="4:68" ht="14" x14ac:dyDescent="0.25">
      <c r="F29" s="33"/>
      <c r="AH29" s="139"/>
    </row>
    <row r="30" spans="4:68" ht="14" x14ac:dyDescent="0.25">
      <c r="F30" s="33"/>
      <c r="AH30" s="139"/>
    </row>
    <row r="31" spans="4:68" ht="14" x14ac:dyDescent="0.25">
      <c r="F31" s="33"/>
      <c r="AH31" s="139"/>
    </row>
    <row r="32" spans="4:68" ht="14" x14ac:dyDescent="0.25">
      <c r="F32" s="33"/>
      <c r="AH32" s="139"/>
    </row>
    <row r="33" spans="6:34" ht="14" x14ac:dyDescent="0.25">
      <c r="F33" s="33"/>
      <c r="AH33" s="139"/>
    </row>
    <row r="34" spans="6:34" ht="14" x14ac:dyDescent="0.25">
      <c r="F34" s="33"/>
      <c r="AH34" s="139"/>
    </row>
    <row r="35" spans="6:34" ht="14" x14ac:dyDescent="0.25">
      <c r="F35" s="33"/>
      <c r="AH35" s="139"/>
    </row>
    <row r="36" spans="6:34" x14ac:dyDescent="0.25">
      <c r="F36" s="33"/>
    </row>
    <row r="37" spans="6:34" x14ac:dyDescent="0.25">
      <c r="F37" s="33"/>
    </row>
    <row r="38" spans="6:34" x14ac:dyDescent="0.25">
      <c r="F38" s="33"/>
    </row>
    <row r="39" spans="6:34" x14ac:dyDescent="0.25">
      <c r="F39" s="33"/>
    </row>
    <row r="40" spans="6:34" x14ac:dyDescent="0.25">
      <c r="F40" s="33"/>
    </row>
    <row r="41" spans="6:34" x14ac:dyDescent="0.25">
      <c r="F41" s="33"/>
    </row>
    <row r="42" spans="6:34" x14ac:dyDescent="0.25">
      <c r="F42" s="33"/>
    </row>
    <row r="43" spans="6:34" x14ac:dyDescent="0.25">
      <c r="F43" s="33"/>
    </row>
    <row r="44" spans="6:34" x14ac:dyDescent="0.25">
      <c r="F44" s="33"/>
    </row>
    <row r="45" spans="6:34" x14ac:dyDescent="0.25">
      <c r="F45" s="33"/>
    </row>
    <row r="46" spans="6:34" x14ac:dyDescent="0.25">
      <c r="F46" s="33"/>
    </row>
    <row r="47" spans="6:34" x14ac:dyDescent="0.25">
      <c r="F47" s="33"/>
    </row>
    <row r="48" spans="6:34" x14ac:dyDescent="0.25">
      <c r="F48" s="33"/>
    </row>
    <row r="49" spans="6:6" x14ac:dyDescent="0.25">
      <c r="F49" s="33"/>
    </row>
    <row r="50" spans="6:6" x14ac:dyDescent="0.25">
      <c r="F50" s="33"/>
    </row>
    <row r="51" spans="6:6" x14ac:dyDescent="0.25">
      <c r="F51" s="33"/>
    </row>
    <row r="52" spans="6:6" x14ac:dyDescent="0.25">
      <c r="F52" s="33"/>
    </row>
    <row r="53" spans="6:6" x14ac:dyDescent="0.25">
      <c r="F53" s="33"/>
    </row>
    <row r="54" spans="6:6" x14ac:dyDescent="0.25">
      <c r="F54" s="33"/>
    </row>
    <row r="55" spans="6:6" x14ac:dyDescent="0.25">
      <c r="F55" s="33"/>
    </row>
    <row r="56" spans="6:6" x14ac:dyDescent="0.25">
      <c r="F56" s="33"/>
    </row>
    <row r="57" spans="6:6" x14ac:dyDescent="0.25">
      <c r="F57" s="33"/>
    </row>
    <row r="58" spans="6:6" x14ac:dyDescent="0.25">
      <c r="F58" s="33"/>
    </row>
    <row r="59" spans="6:6" ht="13.5" customHeight="1" x14ac:dyDescent="0.25">
      <c r="F59" s="33"/>
    </row>
    <row r="60" spans="6:6" x14ac:dyDescent="0.25">
      <c r="F60" s="33"/>
    </row>
    <row r="61" spans="6:6" x14ac:dyDescent="0.25">
      <c r="F61" s="33"/>
    </row>
    <row r="62" spans="6:6" x14ac:dyDescent="0.25">
      <c r="F62" s="33"/>
    </row>
  </sheetData>
  <mergeCells count="57">
    <mergeCell ref="BT2:CG6"/>
    <mergeCell ref="A9:A10"/>
    <mergeCell ref="B9:B10"/>
    <mergeCell ref="C9:D9"/>
    <mergeCell ref="E9:F9"/>
    <mergeCell ref="K9:L9"/>
    <mergeCell ref="N9:N10"/>
    <mergeCell ref="O9:O10"/>
    <mergeCell ref="P9:P10"/>
    <mergeCell ref="Q9:R9"/>
    <mergeCell ref="A2:I5"/>
    <mergeCell ref="K2:T5"/>
    <mergeCell ref="V2:AE5"/>
    <mergeCell ref="AG2:AX6"/>
    <mergeCell ref="BA2:BH8"/>
    <mergeCell ref="BJ2:BR8"/>
    <mergeCell ref="AP9:AR9"/>
    <mergeCell ref="S9:S10"/>
    <mergeCell ref="T9:T10"/>
    <mergeCell ref="V9:W9"/>
    <mergeCell ref="Y9:Y10"/>
    <mergeCell ref="Z9:Z10"/>
    <mergeCell ref="AA9:AA10"/>
    <mergeCell ref="AB9:AC9"/>
    <mergeCell ref="AD9:AD10"/>
    <mergeCell ref="AE9:AE10"/>
    <mergeCell ref="AJ9:AK9"/>
    <mergeCell ref="AM9:AO9"/>
    <mergeCell ref="BG9:BG10"/>
    <mergeCell ref="AS9:AS10"/>
    <mergeCell ref="AT9:AT10"/>
    <mergeCell ref="AU9:AU10"/>
    <mergeCell ref="AW9:AW10"/>
    <mergeCell ref="AX9:AX10"/>
    <mergeCell ref="BA9:BA10"/>
    <mergeCell ref="BB9:BB10"/>
    <mergeCell ref="BC9:BC10"/>
    <mergeCell ref="BD9:BD10"/>
    <mergeCell ref="BE9:BE10"/>
    <mergeCell ref="BF9:BF10"/>
    <mergeCell ref="BZ9:BZ10"/>
    <mergeCell ref="BH9:BH10"/>
    <mergeCell ref="BJ9:BJ10"/>
    <mergeCell ref="BK9:BK10"/>
    <mergeCell ref="BM9:BM10"/>
    <mergeCell ref="BN9:BN10"/>
    <mergeCell ref="BO9:BO10"/>
    <mergeCell ref="BP9:BP10"/>
    <mergeCell ref="BQ9:BQ10"/>
    <mergeCell ref="BR9:BR10"/>
    <mergeCell ref="BT9:BT10"/>
    <mergeCell ref="BU9:BY9"/>
    <mergeCell ref="CA9:CA10"/>
    <mergeCell ref="CB9:CB10"/>
    <mergeCell ref="CC9:CC10"/>
    <mergeCell ref="CD9:CD10"/>
    <mergeCell ref="CE9:CE1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3</xdr:col>
                <xdr:colOff>641350</xdr:colOff>
                <xdr:row>5</xdr:row>
                <xdr:rowOff>133350</xdr:rowOff>
              </from>
              <to>
                <xdr:col>4</xdr:col>
                <xdr:colOff>438150</xdr:colOff>
                <xdr:row>7</xdr:row>
                <xdr:rowOff>107950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ADC0-7E94-481B-A915-D4E54CCF0FDE}">
  <dimension ref="A1:U48"/>
  <sheetViews>
    <sheetView zoomScale="80" zoomScaleNormal="80" workbookViewId="0">
      <selection activeCell="O38" sqref="O38"/>
    </sheetView>
  </sheetViews>
  <sheetFormatPr baseColWidth="10" defaultColWidth="11.453125" defaultRowHeight="12.5" x14ac:dyDescent="0.25"/>
  <cols>
    <col min="1" max="1" width="17.1796875" style="2" customWidth="1"/>
    <col min="2" max="2" width="30.7265625" style="2" customWidth="1"/>
    <col min="3" max="3" width="15.54296875" style="2" bestFit="1" customWidth="1"/>
    <col min="4" max="4" width="15.1796875" style="2" bestFit="1" customWidth="1"/>
    <col min="5" max="5" width="17" style="2" bestFit="1" customWidth="1"/>
    <col min="6" max="6" width="15.26953125" style="2" customWidth="1"/>
    <col min="7" max="7" width="19.26953125" style="2" bestFit="1" customWidth="1"/>
    <col min="8" max="8" width="16.81640625" style="2" customWidth="1"/>
    <col min="9" max="10" width="19.26953125" style="2" bestFit="1" customWidth="1"/>
    <col min="11" max="11" width="10.7265625" style="2" customWidth="1"/>
    <col min="12" max="12" width="19.26953125" style="219" bestFit="1" customWidth="1"/>
    <col min="13" max="13" width="14" style="2" customWidth="1"/>
    <col min="14" max="14" width="29.7265625" style="2" bestFit="1" customWidth="1"/>
    <col min="15" max="15" width="17.1796875" style="2" customWidth="1"/>
    <col min="16" max="16" width="11.453125" style="2"/>
    <col min="17" max="17" width="13.26953125" style="2" customWidth="1"/>
    <col min="18" max="18" width="15.81640625" style="2" customWidth="1"/>
    <col min="19" max="19" width="16.26953125" style="2" customWidth="1"/>
    <col min="20" max="20" width="22.1796875" style="2" customWidth="1"/>
    <col min="21" max="16384" width="11.453125" style="2"/>
  </cols>
  <sheetData>
    <row r="1" spans="1:21" x14ac:dyDescent="0.25">
      <c r="A1" s="159" t="s">
        <v>141</v>
      </c>
      <c r="B1" s="160"/>
      <c r="C1" s="160"/>
      <c r="D1" s="160"/>
      <c r="E1" s="160"/>
      <c r="F1" s="160"/>
      <c r="G1" s="160"/>
      <c r="H1" s="160"/>
      <c r="I1" s="160"/>
      <c r="J1" s="160"/>
      <c r="K1" s="161"/>
      <c r="L1" s="159"/>
      <c r="M1" s="160"/>
      <c r="N1" s="161"/>
    </row>
    <row r="2" spans="1:21" x14ac:dyDescent="0.25">
      <c r="A2" s="162">
        <f>SQRT(2)</f>
        <v>1.4142135623730951</v>
      </c>
      <c r="B2" s="163"/>
      <c r="C2" s="163"/>
      <c r="D2" s="163"/>
      <c r="E2" s="163"/>
      <c r="F2" s="163"/>
      <c r="G2" s="163"/>
      <c r="H2" s="163"/>
      <c r="I2" s="163"/>
      <c r="J2" s="163"/>
      <c r="K2" s="164"/>
      <c r="L2" s="162"/>
      <c r="M2" s="163"/>
      <c r="N2" s="164"/>
      <c r="R2" s="162"/>
      <c r="S2" s="163"/>
      <c r="T2" s="164"/>
    </row>
    <row r="3" spans="1:21" ht="18.5" thickBot="1" x14ac:dyDescent="0.45">
      <c r="A3" s="285" t="s">
        <v>142</v>
      </c>
      <c r="B3" s="286"/>
      <c r="C3" s="286"/>
      <c r="D3" s="286"/>
      <c r="E3" s="286"/>
      <c r="F3" s="286"/>
      <c r="G3" s="286"/>
      <c r="H3" s="286"/>
      <c r="I3" s="286"/>
      <c r="J3" s="286"/>
      <c r="K3" s="287"/>
      <c r="L3" s="285" t="s">
        <v>143</v>
      </c>
      <c r="M3" s="286"/>
      <c r="N3" s="287"/>
      <c r="R3" s="285" t="s">
        <v>144</v>
      </c>
      <c r="S3" s="286"/>
      <c r="T3" s="287"/>
    </row>
    <row r="4" spans="1:21" x14ac:dyDescent="0.25">
      <c r="A4" s="165"/>
      <c r="B4" s="165"/>
      <c r="C4" s="288"/>
      <c r="D4" s="288"/>
      <c r="E4" s="288"/>
      <c r="F4" s="288"/>
      <c r="G4" s="288"/>
      <c r="H4" s="288"/>
      <c r="I4" s="288"/>
      <c r="J4" s="288"/>
      <c r="K4" s="165"/>
      <c r="L4" s="289"/>
      <c r="M4" s="289"/>
      <c r="N4" s="289"/>
      <c r="R4" s="289"/>
      <c r="S4" s="289"/>
      <c r="T4" s="289"/>
    </row>
    <row r="5" spans="1:21" ht="15.5" thickBot="1" x14ac:dyDescent="0.45">
      <c r="A5" s="165"/>
      <c r="B5" s="166" t="s">
        <v>145</v>
      </c>
      <c r="C5" s="166" t="s">
        <v>146</v>
      </c>
      <c r="D5" s="167">
        <f>'[1]05 DATOS EQUIPO'!A34</f>
        <v>12.049999999999999</v>
      </c>
      <c r="E5" s="166" t="s">
        <v>147</v>
      </c>
      <c r="F5" s="167">
        <f>'[1]05 DATOS EQUIPO'!B34</f>
        <v>55.550000000000004</v>
      </c>
      <c r="G5" s="166" t="s">
        <v>148</v>
      </c>
      <c r="H5" s="167">
        <f>'[1]05 DATOS EQUIPO'!C34</f>
        <v>98.05</v>
      </c>
      <c r="I5" s="166" t="s">
        <v>149</v>
      </c>
      <c r="J5" s="167">
        <f>'[1]05 DATOS EQUIPO'!D34</f>
        <v>141.55000000000001</v>
      </c>
      <c r="K5" s="165"/>
      <c r="L5" s="282"/>
      <c r="M5" s="282"/>
      <c r="N5" s="282"/>
      <c r="R5" s="282"/>
      <c r="S5" s="282"/>
      <c r="T5" s="282"/>
    </row>
    <row r="6" spans="1:21" ht="108" customHeight="1" thickTop="1" thickBot="1" x14ac:dyDescent="0.3">
      <c r="A6" s="283" t="s">
        <v>67</v>
      </c>
      <c r="B6" s="283"/>
      <c r="C6" s="279" t="s">
        <v>150</v>
      </c>
      <c r="D6" s="280"/>
      <c r="E6" s="279" t="s">
        <v>151</v>
      </c>
      <c r="F6" s="280"/>
      <c r="G6" s="279" t="s">
        <v>152</v>
      </c>
      <c r="H6" s="280"/>
      <c r="I6" s="284" t="s">
        <v>153</v>
      </c>
      <c r="J6" s="278"/>
      <c r="K6" s="165"/>
      <c r="L6" s="168" t="s">
        <v>154</v>
      </c>
      <c r="M6" s="168" t="s">
        <v>155</v>
      </c>
      <c r="N6" s="169" t="s">
        <v>156</v>
      </c>
      <c r="O6" s="169" t="s">
        <v>117</v>
      </c>
      <c r="R6" s="168" t="s">
        <v>154</v>
      </c>
      <c r="S6" s="168" t="s">
        <v>155</v>
      </c>
      <c r="T6" s="169" t="s">
        <v>156</v>
      </c>
      <c r="U6" s="169" t="s">
        <v>117</v>
      </c>
    </row>
    <row r="7" spans="1:21" ht="17.25" hidden="1" customHeight="1" thickTop="1" thickBot="1" x14ac:dyDescent="0.3">
      <c r="A7" s="283"/>
      <c r="B7" s="283"/>
      <c r="C7" s="170" t="s">
        <v>157</v>
      </c>
      <c r="D7" s="171" t="s">
        <v>158</v>
      </c>
      <c r="E7" s="171" t="s">
        <v>157</v>
      </c>
      <c r="F7" s="171" t="s">
        <v>158</v>
      </c>
      <c r="G7" s="171" t="s">
        <v>157</v>
      </c>
      <c r="H7" s="170" t="s">
        <v>158</v>
      </c>
      <c r="I7" s="171" t="s">
        <v>157</v>
      </c>
      <c r="J7" s="170" t="s">
        <v>158</v>
      </c>
      <c r="K7" s="165"/>
      <c r="L7" s="172">
        <v>11.92</v>
      </c>
      <c r="M7" s="172">
        <v>9.8928536109682703</v>
      </c>
      <c r="N7" s="173">
        <v>161.52994400250003</v>
      </c>
      <c r="R7" s="172">
        <v>11.92</v>
      </c>
      <c r="S7" s="172">
        <v>9.8928536109682703</v>
      </c>
      <c r="T7" s="173">
        <v>161.52994400250003</v>
      </c>
    </row>
    <row r="8" spans="1:21" ht="16.5" hidden="1" customHeight="1" thickTop="1" thickBot="1" x14ac:dyDescent="0.3">
      <c r="A8" s="283"/>
      <c r="B8" s="283"/>
      <c r="C8" s="174">
        <f>'[1]01 ACEL SIN MASA'!A8</f>
        <v>1005.463327</v>
      </c>
      <c r="D8" s="175">
        <f>'[1]01 ACEL SIN MASA'!B8</f>
        <v>159.17736500000001</v>
      </c>
      <c r="E8" s="174">
        <f>'[1]02 ACEL M1'!A8</f>
        <v>1003.872833</v>
      </c>
      <c r="F8" s="176">
        <f>'[1]02 ACEL M1'!B8</f>
        <v>159.18078</v>
      </c>
      <c r="G8" s="174">
        <f>'[1]03 ACEL M2'!A8</f>
        <v>995.13590199999999</v>
      </c>
      <c r="H8" s="176">
        <f>'[1]03 ACEL M2'!B8</f>
        <v>159.185247</v>
      </c>
      <c r="I8" s="174">
        <f>'[1]04 ACEL M3'!A8</f>
        <v>989.20163100000002</v>
      </c>
      <c r="J8" s="176">
        <f>'[1]04 ACEL M3'!B8</f>
        <v>159.18934400000001</v>
      </c>
      <c r="K8" s="165"/>
      <c r="L8" s="172">
        <v>55.27</v>
      </c>
      <c r="M8" s="172">
        <v>9.9096148897409151</v>
      </c>
      <c r="N8" s="173">
        <v>161.70884119999999</v>
      </c>
      <c r="R8" s="172">
        <v>55.27</v>
      </c>
      <c r="S8" s="172">
        <v>9.9096148897409151</v>
      </c>
      <c r="T8" s="173">
        <v>161.70884119999999</v>
      </c>
    </row>
    <row r="9" spans="1:21" ht="16.5" thickTop="1" thickBot="1" x14ac:dyDescent="0.4">
      <c r="A9" s="177"/>
      <c r="B9" s="165"/>
      <c r="C9" s="277" t="s">
        <v>150</v>
      </c>
      <c r="D9" s="278"/>
      <c r="E9" s="279" t="s">
        <v>151</v>
      </c>
      <c r="F9" s="280"/>
      <c r="G9" s="279" t="s">
        <v>152</v>
      </c>
      <c r="H9" s="280"/>
      <c r="I9" s="277" t="s">
        <v>153</v>
      </c>
      <c r="J9" s="278"/>
      <c r="K9" s="165"/>
      <c r="L9" s="178">
        <v>12.049999999999999</v>
      </c>
      <c r="M9" s="178">
        <v>9.94</v>
      </c>
      <c r="N9" s="178">
        <v>159.18526700000001</v>
      </c>
      <c r="O9" s="179">
        <v>0.407725</v>
      </c>
      <c r="P9" s="180">
        <f>(C18-M9)/M9</f>
        <v>-2.0120724346076031E-3</v>
      </c>
      <c r="Q9" s="180"/>
      <c r="R9" s="178"/>
      <c r="S9" s="178"/>
      <c r="T9" s="178"/>
      <c r="U9" s="179"/>
    </row>
    <row r="10" spans="1:21" ht="16.5" thickTop="1" thickBot="1" x14ac:dyDescent="0.4">
      <c r="A10" s="281" t="s">
        <v>17</v>
      </c>
      <c r="B10" s="181" t="s">
        <v>159</v>
      </c>
      <c r="C10" s="182">
        <f t="shared" ref="C10:J10" si="0">AVERAGE(C8)</f>
        <v>1005.463327</v>
      </c>
      <c r="D10" s="182">
        <f t="shared" si="0"/>
        <v>159.17736500000001</v>
      </c>
      <c r="E10" s="182">
        <f t="shared" si="0"/>
        <v>1003.872833</v>
      </c>
      <c r="F10" s="182">
        <f t="shared" si="0"/>
        <v>159.18078</v>
      </c>
      <c r="G10" s="182">
        <f t="shared" si="0"/>
        <v>995.13590199999999</v>
      </c>
      <c r="H10" s="182">
        <f t="shared" si="0"/>
        <v>159.185247</v>
      </c>
      <c r="I10" s="182">
        <f t="shared" si="0"/>
        <v>989.20163100000002</v>
      </c>
      <c r="J10" s="182">
        <f t="shared" si="0"/>
        <v>159.18934400000001</v>
      </c>
      <c r="K10" s="165"/>
      <c r="L10" s="178">
        <v>55.550000000000004</v>
      </c>
      <c r="M10" s="178">
        <v>9.8699999999999992</v>
      </c>
      <c r="N10" s="178">
        <v>159.18741900000001</v>
      </c>
      <c r="O10" s="179">
        <v>0.39714500000000003</v>
      </c>
      <c r="P10" s="180">
        <f>(C19-M10)/M10</f>
        <v>4.0526849037488275E-3</v>
      </c>
      <c r="R10" s="178"/>
      <c r="S10" s="178"/>
      <c r="T10" s="178"/>
      <c r="U10" s="179"/>
    </row>
    <row r="11" spans="1:21" ht="16.5" thickTop="1" thickBot="1" x14ac:dyDescent="0.4">
      <c r="A11" s="281"/>
      <c r="B11" s="181" t="s">
        <v>160</v>
      </c>
      <c r="C11" s="183">
        <f>'[1]01 ACEL SIN MASA'!A9</f>
        <v>0.76002899999999995</v>
      </c>
      <c r="D11" s="184">
        <f>'[1]01 ACEL SIN MASA'!B9</f>
        <v>1.549E-3</v>
      </c>
      <c r="E11" s="183">
        <f>'[1]02 ACEL M1'!A9</f>
        <v>0.35744399999999998</v>
      </c>
      <c r="F11" s="184">
        <f>'[1]02 ACEL M1'!B9</f>
        <v>6.6600000000000003E-4</v>
      </c>
      <c r="G11" s="183">
        <f>'[1]03 ACEL M2'!A9</f>
        <v>0.473051</v>
      </c>
      <c r="H11" s="183">
        <f>'[1]03 ACEL M2'!B9</f>
        <v>5.8399999999999999E-4</v>
      </c>
      <c r="I11" s="183">
        <f>'[1]04 ACEL M3'!A9</f>
        <v>0.63236700000000001</v>
      </c>
      <c r="J11" s="185">
        <f>'[1]04 ACEL M3'!B9</f>
        <v>5.1000000000000004E-4</v>
      </c>
      <c r="K11" s="165"/>
      <c r="L11" s="178">
        <v>98.05</v>
      </c>
      <c r="M11" s="178">
        <v>9.7799999999999994</v>
      </c>
      <c r="N11" s="178">
        <v>159.19117399999999</v>
      </c>
      <c r="O11" s="179">
        <v>0.65826600000000002</v>
      </c>
      <c r="P11" s="180">
        <f>(C20-M11)/M11</f>
        <v>4.0899795501023444E-3</v>
      </c>
      <c r="R11" s="178"/>
      <c r="S11" s="178"/>
      <c r="T11" s="178"/>
      <c r="U11" s="179"/>
    </row>
    <row r="12" spans="1:21" ht="19.5" thickTop="1" thickBot="1" x14ac:dyDescent="0.4">
      <c r="A12" s="281"/>
      <c r="B12" s="181" t="s">
        <v>161</v>
      </c>
      <c r="C12" s="271">
        <f>(C10/'07 RESULT ACEL'!$I$23)</f>
        <v>9.9258944193806347</v>
      </c>
      <c r="D12" s="272"/>
      <c r="E12" s="271">
        <f>(E10/'07 RESULT ACEL'!$I$24)</f>
        <v>9.9101931251665913</v>
      </c>
      <c r="F12" s="272"/>
      <c r="G12" s="271">
        <f>(G10/'07 RESULT ACEL'!$I$24)</f>
        <v>9.8239424859571383</v>
      </c>
      <c r="H12" s="272"/>
      <c r="I12" s="271">
        <f>(I10/'07 RESULT ACEL'!$I$24)</f>
        <v>9.7653595960393709</v>
      </c>
      <c r="J12" s="272"/>
      <c r="K12" s="186"/>
      <c r="L12" s="178">
        <v>141.55000000000001</v>
      </c>
      <c r="M12" s="178">
        <v>9.66</v>
      </c>
      <c r="N12" s="178">
        <v>159.19528399999999</v>
      </c>
      <c r="O12" s="179">
        <v>1.580881</v>
      </c>
      <c r="P12" s="180">
        <f>(C21-M12)/M12</f>
        <v>1.0351966873705968E-2</v>
      </c>
      <c r="R12" s="178"/>
      <c r="S12" s="178"/>
      <c r="T12" s="178"/>
      <c r="U12" s="179"/>
    </row>
    <row r="13" spans="1:21" ht="16.5" thickTop="1" thickBot="1" x14ac:dyDescent="0.4">
      <c r="A13" s="281"/>
      <c r="B13" s="181" t="s">
        <v>162</v>
      </c>
      <c r="C13" s="271">
        <f>'[1]01 ACEL SIN MASA'!C8</f>
        <v>0.45546199999999998</v>
      </c>
      <c r="D13" s="272"/>
      <c r="E13" s="271">
        <f>'[1]02 ACEL M1'!C8</f>
        <v>0.40729399999999999</v>
      </c>
      <c r="F13" s="272"/>
      <c r="G13" s="271">
        <f>'[1]03 ACEL M2'!C8</f>
        <v>0.67052199999999995</v>
      </c>
      <c r="H13" s="272"/>
      <c r="I13" s="271">
        <f>'[1]04 ACEL M3'!C8</f>
        <v>1.425629</v>
      </c>
      <c r="J13" s="272"/>
      <c r="K13" s="186"/>
      <c r="L13" s="187"/>
      <c r="M13" s="187"/>
      <c r="N13" s="187"/>
      <c r="P13" s="188"/>
    </row>
    <row r="14" spans="1:21" ht="16.5" thickTop="1" thickBot="1" x14ac:dyDescent="0.4">
      <c r="A14" s="281"/>
      <c r="B14" s="181" t="s">
        <v>163</v>
      </c>
      <c r="C14" s="185">
        <f t="shared" ref="C14:J14" si="1">2.65*C11</f>
        <v>2.0140768499999999</v>
      </c>
      <c r="D14" s="185">
        <f t="shared" si="1"/>
        <v>4.1048500000000002E-3</v>
      </c>
      <c r="E14" s="185">
        <f>2.65*E11</f>
        <v>0.94722659999999992</v>
      </c>
      <c r="F14" s="185">
        <f t="shared" si="1"/>
        <v>1.7649E-3</v>
      </c>
      <c r="G14" s="185">
        <f t="shared" si="1"/>
        <v>1.2535851499999999</v>
      </c>
      <c r="H14" s="185">
        <f t="shared" si="1"/>
        <v>1.5475999999999999E-3</v>
      </c>
      <c r="I14" s="185">
        <f t="shared" si="1"/>
        <v>1.67577255</v>
      </c>
      <c r="J14" s="185">
        <f t="shared" si="1"/>
        <v>1.3515000000000001E-3</v>
      </c>
      <c r="K14" s="189"/>
      <c r="L14" s="187"/>
      <c r="M14" s="187"/>
      <c r="N14" s="187"/>
      <c r="P14" s="188"/>
    </row>
    <row r="15" spans="1:21" ht="23.5" thickTop="1" x14ac:dyDescent="0.35">
      <c r="A15" s="190"/>
      <c r="B15" s="191"/>
      <c r="C15" s="189"/>
      <c r="D15" s="189"/>
      <c r="E15" s="189"/>
      <c r="F15" s="189"/>
      <c r="G15" s="189"/>
      <c r="H15" s="189"/>
      <c r="I15" s="189"/>
      <c r="J15" s="189"/>
      <c r="K15" s="189"/>
      <c r="L15" s="187"/>
      <c r="M15" s="187"/>
      <c r="N15" s="187"/>
      <c r="P15" s="188"/>
    </row>
    <row r="16" spans="1:21" ht="18.5" thickBot="1" x14ac:dyDescent="0.45">
      <c r="A16" s="165"/>
      <c r="B16" s="273" t="s">
        <v>164</v>
      </c>
      <c r="C16" s="273"/>
      <c r="D16" s="273"/>
      <c r="E16" s="273"/>
      <c r="F16" s="165"/>
      <c r="G16" s="165"/>
      <c r="H16" s="165"/>
      <c r="I16" s="165"/>
      <c r="J16" s="165"/>
      <c r="K16" s="165"/>
      <c r="L16" s="187"/>
      <c r="M16" s="187"/>
      <c r="N16" s="187"/>
      <c r="P16" s="192" t="s">
        <v>165</v>
      </c>
      <c r="Q16" s="193">
        <v>0.03</v>
      </c>
      <c r="R16" s="193">
        <v>0.01</v>
      </c>
    </row>
    <row r="17" spans="1:19" ht="32" thickTop="1" thickBot="1" x14ac:dyDescent="0.3">
      <c r="A17" s="165"/>
      <c r="B17" s="194" t="s">
        <v>154</v>
      </c>
      <c r="C17" s="194" t="s">
        <v>155</v>
      </c>
      <c r="D17" s="195" t="s">
        <v>156</v>
      </c>
      <c r="E17" s="196" t="s">
        <v>117</v>
      </c>
      <c r="F17" s="196" t="s">
        <v>166</v>
      </c>
      <c r="G17" s="197" t="s">
        <v>167</v>
      </c>
      <c r="H17" s="197"/>
      <c r="I17" s="274" t="s">
        <v>168</v>
      </c>
      <c r="J17" s="275"/>
      <c r="K17" s="165"/>
      <c r="L17" s="187"/>
      <c r="M17" s="187"/>
      <c r="N17" s="187"/>
      <c r="O17" s="3"/>
      <c r="P17" s="198" t="s">
        <v>169</v>
      </c>
      <c r="Q17" s="198" t="s">
        <v>170</v>
      </c>
      <c r="R17" s="198" t="s">
        <v>171</v>
      </c>
      <c r="S17" s="199"/>
    </row>
    <row r="18" spans="1:19" ht="18.5" thickTop="1" thickBot="1" x14ac:dyDescent="0.4">
      <c r="A18" s="165"/>
      <c r="B18" s="178">
        <f>D5</f>
        <v>12.049999999999999</v>
      </c>
      <c r="C18" s="178">
        <f>ROUND([1]INCERTIDUMBRES!G11,2)</f>
        <v>9.92</v>
      </c>
      <c r="D18" s="178">
        <f>D10</f>
        <v>159.17736500000001</v>
      </c>
      <c r="E18" s="179">
        <f>C13</f>
        <v>0.45546199999999998</v>
      </c>
      <c r="F18" s="179">
        <v>9.81</v>
      </c>
      <c r="G18" s="200" t="s">
        <v>172</v>
      </c>
      <c r="H18" s="200" t="s">
        <v>173</v>
      </c>
      <c r="I18" s="200" t="s">
        <v>174</v>
      </c>
      <c r="J18" s="201">
        <f>AVERAGE(C10,E10,G10,I10)</f>
        <v>998.41842324999993</v>
      </c>
      <c r="K18" s="165"/>
      <c r="L18" s="187"/>
      <c r="M18" s="187"/>
      <c r="N18" s="187"/>
      <c r="P18" s="202">
        <v>10</v>
      </c>
      <c r="Q18" s="202">
        <f>(C18-P18)/P18*100</f>
        <v>-0.80000000000000071</v>
      </c>
      <c r="R18" s="202">
        <f>(D18-159.2)/159.2*100</f>
        <v>-1.4217964824107887E-2</v>
      </c>
    </row>
    <row r="19" spans="1:19" ht="16.5" thickTop="1" thickBot="1" x14ac:dyDescent="0.4">
      <c r="A19" s="165"/>
      <c r="B19" s="178">
        <f>F5</f>
        <v>55.550000000000004</v>
      </c>
      <c r="C19" s="178">
        <f>ROUND([1]INCERTIDUMBRES!G12,2)</f>
        <v>9.91</v>
      </c>
      <c r="D19" s="178">
        <f>F10</f>
        <v>159.18078</v>
      </c>
      <c r="E19" s="179">
        <f>E13</f>
        <v>0.40729399999999999</v>
      </c>
      <c r="F19" s="179">
        <v>9.81</v>
      </c>
      <c r="G19" s="203">
        <v>99.87</v>
      </c>
      <c r="H19" s="203">
        <v>99.79</v>
      </c>
      <c r="I19" s="200" t="s">
        <v>175</v>
      </c>
      <c r="J19" s="201">
        <f>AVERAGE(D10,F10,H10,J10)</f>
        <v>159.18318400000001</v>
      </c>
      <c r="K19" s="165"/>
      <c r="L19" s="187"/>
      <c r="M19" s="187"/>
      <c r="N19" s="187"/>
      <c r="P19" s="202">
        <v>10</v>
      </c>
      <c r="Q19" s="202">
        <f>(C19-P19)/P19*100</f>
        <v>-0.89999999999999858</v>
      </c>
      <c r="R19" s="202">
        <f t="shared" ref="R19:R21" si="2">(D19-159.2)/159.2*100</f>
        <v>-1.2072864321601774E-2</v>
      </c>
    </row>
    <row r="20" spans="1:19" ht="16.5" thickTop="1" thickBot="1" x14ac:dyDescent="0.4">
      <c r="A20" s="165"/>
      <c r="B20" s="178">
        <f>H5</f>
        <v>98.05</v>
      </c>
      <c r="C20" s="178">
        <f>ROUND([1]INCERTIDUMBRES!G13,2)</f>
        <v>9.82</v>
      </c>
      <c r="D20" s="178">
        <f>H10</f>
        <v>159.185247</v>
      </c>
      <c r="E20" s="179">
        <f>G13</f>
        <v>0.67052199999999995</v>
      </c>
      <c r="F20" s="179">
        <v>9.81</v>
      </c>
      <c r="G20" s="165"/>
      <c r="H20" s="165">
        <f>[1]INCERTIDUMBRES!F12</f>
        <v>99.8</v>
      </c>
      <c r="I20" s="165"/>
      <c r="J20" s="165"/>
      <c r="K20" s="165"/>
      <c r="L20" s="187"/>
      <c r="M20" s="187"/>
      <c r="N20" s="187"/>
      <c r="P20" s="202">
        <v>10</v>
      </c>
      <c r="Q20" s="202">
        <f>(C20-P20)/P20*100</f>
        <v>-1.7999999999999972</v>
      </c>
      <c r="R20" s="202">
        <f t="shared" si="2"/>
        <v>-9.2669597989853622E-3</v>
      </c>
    </row>
    <row r="21" spans="1:19" ht="14.5" customHeight="1" thickTop="1" thickBot="1" x14ac:dyDescent="0.4">
      <c r="A21" s="165"/>
      <c r="B21" s="178">
        <f>J5</f>
        <v>141.55000000000001</v>
      </c>
      <c r="C21" s="178">
        <f>ROUND([1]INCERTIDUMBRES!G14,2)</f>
        <v>9.76</v>
      </c>
      <c r="D21" s="178">
        <f>J10</f>
        <v>159.18934400000001</v>
      </c>
      <c r="E21" s="179">
        <f>I13</f>
        <v>1.425629</v>
      </c>
      <c r="F21" s="179">
        <v>9.81</v>
      </c>
      <c r="G21" s="204" t="s">
        <v>176</v>
      </c>
      <c r="H21" s="204"/>
      <c r="I21" s="205">
        <f>[1]INCERTIDUMBRES!E11</f>
        <v>1.0149999999999999</v>
      </c>
      <c r="J21" s="206" t="s">
        <v>177</v>
      </c>
      <c r="K21" s="165"/>
      <c r="L21" s="187"/>
      <c r="M21" s="187"/>
      <c r="N21" s="187"/>
      <c r="P21" s="202">
        <v>10</v>
      </c>
      <c r="Q21" s="202">
        <f>(C21-P21)/P21*100</f>
        <v>-2.4000000000000021</v>
      </c>
      <c r="R21" s="202">
        <f t="shared" si="2"/>
        <v>-6.6934673366728162E-3</v>
      </c>
    </row>
    <row r="22" spans="1:19" ht="14.5" customHeight="1" thickTop="1" x14ac:dyDescent="0.35">
      <c r="A22" s="165"/>
      <c r="B22" s="165"/>
      <c r="C22" s="165"/>
      <c r="D22" s="165"/>
      <c r="E22" s="165"/>
      <c r="F22" s="165"/>
      <c r="G22" s="204" t="s">
        <v>178</v>
      </c>
      <c r="H22" s="204"/>
      <c r="I22" s="205">
        <f>[1]INCERTIDUMBRES!F11</f>
        <v>99.8</v>
      </c>
      <c r="J22" s="206" t="s">
        <v>179</v>
      </c>
      <c r="K22" s="165"/>
      <c r="L22" s="187"/>
      <c r="M22" s="187"/>
      <c r="N22" s="187"/>
    </row>
    <row r="23" spans="1:19" ht="14.5" customHeight="1" x14ac:dyDescent="0.35">
      <c r="A23" s="165"/>
      <c r="B23" s="276"/>
      <c r="C23" s="276"/>
      <c r="D23" s="165"/>
      <c r="E23" s="165"/>
      <c r="F23" s="165"/>
      <c r="G23" s="204" t="s">
        <v>180</v>
      </c>
      <c r="H23" s="204" t="s">
        <v>59</v>
      </c>
      <c r="I23" s="207">
        <f>I21*I22</f>
        <v>101.29699999999998</v>
      </c>
      <c r="J23" s="206" t="s">
        <v>181</v>
      </c>
      <c r="K23" s="165"/>
      <c r="L23" s="187"/>
      <c r="M23" s="187"/>
      <c r="N23" s="187"/>
    </row>
    <row r="24" spans="1:19" ht="15.5" x14ac:dyDescent="0.35">
      <c r="A24" s="165"/>
      <c r="B24" s="208"/>
      <c r="C24" s="208"/>
      <c r="D24" s="165"/>
      <c r="E24" s="165"/>
      <c r="F24" s="165"/>
      <c r="G24" s="204" t="s">
        <v>180</v>
      </c>
      <c r="H24" s="204" t="s">
        <v>182</v>
      </c>
      <c r="I24" s="207">
        <f>I21*H20</f>
        <v>101.29699999999998</v>
      </c>
      <c r="J24" s="165"/>
      <c r="K24" s="165"/>
      <c r="L24" s="187"/>
      <c r="M24" s="187"/>
      <c r="N24" s="187"/>
    </row>
    <row r="25" spans="1:19" x14ac:dyDescent="0.25">
      <c r="A25" s="165"/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187"/>
      <c r="M25" s="187"/>
      <c r="N25" s="187"/>
    </row>
    <row r="26" spans="1:19" x14ac:dyDescent="0.25">
      <c r="A26" s="165"/>
      <c r="B26" s="209"/>
      <c r="C26" s="209"/>
      <c r="D26" s="165"/>
      <c r="E26" s="165"/>
      <c r="F26" s="165"/>
      <c r="G26" s="165"/>
      <c r="H26" s="165"/>
      <c r="I26" s="165"/>
      <c r="J26" s="165"/>
      <c r="K26" s="165"/>
      <c r="L26" s="187"/>
      <c r="M26" s="187"/>
      <c r="N26" s="187"/>
    </row>
    <row r="27" spans="1:19" ht="18" x14ac:dyDescent="0.4">
      <c r="A27" s="165"/>
      <c r="B27" s="210" t="s">
        <v>183</v>
      </c>
      <c r="C27" s="210"/>
      <c r="D27" s="210"/>
      <c r="E27" s="210"/>
      <c r="F27" s="210"/>
      <c r="G27" s="210"/>
      <c r="H27" s="210"/>
      <c r="I27" s="210"/>
      <c r="J27" s="165"/>
      <c r="K27" s="165"/>
      <c r="L27" s="187"/>
      <c r="M27" s="187"/>
      <c r="N27" s="187"/>
    </row>
    <row r="28" spans="1:19" ht="15.5" x14ac:dyDescent="0.35">
      <c r="A28" s="165"/>
      <c r="B28" s="209"/>
      <c r="C28" s="209"/>
      <c r="D28" s="165"/>
      <c r="E28" s="165"/>
      <c r="F28" s="165"/>
      <c r="G28" s="211"/>
      <c r="H28" s="212"/>
      <c r="I28" s="165"/>
      <c r="J28" s="165"/>
      <c r="K28" s="165"/>
      <c r="L28" s="187"/>
      <c r="M28" s="187"/>
      <c r="N28" s="187"/>
    </row>
    <row r="29" spans="1:19" x14ac:dyDescent="0.25">
      <c r="A29" s="165"/>
      <c r="B29" s="213"/>
      <c r="C29" s="213"/>
      <c r="D29" s="165"/>
      <c r="E29" s="165"/>
      <c r="F29" s="165"/>
      <c r="G29" s="165"/>
      <c r="H29" s="165"/>
      <c r="I29" s="165"/>
      <c r="J29" s="165"/>
      <c r="K29" s="165"/>
      <c r="L29" s="187"/>
      <c r="M29" s="187"/>
      <c r="N29" s="187"/>
    </row>
    <row r="30" spans="1:19" ht="15.5" x14ac:dyDescent="0.35">
      <c r="A30" s="165"/>
      <c r="B30" s="209"/>
      <c r="C30" s="209"/>
      <c r="D30" s="165"/>
      <c r="E30" s="165"/>
      <c r="F30" s="165"/>
      <c r="G30" s="211"/>
      <c r="H30" s="212"/>
      <c r="I30" s="165"/>
      <c r="J30" s="165"/>
      <c r="K30" s="165"/>
      <c r="L30" s="187"/>
      <c r="M30" s="187"/>
      <c r="N30" s="187"/>
    </row>
    <row r="31" spans="1:19" ht="15.5" x14ac:dyDescent="0.35">
      <c r="A31" s="165"/>
      <c r="B31" s="209"/>
      <c r="C31" s="209"/>
      <c r="D31" s="165"/>
      <c r="E31" s="165"/>
      <c r="F31" s="165"/>
      <c r="G31" s="211"/>
      <c r="H31" s="212"/>
      <c r="I31" s="165"/>
      <c r="J31" s="165"/>
      <c r="K31" s="165"/>
      <c r="L31" s="187"/>
      <c r="M31" s="187"/>
      <c r="N31" s="187"/>
    </row>
    <row r="32" spans="1:19" ht="15.5" x14ac:dyDescent="0.35">
      <c r="A32" s="165"/>
      <c r="B32" s="209"/>
      <c r="C32" s="209"/>
      <c r="D32" s="165"/>
      <c r="E32" s="165"/>
      <c r="F32" s="165"/>
      <c r="G32" s="211"/>
      <c r="H32" s="212"/>
      <c r="I32" s="165"/>
      <c r="J32" s="165"/>
      <c r="K32" s="165"/>
      <c r="L32" s="187"/>
      <c r="M32" s="187"/>
      <c r="N32" s="187"/>
    </row>
    <row r="33" spans="1:14" ht="15.5" x14ac:dyDescent="0.35">
      <c r="A33" s="165"/>
      <c r="B33" s="209"/>
      <c r="C33" s="209"/>
      <c r="D33" s="165"/>
      <c r="E33" s="165"/>
      <c r="F33" s="165"/>
      <c r="G33" s="211"/>
      <c r="H33" s="212"/>
      <c r="I33" s="165"/>
      <c r="J33" s="165"/>
      <c r="K33" s="165"/>
      <c r="L33" s="187"/>
      <c r="M33" s="187"/>
      <c r="N33" s="187"/>
    </row>
    <row r="34" spans="1:14" ht="15.5" x14ac:dyDescent="0.35">
      <c r="A34" s="165"/>
      <c r="B34" s="213"/>
      <c r="C34" s="213"/>
      <c r="D34" s="165"/>
      <c r="E34" s="165"/>
      <c r="F34" s="165"/>
      <c r="G34" s="211"/>
      <c r="H34" s="212"/>
      <c r="I34" s="165"/>
      <c r="J34" s="165"/>
      <c r="K34" s="165"/>
      <c r="L34" s="187"/>
      <c r="M34" s="187"/>
      <c r="N34" s="187"/>
    </row>
    <row r="35" spans="1:14" ht="15.5" x14ac:dyDescent="0.35">
      <c r="A35" s="165"/>
      <c r="B35" s="208"/>
      <c r="C35" s="208"/>
      <c r="D35" s="165"/>
      <c r="E35" s="165"/>
      <c r="F35" s="165"/>
      <c r="G35" s="211"/>
      <c r="H35" s="212"/>
      <c r="I35" s="165"/>
      <c r="J35" s="165"/>
      <c r="K35" s="165"/>
      <c r="L35" s="187"/>
      <c r="M35" s="187"/>
      <c r="N35" s="187"/>
    </row>
    <row r="36" spans="1:14" ht="15.5" x14ac:dyDescent="0.35">
      <c r="A36" s="165"/>
      <c r="B36" s="208"/>
      <c r="C36" s="208"/>
      <c r="D36" s="165"/>
      <c r="E36" s="165"/>
      <c r="F36" s="165"/>
      <c r="G36" s="211"/>
      <c r="H36" s="212"/>
      <c r="I36" s="165"/>
      <c r="J36" s="165"/>
      <c r="K36" s="165"/>
      <c r="L36" s="187"/>
      <c r="M36" s="187"/>
      <c r="N36" s="187"/>
    </row>
    <row r="37" spans="1:14" ht="15.5" x14ac:dyDescent="0.35">
      <c r="A37" s="165"/>
      <c r="B37" s="208"/>
      <c r="C37" s="208"/>
      <c r="D37" s="165"/>
      <c r="E37" s="165"/>
      <c r="F37" s="165"/>
      <c r="G37" s="211"/>
      <c r="H37" s="212"/>
      <c r="I37" s="165"/>
      <c r="J37" s="165"/>
      <c r="K37" s="165"/>
      <c r="L37" s="187"/>
      <c r="M37" s="187"/>
      <c r="N37" s="187"/>
    </row>
    <row r="38" spans="1:14" ht="15.5" x14ac:dyDescent="0.35">
      <c r="A38" s="165"/>
      <c r="B38" s="208"/>
      <c r="C38" s="208"/>
      <c r="D38" s="165"/>
      <c r="E38" s="165"/>
      <c r="F38" s="165"/>
      <c r="G38" s="211"/>
      <c r="H38" s="212"/>
      <c r="I38" s="165"/>
      <c r="J38" s="165"/>
      <c r="K38" s="165"/>
      <c r="L38" s="187"/>
      <c r="M38" s="187"/>
      <c r="N38" s="187"/>
    </row>
    <row r="39" spans="1:14" ht="15.5" x14ac:dyDescent="0.35">
      <c r="A39" s="165"/>
      <c r="B39" s="213"/>
      <c r="C39" s="214"/>
      <c r="D39" s="165"/>
      <c r="E39" s="165"/>
      <c r="F39" s="165"/>
      <c r="G39" s="211"/>
      <c r="H39" s="212"/>
      <c r="I39" s="165"/>
      <c r="J39" s="165"/>
      <c r="K39" s="165"/>
      <c r="L39" s="270"/>
      <c r="M39" s="270"/>
      <c r="N39" s="270"/>
    </row>
    <row r="40" spans="1:14" ht="15.5" x14ac:dyDescent="0.35">
      <c r="A40" s="165"/>
      <c r="B40" s="209"/>
      <c r="C40" s="215"/>
      <c r="D40" s="165"/>
      <c r="E40" s="165"/>
      <c r="F40" s="165"/>
      <c r="G40" s="211"/>
      <c r="H40" s="212"/>
      <c r="I40" s="165"/>
      <c r="J40" s="165"/>
      <c r="K40" s="165"/>
      <c r="L40" s="216"/>
      <c r="M40" s="216"/>
      <c r="N40" s="216"/>
    </row>
    <row r="41" spans="1:14" ht="15.5" x14ac:dyDescent="0.35">
      <c r="A41" s="165"/>
      <c r="B41" s="209"/>
      <c r="C41" s="215"/>
      <c r="D41" s="165"/>
      <c r="E41" s="165"/>
      <c r="F41" s="165"/>
      <c r="G41" s="211"/>
      <c r="H41" s="212"/>
      <c r="I41" s="165"/>
      <c r="J41" s="165"/>
      <c r="K41" s="165"/>
      <c r="L41" s="217"/>
      <c r="M41" s="217"/>
      <c r="N41" s="217"/>
    </row>
    <row r="42" spans="1:14" ht="15.5" x14ac:dyDescent="0.35">
      <c r="A42" s="165"/>
      <c r="B42" s="209"/>
      <c r="C42" s="215"/>
      <c r="D42" s="165"/>
      <c r="E42" s="165"/>
      <c r="F42" s="165"/>
      <c r="G42" s="211"/>
      <c r="H42" s="212"/>
      <c r="I42" s="165"/>
      <c r="J42" s="165"/>
      <c r="K42" s="165"/>
      <c r="L42" s="217"/>
      <c r="M42" s="217"/>
      <c r="N42" s="217"/>
    </row>
    <row r="43" spans="1:14" ht="15.5" x14ac:dyDescent="0.35">
      <c r="A43" s="165"/>
      <c r="B43" s="209"/>
      <c r="C43" s="215"/>
      <c r="D43" s="165"/>
      <c r="E43" s="165"/>
      <c r="F43" s="165"/>
      <c r="G43" s="211"/>
      <c r="H43" s="212"/>
      <c r="I43" s="165"/>
      <c r="J43" s="165"/>
      <c r="K43" s="165"/>
      <c r="L43" s="217"/>
      <c r="M43" s="217"/>
      <c r="N43" s="217"/>
    </row>
    <row r="44" spans="1:14" ht="15.5" x14ac:dyDescent="0.35">
      <c r="A44" s="165"/>
      <c r="B44" s="165"/>
      <c r="C44" s="215"/>
      <c r="D44" s="165"/>
      <c r="E44" s="165"/>
      <c r="F44" s="165"/>
      <c r="G44" s="211"/>
      <c r="H44" s="212"/>
      <c r="I44" s="165"/>
      <c r="J44" s="165"/>
      <c r="K44" s="165"/>
      <c r="L44" s="217"/>
      <c r="M44" s="217"/>
      <c r="N44" s="217"/>
    </row>
    <row r="45" spans="1:14" ht="15.5" x14ac:dyDescent="0.35">
      <c r="A45" s="165"/>
      <c r="B45" s="165"/>
      <c r="C45" s="165"/>
      <c r="D45" s="165"/>
      <c r="E45" s="165"/>
      <c r="F45" s="165"/>
      <c r="G45" s="211"/>
      <c r="H45" s="212"/>
      <c r="I45" s="165"/>
      <c r="J45" s="165"/>
      <c r="K45" s="165"/>
      <c r="L45" s="187"/>
      <c r="M45" s="187"/>
      <c r="N45" s="187"/>
    </row>
    <row r="46" spans="1:14" x14ac:dyDescent="0.25">
      <c r="A46" s="165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87"/>
      <c r="M46" s="187"/>
      <c r="N46" s="187"/>
    </row>
    <row r="47" spans="1:14" ht="14" x14ac:dyDescent="0.3">
      <c r="K47" s="218"/>
    </row>
    <row r="48" spans="1:14" ht="14" x14ac:dyDescent="0.3">
      <c r="K48" s="218"/>
    </row>
  </sheetData>
  <mergeCells count="30">
    <mergeCell ref="A3:K3"/>
    <mergeCell ref="L3:N3"/>
    <mergeCell ref="R3:T3"/>
    <mergeCell ref="C4:J4"/>
    <mergeCell ref="L4:N4"/>
    <mergeCell ref="R4:T4"/>
    <mergeCell ref="L5:N5"/>
    <mergeCell ref="R5:T5"/>
    <mergeCell ref="A6:B8"/>
    <mergeCell ref="C6:D6"/>
    <mergeCell ref="E6:F6"/>
    <mergeCell ref="G6:H6"/>
    <mergeCell ref="I6:J6"/>
    <mergeCell ref="C9:D9"/>
    <mergeCell ref="E9:F9"/>
    <mergeCell ref="G9:H9"/>
    <mergeCell ref="I9:J9"/>
    <mergeCell ref="A10:A14"/>
    <mergeCell ref="C12:D12"/>
    <mergeCell ref="E12:F12"/>
    <mergeCell ref="G12:H12"/>
    <mergeCell ref="I12:J12"/>
    <mergeCell ref="C13:D13"/>
    <mergeCell ref="L39:N39"/>
    <mergeCell ref="E13:F13"/>
    <mergeCell ref="G13:H13"/>
    <mergeCell ref="I13:J13"/>
    <mergeCell ref="B16:E16"/>
    <mergeCell ref="I17:J17"/>
    <mergeCell ref="B23:C23"/>
  </mergeCells>
  <pageMargins left="0.75" right="0.75" top="0.72" bottom="0.57999999999999996" header="0" footer="0"/>
  <pageSetup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01 ACEL SIN MASA</vt:lpstr>
      <vt:lpstr>05 DATOS EQUIPO</vt:lpstr>
      <vt:lpstr>ACEL TRANS</vt:lpstr>
      <vt:lpstr>INCERTIDUMBRES</vt:lpstr>
      <vt:lpstr>07 RESULT ACEL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Adrian Garcia Gonzalez</dc:creator>
  <cp:lastModifiedBy>Noe Jaimes Avila</cp:lastModifiedBy>
  <dcterms:created xsi:type="dcterms:W3CDTF">2022-04-07T14:01:55Z</dcterms:created>
  <dcterms:modified xsi:type="dcterms:W3CDTF">2022-04-13T05:24:22Z</dcterms:modified>
</cp:coreProperties>
</file>